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5480" windowHeight="10230" tabRatio="778" firstSheet="14" activeTab="19"/>
  </bookViews>
  <sheets>
    <sheet name="1. sz. melléklet" sheetId="1" r:id="rId1"/>
    <sheet name="2. sz. melléklet" sheetId="2" r:id="rId2"/>
    <sheet name="3. sz. melléklet" sheetId="3" r:id="rId3"/>
    <sheet name="4.sz. melléklet" sheetId="4" r:id="rId4"/>
    <sheet name="5. sz. melléklet - Önkormányzat" sheetId="5" r:id="rId5"/>
    <sheet name="5. sz. melléklet - Közös Hiv." sheetId="6" r:id="rId6"/>
    <sheet name="6. sz. melléklet" sheetId="7" r:id="rId7"/>
    <sheet name="7. sz. melléklet" sheetId="8" r:id="rId8"/>
    <sheet name="8. sz. melléklet" sheetId="9" r:id="rId9"/>
    <sheet name="9. sz. melléklet" sheetId="10" r:id="rId10"/>
    <sheet name="10. sz. melléklet" sheetId="11" r:id="rId11"/>
    <sheet name="11. sz. melléklet" sheetId="12" r:id="rId12"/>
    <sheet name="12. sz. melléklet" sheetId="13" r:id="rId13"/>
    <sheet name="13. sz. melléklet" sheetId="14" r:id="rId14"/>
    <sheet name="14. sz. melléklet" sheetId="15" r:id="rId15"/>
    <sheet name="15. sz. melléklet" sheetId="16" r:id="rId16"/>
    <sheet name="16. sz. melléklet" sheetId="17" r:id="rId17"/>
    <sheet name="17. sz. melléklet" sheetId="18" r:id="rId18"/>
    <sheet name="18. sz. melléklet" sheetId="19" r:id="rId19"/>
    <sheet name="19. sz. melléklet" sheetId="20" r:id="rId20"/>
  </sheets>
  <externalReferences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</externalReferences>
  <definedNames>
    <definedName name="c">#REF!</definedName>
    <definedName name="Excel_BuiltIn__FilterDatabase_5" localSheetId="10">#REF!</definedName>
    <definedName name="Excel_BuiltIn__FilterDatabase_5" localSheetId="11">'[9]4. sz. melléklet'!#REF!</definedName>
    <definedName name="Excel_BuiltIn__FilterDatabase_5" localSheetId="12">'[9]4. sz. melléklet'!#REF!</definedName>
    <definedName name="Excel_BuiltIn__FilterDatabase_5" localSheetId="15">#REF!</definedName>
    <definedName name="Excel_BuiltIn__FilterDatabase_5" localSheetId="2">#REF!</definedName>
    <definedName name="Excel_BuiltIn__FilterDatabase_5" localSheetId="3">#REF!</definedName>
    <definedName name="Excel_BuiltIn__FilterDatabase_5" localSheetId="8">'[9]4. sz. melléklet'!#REF!</definedName>
    <definedName name="Excel_BuiltIn__FilterDatabase_5" localSheetId="9">'[9]4. sz. melléklet'!#REF!</definedName>
    <definedName name="Excel_BuiltIn__FilterDatabase_5">#REF!</definedName>
    <definedName name="Excel_BuiltIn__FilterDatabase_5_1">'[2]4. sz. melléklet'!#REF!</definedName>
    <definedName name="Excel_BuiltIn__FilterDatabase_5_10">NA()</definedName>
    <definedName name="Excel_BuiltIn__FilterDatabase_5_11">'[4]4. sz. melléklet'!#REF!</definedName>
    <definedName name="Excel_BuiltIn__FilterDatabase_5_12">'[4]4. sz. melléklet'!#REF!</definedName>
    <definedName name="Excel_BuiltIn__FilterDatabase_5_13" localSheetId="10">#REF!</definedName>
    <definedName name="Excel_BuiltIn__FilterDatabase_5_13" localSheetId="11">#REF!</definedName>
    <definedName name="Excel_BuiltIn__FilterDatabase_5_13" localSheetId="12">#REF!</definedName>
    <definedName name="Excel_BuiltIn__FilterDatabase_5_13" localSheetId="15">#REF!</definedName>
    <definedName name="Excel_BuiltIn__FilterDatabase_5_13" localSheetId="2">#REF!</definedName>
    <definedName name="Excel_BuiltIn__FilterDatabase_5_13" localSheetId="3">#REF!</definedName>
    <definedName name="Excel_BuiltIn__FilterDatabase_5_13" localSheetId="8">#REF!</definedName>
    <definedName name="Excel_BuiltIn__FilterDatabase_5_13" localSheetId="9">#REF!</definedName>
    <definedName name="Excel_BuiltIn__FilterDatabase_5_13">#REF!</definedName>
    <definedName name="Excel_BuiltIn__FilterDatabase_5_15">'[5]4. sz. melléklet'!#REF!</definedName>
    <definedName name="Excel_BuiltIn__FilterDatabase_5_17" localSheetId="10">#REF!</definedName>
    <definedName name="Excel_BuiltIn__FilterDatabase_5_17" localSheetId="11">#REF!</definedName>
    <definedName name="Excel_BuiltIn__FilterDatabase_5_17" localSheetId="12">#REF!</definedName>
    <definedName name="Excel_BuiltIn__FilterDatabase_5_17" localSheetId="15">#REF!</definedName>
    <definedName name="Excel_BuiltIn__FilterDatabase_5_17" localSheetId="2">#REF!</definedName>
    <definedName name="Excel_BuiltIn__FilterDatabase_5_17" localSheetId="3">#REF!</definedName>
    <definedName name="Excel_BuiltIn__FilterDatabase_5_17" localSheetId="8">#REF!</definedName>
    <definedName name="Excel_BuiltIn__FilterDatabase_5_17" localSheetId="9">#REF!</definedName>
    <definedName name="Excel_BuiltIn__FilterDatabase_5_17">#REF!</definedName>
    <definedName name="Excel_BuiltIn__FilterDatabase_5_5">'[3]4.A sz. melléklet'!#REF!</definedName>
    <definedName name="Excel_BuiltIn__FilterDatabase_5_6">'[3]4.B-C. sz. melléklet'!#REF!</definedName>
    <definedName name="Excel_BuiltIn__FilterDatabase_5_7">NA()</definedName>
    <definedName name="Excel_BuiltIn__FilterDatabase_5_8">'[4]4. sz. melléklet'!#REF!</definedName>
    <definedName name="Excel_BuiltIn__FilterDatabase_5_9">'[4]4. sz. melléklet'!#REF!</definedName>
    <definedName name="Excel_BuiltIn_Print_Area_1" localSheetId="10">#REF!</definedName>
    <definedName name="Excel_BuiltIn_Print_Area_1" localSheetId="11">#REF!</definedName>
    <definedName name="Excel_BuiltIn_Print_Area_1" localSheetId="12">#REF!</definedName>
    <definedName name="Excel_BuiltIn_Print_Area_1" localSheetId="15">'15. sz. melléklet'!#REF!</definedName>
    <definedName name="Excel_BuiltIn_Print_Area_1" localSheetId="2">#REF!</definedName>
    <definedName name="Excel_BuiltIn_Print_Area_1" localSheetId="3">#REF!</definedName>
    <definedName name="Excel_BuiltIn_Print_Area_1" localSheetId="8">#REF!</definedName>
    <definedName name="Excel_BuiltIn_Print_Area_1" localSheetId="9">#REF!</definedName>
    <definedName name="Excel_BuiltIn_Print_Area_1">#REF!</definedName>
    <definedName name="Excel_BuiltIn_Print_Area_1_1">NA()</definedName>
    <definedName name="Excel_BuiltIn_Print_Area_1_15" localSheetId="10">#REF!</definedName>
    <definedName name="Excel_BuiltIn_Print_Area_1_15" localSheetId="11">#REF!</definedName>
    <definedName name="Excel_BuiltIn_Print_Area_1_15" localSheetId="12">#REF!</definedName>
    <definedName name="Excel_BuiltIn_Print_Area_1_15" localSheetId="15">#REF!</definedName>
    <definedName name="Excel_BuiltIn_Print_Area_1_15" localSheetId="2">#REF!</definedName>
    <definedName name="Excel_BuiltIn_Print_Area_1_15" localSheetId="3">#REF!</definedName>
    <definedName name="Excel_BuiltIn_Print_Area_1_15" localSheetId="8">#REF!</definedName>
    <definedName name="Excel_BuiltIn_Print_Area_1_15" localSheetId="9">#REF!</definedName>
    <definedName name="Excel_BuiltIn_Print_Area_1_15">#REF!</definedName>
    <definedName name="Excel_BuiltIn_Print_Area_1_21">'[3]18.'!#REF!</definedName>
    <definedName name="Excel_BuiltIn_Print_Area_1_22">'[3]19.'!#REF!</definedName>
    <definedName name="Excel_BuiltIn_Print_Area_2" localSheetId="10">#REF!</definedName>
    <definedName name="Excel_BuiltIn_Print_Area_2" localSheetId="11">#REF!</definedName>
    <definedName name="Excel_BuiltIn_Print_Area_2" localSheetId="12">#REF!</definedName>
    <definedName name="Excel_BuiltIn_Print_Area_2" localSheetId="15">#REF!</definedName>
    <definedName name="Excel_BuiltIn_Print_Area_2" localSheetId="2">#REF!</definedName>
    <definedName name="Excel_BuiltIn_Print_Area_2" localSheetId="3">#REF!</definedName>
    <definedName name="Excel_BuiltIn_Print_Area_2" localSheetId="8">#REF!</definedName>
    <definedName name="Excel_BuiltIn_Print_Area_2" localSheetId="9">#REF!</definedName>
    <definedName name="Excel_BuiltIn_Print_Area_2">#REF!</definedName>
    <definedName name="Excel_BuiltIn_Print_Area_21" localSheetId="10">#REF!</definedName>
    <definedName name="Excel_BuiltIn_Print_Area_21" localSheetId="11">#REF!</definedName>
    <definedName name="Excel_BuiltIn_Print_Area_21" localSheetId="12">#REF!</definedName>
    <definedName name="Excel_BuiltIn_Print_Area_21" localSheetId="15">#REF!</definedName>
    <definedName name="Excel_BuiltIn_Print_Area_21" localSheetId="2">#REF!</definedName>
    <definedName name="Excel_BuiltIn_Print_Area_21" localSheetId="3">#REF!</definedName>
    <definedName name="Excel_BuiltIn_Print_Area_21" localSheetId="8">#REF!</definedName>
    <definedName name="Excel_BuiltIn_Print_Area_21" localSheetId="9">#REF!</definedName>
    <definedName name="Excel_BuiltIn_Print_Area_21">#REF!</definedName>
    <definedName name="Excel_BuiltIn_Print_Area_2_1">#REF!</definedName>
    <definedName name="Excel_BuiltIn_Print_Area_2_15" localSheetId="10">#REF!</definedName>
    <definedName name="Excel_BuiltIn_Print_Area_2_15" localSheetId="11">#REF!</definedName>
    <definedName name="Excel_BuiltIn_Print_Area_2_15" localSheetId="12">#REF!</definedName>
    <definedName name="Excel_BuiltIn_Print_Area_2_15" localSheetId="15">#REF!</definedName>
    <definedName name="Excel_BuiltIn_Print_Area_2_15" localSheetId="2">#REF!</definedName>
    <definedName name="Excel_BuiltIn_Print_Area_2_15" localSheetId="3">#REF!</definedName>
    <definedName name="Excel_BuiltIn_Print_Area_2_15" localSheetId="8">#REF!</definedName>
    <definedName name="Excel_BuiltIn_Print_Area_2_15" localSheetId="9">#REF!</definedName>
    <definedName name="Excel_BuiltIn_Print_Area_2_15">#REF!</definedName>
    <definedName name="Excel_BuiltIn_Print_Area_2_5" localSheetId="10">#REF!</definedName>
    <definedName name="Excel_BuiltIn_Print_Area_2_5" localSheetId="11">#REF!</definedName>
    <definedName name="Excel_BuiltIn_Print_Area_2_5" localSheetId="12">#REF!</definedName>
    <definedName name="Excel_BuiltIn_Print_Area_2_5" localSheetId="15">#REF!</definedName>
    <definedName name="Excel_BuiltIn_Print_Area_2_5" localSheetId="2">#REF!</definedName>
    <definedName name="Excel_BuiltIn_Print_Area_2_5" localSheetId="3">#REF!</definedName>
    <definedName name="Excel_BuiltIn_Print_Area_2_5" localSheetId="8">#REF!</definedName>
    <definedName name="Excel_BuiltIn_Print_Area_2_5" localSheetId="9">#REF!</definedName>
    <definedName name="Excel_BuiltIn_Print_Area_2_5">#REF!</definedName>
    <definedName name="Excel_BuiltIn_Print_Area_2_6" localSheetId="10">#REF!</definedName>
    <definedName name="Excel_BuiltIn_Print_Area_2_6" localSheetId="11">#REF!</definedName>
    <definedName name="Excel_BuiltIn_Print_Area_2_6" localSheetId="12">#REF!</definedName>
    <definedName name="Excel_BuiltIn_Print_Area_2_6" localSheetId="15">#REF!</definedName>
    <definedName name="Excel_BuiltIn_Print_Area_2_6" localSheetId="2">#REF!</definedName>
    <definedName name="Excel_BuiltIn_Print_Area_2_6" localSheetId="3">#REF!</definedName>
    <definedName name="Excel_BuiltIn_Print_Area_2_6" localSheetId="8">#REF!</definedName>
    <definedName name="Excel_BuiltIn_Print_Area_2_6" localSheetId="9">#REF!</definedName>
    <definedName name="Excel_BuiltIn_Print_Area_2_6">#REF!</definedName>
    <definedName name="Excel_BuiltIn_Print_Titles_6">'[3]4.B-C. sz. melléklet'!#REF!</definedName>
    <definedName name="fff">#REF!</definedName>
    <definedName name="_xlnm.Print_Titles" localSheetId="11">'11. sz. melléklet'!$3:$3</definedName>
    <definedName name="_xlnm.Print_Titles" localSheetId="12">'12. sz. melléklet'!$5:$5</definedName>
    <definedName name="_xlnm.Print_Titles" localSheetId="4">'5. sz. melléklet - Önkormányzat'!$5:$7</definedName>
    <definedName name="_xlnm.Print_Area" localSheetId="0">'1. sz. melléklet'!$A$1:$J$70</definedName>
    <definedName name="_xlnm.Print_Area" localSheetId="10">'10. sz. melléklet'!$A$1:$G$64</definedName>
    <definedName name="_xlnm.Print_Area" localSheetId="11">'11. sz. melléklet'!$A$1:$D$145</definedName>
    <definedName name="_xlnm.Print_Area" localSheetId="12">'12. sz. melléklet'!$A$1:$D$132</definedName>
    <definedName name="_xlnm.Print_Area" localSheetId="13">'13. sz. melléklet'!$A$1:$D$55</definedName>
    <definedName name="_xlnm.Print_Area" localSheetId="14">'14. sz. melléklet'!$A$1:$N$79</definedName>
    <definedName name="_xlnm.Print_Area" localSheetId="15">'15. sz. melléklet'!$A$1:$H$36</definedName>
    <definedName name="_xlnm.Print_Area" localSheetId="16">'16. sz. melléklet'!#REF!</definedName>
    <definedName name="_xlnm.Print_Area" localSheetId="17">'17. sz. melléklet'!$A$1:$J$83</definedName>
    <definedName name="_xlnm.Print_Area" localSheetId="19">'19. sz. melléklet'!$A$1:$D$64</definedName>
    <definedName name="_xlnm.Print_Area" localSheetId="1">'2. sz. melléklet'!$A$1:$H$76</definedName>
    <definedName name="_xlnm.Print_Area" localSheetId="2">'3. sz. melléklet'!$A$1:$P$65</definedName>
    <definedName name="_xlnm.Print_Area" localSheetId="3">'4.sz. melléklet'!$C$1:$R$40</definedName>
    <definedName name="_xlnm.Print_Area" localSheetId="5">'5. sz. melléklet - Közös Hiv.'!$A$1:$R$129</definedName>
    <definedName name="_xlnm.Print_Area" localSheetId="4">'5. sz. melléklet - Önkormányzat'!$A$1:$R$237</definedName>
    <definedName name="_xlnm.Print_Area" localSheetId="8">'8. sz. melléklet'!$A$1:$D$126</definedName>
    <definedName name="_xlnm.Print_Area" localSheetId="9">'9. sz. melléklet'!#REF!</definedName>
    <definedName name="SHARED_FORMULA_1_10_1_10_2" localSheetId="11">SUM(#REF!,#REF!,#REF!,#REF!,#REF!,#REF!)</definedName>
    <definedName name="SHARED_FORMULA_1_10_1_10_2" localSheetId="12">SUM(#REF!,#REF!,#REF!,#REF!,#REF!,#REF!)</definedName>
    <definedName name="SHARED_FORMULA_1_10_1_10_2" localSheetId="8">SUM(#REF!,#REF!,#REF!,#REF!,#REF!,#REF!)</definedName>
    <definedName name="SHARED_FORMULA_1_10_1_10_2" localSheetId="9">SUM(#REF!,#REF!,#REF!,#REF!,#REF!,#REF!)</definedName>
    <definedName name="SHARED_FORMULA_1_10_1_10_2">SUM(#REF!,#REF!,#REF!,#REF!,#REF!,#REF!)</definedName>
    <definedName name="SHARED_FORMULA_1_26_1_26_2" localSheetId="11">SUM(#REF!,#REF!,#REF!)</definedName>
    <definedName name="SHARED_FORMULA_1_26_1_26_2" localSheetId="12">SUM(#REF!,#REF!,#REF!)</definedName>
    <definedName name="SHARED_FORMULA_1_26_1_26_2" localSheetId="8">SUM(#REF!,#REF!,#REF!)</definedName>
    <definedName name="SHARED_FORMULA_1_26_1_26_2" localSheetId="9">SUM(#REF!,#REF!,#REF!)</definedName>
    <definedName name="SHARED_FORMULA_1_26_1_26_2">SUM(#REF!,#REF!,#REF!)</definedName>
    <definedName name="SHARED_FORMULA_1_38_1_38_8" localSheetId="11">SUM(#REF!)</definedName>
    <definedName name="SHARED_FORMULA_1_38_1_38_8" localSheetId="12">SUM(#REF!)</definedName>
    <definedName name="SHARED_FORMULA_1_38_1_38_8" localSheetId="8">SUM(#REF!)</definedName>
    <definedName name="SHARED_FORMULA_1_38_1_38_8" localSheetId="9">SUM(#REF!)</definedName>
    <definedName name="SHARED_FORMULA_1_38_1_38_8">SUM(#REF!)</definedName>
    <definedName name="SHARED_FORMULA_1_42_1_42_8" localSheetId="11">SUM(#REF!,#REF!)</definedName>
    <definedName name="SHARED_FORMULA_1_42_1_42_8" localSheetId="12">SUM(#REF!,#REF!)</definedName>
    <definedName name="SHARED_FORMULA_1_42_1_42_8" localSheetId="8">SUM(#REF!,#REF!)</definedName>
    <definedName name="SHARED_FORMULA_1_42_1_42_8" localSheetId="9">SUM(#REF!,#REF!)</definedName>
    <definedName name="SHARED_FORMULA_1_42_1_42_8">SUM(#REF!,#REF!)</definedName>
    <definedName name="SHARED_FORMULA_10_41_10_41_2" localSheetId="11">SUM(#REF!+#REF!+#REF!)</definedName>
    <definedName name="SHARED_FORMULA_10_41_10_41_2" localSheetId="12">SUM(#REF!+#REF!+#REF!)</definedName>
    <definedName name="SHARED_FORMULA_10_41_10_41_2" localSheetId="8">SUM(#REF!+#REF!+#REF!)</definedName>
    <definedName name="SHARED_FORMULA_10_41_10_41_2" localSheetId="9">SUM(#REF!+#REF!+#REF!)</definedName>
    <definedName name="SHARED_FORMULA_10_41_10_41_2">SUM(#REF!+#REF!+#REF!)</definedName>
    <definedName name="SHARED_FORMULA_10_5_10_5_2" localSheetId="11">SUM(#REF!+#REF!+#REF!)</definedName>
    <definedName name="SHARED_FORMULA_10_5_10_5_2" localSheetId="12">SUM(#REF!+#REF!+#REF!)</definedName>
    <definedName name="SHARED_FORMULA_10_5_10_5_2" localSheetId="8">SUM(#REF!+#REF!+#REF!)</definedName>
    <definedName name="SHARED_FORMULA_10_5_10_5_2" localSheetId="9">SUM(#REF!+#REF!+#REF!)</definedName>
    <definedName name="SHARED_FORMULA_10_5_10_5_2">SUM(#REF!+#REF!+#REF!)</definedName>
    <definedName name="SHARED_FORMULA_11_40_11_40_2" localSheetId="11">SUM(#REF!+#REF!+#REF!)</definedName>
    <definedName name="SHARED_FORMULA_11_40_11_40_2" localSheetId="12">SUM(#REF!+#REF!+#REF!)</definedName>
    <definedName name="SHARED_FORMULA_11_40_11_40_2" localSheetId="8">SUM(#REF!+#REF!+#REF!)</definedName>
    <definedName name="SHARED_FORMULA_11_40_11_40_2" localSheetId="9">SUM(#REF!+#REF!+#REF!)</definedName>
    <definedName name="SHARED_FORMULA_11_40_11_40_2">SUM(#REF!+#REF!+#REF!)</definedName>
    <definedName name="SHARED_FORMULA_11_5_11_5_2" localSheetId="11">SUM(#REF!+#REF!+#REF!)</definedName>
    <definedName name="SHARED_FORMULA_11_5_11_5_2" localSheetId="12">SUM(#REF!+#REF!+#REF!)</definedName>
    <definedName name="SHARED_FORMULA_11_5_11_5_2" localSheetId="8">SUM(#REF!+#REF!+#REF!)</definedName>
    <definedName name="SHARED_FORMULA_11_5_11_5_2" localSheetId="9">SUM(#REF!+#REF!+#REF!)</definedName>
    <definedName name="SHARED_FORMULA_11_5_11_5_2">SUM(#REF!+#REF!+#REF!)</definedName>
    <definedName name="SHARED_FORMULA_12_13_12_13_3" localSheetId="11">SUM(#REF!+#REF!+#REF!)</definedName>
    <definedName name="SHARED_FORMULA_12_13_12_13_3" localSheetId="12">SUM(#REF!+#REF!+#REF!)</definedName>
    <definedName name="SHARED_FORMULA_12_13_12_13_3" localSheetId="8">SUM(#REF!+#REF!+#REF!)</definedName>
    <definedName name="SHARED_FORMULA_12_13_12_13_3" localSheetId="9">SUM(#REF!+#REF!+#REF!)</definedName>
    <definedName name="SHARED_FORMULA_12_13_12_13_3">SUM(#REF!+#REF!+#REF!)</definedName>
    <definedName name="SHARED_FORMULA_12_133_12_133_5" localSheetId="11">SUM(#REF!)-#REF!-#REF!-#REF!</definedName>
    <definedName name="SHARED_FORMULA_12_133_12_133_5" localSheetId="12">SUM(#REF!)-#REF!-#REF!-#REF!</definedName>
    <definedName name="SHARED_FORMULA_12_133_12_133_5" localSheetId="8">SUM(#REF!)-#REF!-#REF!-#REF!</definedName>
    <definedName name="SHARED_FORMULA_12_133_12_133_5" localSheetId="9">SUM(#REF!)-#REF!-#REF!-#REF!</definedName>
    <definedName name="SHARED_FORMULA_12_133_12_133_5">SUM(#REF!)-#REF!-#REF!-#REF!</definedName>
    <definedName name="SHARED_FORMULA_12_40_12_40_2" localSheetId="11">SUM(#REF!+#REF!+#REF!)</definedName>
    <definedName name="SHARED_FORMULA_12_40_12_40_2" localSheetId="12">SUM(#REF!+#REF!+#REF!)</definedName>
    <definedName name="SHARED_FORMULA_12_40_12_40_2" localSheetId="8">SUM(#REF!+#REF!+#REF!)</definedName>
    <definedName name="SHARED_FORMULA_12_40_12_40_2" localSheetId="9">SUM(#REF!+#REF!+#REF!)</definedName>
    <definedName name="SHARED_FORMULA_12_40_12_40_2">SUM(#REF!+#REF!+#REF!)</definedName>
    <definedName name="SHARED_FORMULA_12_5_12_5_2" localSheetId="11">SUM(#REF!+#REF!+#REF!)</definedName>
    <definedName name="SHARED_FORMULA_12_5_12_5_2" localSheetId="12">SUM(#REF!+#REF!+#REF!)</definedName>
    <definedName name="SHARED_FORMULA_12_5_12_5_2" localSheetId="8">SUM(#REF!+#REF!+#REF!)</definedName>
    <definedName name="SHARED_FORMULA_12_5_12_5_2" localSheetId="9">SUM(#REF!+#REF!+#REF!)</definedName>
    <definedName name="SHARED_FORMULA_12_5_12_5_2">SUM(#REF!+#REF!+#REF!)</definedName>
    <definedName name="SHARED_FORMULA_12_5_12_5_3" localSheetId="11">SUM(#REF!+#REF!+#REF!)</definedName>
    <definedName name="SHARED_FORMULA_12_5_12_5_3" localSheetId="12">SUM(#REF!+#REF!+#REF!)</definedName>
    <definedName name="SHARED_FORMULA_12_5_12_5_3" localSheetId="8">SUM(#REF!+#REF!+#REF!)</definedName>
    <definedName name="SHARED_FORMULA_12_5_12_5_3" localSheetId="9">SUM(#REF!+#REF!+#REF!)</definedName>
    <definedName name="SHARED_FORMULA_12_5_12_5_3">SUM(#REF!+#REF!+#REF!)</definedName>
    <definedName name="SHARED_FORMULA_12_6_12_6_0" localSheetId="11">#REF!/#REF!*100</definedName>
    <definedName name="SHARED_FORMULA_12_6_12_6_0" localSheetId="12">#REF!/#REF!*100</definedName>
    <definedName name="SHARED_FORMULA_12_6_12_6_0" localSheetId="8">#REF!/#REF!*100</definedName>
    <definedName name="SHARED_FORMULA_12_6_12_6_0" localSheetId="9">#REF!/#REF!*100</definedName>
    <definedName name="SHARED_FORMULA_12_6_12_6_0">#REF!/#REF!*100</definedName>
    <definedName name="SHARED_FORMULA_13_105_13_105_5" localSheetId="11">SUM(#REF!)-#REF!</definedName>
    <definedName name="SHARED_FORMULA_13_105_13_105_5" localSheetId="12">SUM(#REF!)-#REF!</definedName>
    <definedName name="SHARED_FORMULA_13_105_13_105_5" localSheetId="8">SUM(#REF!)-#REF!</definedName>
    <definedName name="SHARED_FORMULA_13_105_13_105_5" localSheetId="9">SUM(#REF!)-#REF!</definedName>
    <definedName name="SHARED_FORMULA_13_105_13_105_5">SUM(#REF!)-#REF!</definedName>
    <definedName name="SHARED_FORMULA_13_3_13_3_5" localSheetId="11">SUM(#REF!)-#REF!</definedName>
    <definedName name="SHARED_FORMULA_13_3_13_3_5" localSheetId="12">SUM(#REF!)-#REF!</definedName>
    <definedName name="SHARED_FORMULA_13_3_13_3_5" localSheetId="8">SUM(#REF!)-#REF!</definedName>
    <definedName name="SHARED_FORMULA_13_3_13_3_5" localSheetId="9">SUM(#REF!)-#REF!</definedName>
    <definedName name="SHARED_FORMULA_13_3_13_3_5">SUM(#REF!)-#REF!</definedName>
    <definedName name="SHARED_FORMULA_13_41_13_41_5" localSheetId="11">SUM(#REF!)-#REF!</definedName>
    <definedName name="SHARED_FORMULA_13_41_13_41_5" localSheetId="12">SUM(#REF!)-#REF!</definedName>
    <definedName name="SHARED_FORMULA_13_41_13_41_5" localSheetId="8">SUM(#REF!)-#REF!</definedName>
    <definedName name="SHARED_FORMULA_13_41_13_41_5" localSheetId="9">SUM(#REF!)-#REF!</definedName>
    <definedName name="SHARED_FORMULA_13_41_13_41_5">SUM(#REF!)-#REF!</definedName>
    <definedName name="SHARED_FORMULA_13_73_13_73_5" localSheetId="11">SUM(#REF!)-#REF!</definedName>
    <definedName name="SHARED_FORMULA_13_73_13_73_5" localSheetId="12">SUM(#REF!)-#REF!</definedName>
    <definedName name="SHARED_FORMULA_13_73_13_73_5" localSheetId="8">SUM(#REF!)-#REF!</definedName>
    <definedName name="SHARED_FORMULA_13_73_13_73_5" localSheetId="9">SUM(#REF!)-#REF!</definedName>
    <definedName name="SHARED_FORMULA_13_73_13_73_5">SUM(#REF!)-#REF!</definedName>
    <definedName name="SHARED_FORMULA_13_9_13_9_3" localSheetId="11">SUM(#REF!+#REF!+#REF!)</definedName>
    <definedName name="SHARED_FORMULA_13_9_13_9_3" localSheetId="12">SUM(#REF!+#REF!+#REF!)</definedName>
    <definedName name="SHARED_FORMULA_13_9_13_9_3" localSheetId="8">SUM(#REF!+#REF!+#REF!)</definedName>
    <definedName name="SHARED_FORMULA_13_9_13_9_3" localSheetId="9">SUM(#REF!+#REF!+#REF!)</definedName>
    <definedName name="SHARED_FORMULA_13_9_13_9_3">SUM(#REF!+#REF!+#REF!)</definedName>
    <definedName name="SHARED_FORMULA_14_102_14_102_5" localSheetId="11">#REF!</definedName>
    <definedName name="SHARED_FORMULA_14_102_14_102_5" localSheetId="12">#REF!</definedName>
    <definedName name="SHARED_FORMULA_14_102_14_102_5" localSheetId="8">#REF!</definedName>
    <definedName name="SHARED_FORMULA_14_102_14_102_5" localSheetId="9">#REF!</definedName>
    <definedName name="SHARED_FORMULA_14_102_14_102_5">#REF!</definedName>
    <definedName name="SHARED_FORMULA_14_121_14_121_5" localSheetId="11">#REF!+#REF!+#REF!+#REF!</definedName>
    <definedName name="SHARED_FORMULA_14_121_14_121_5" localSheetId="12">#REF!+#REF!+#REF!+#REF!</definedName>
    <definedName name="SHARED_FORMULA_14_121_14_121_5" localSheetId="8">#REF!+#REF!+#REF!+#REF!</definedName>
    <definedName name="SHARED_FORMULA_14_121_14_121_5" localSheetId="9">#REF!+#REF!+#REF!+#REF!</definedName>
    <definedName name="SHARED_FORMULA_14_121_14_121_5">#REF!+#REF!+#REF!+#REF!</definedName>
    <definedName name="SHARED_FORMULA_14_131_14_131_5" localSheetId="11">#REF!+#REF!+#REF!+#REF!+#REF!+#REF!+#REF!+#REF!+#REF!+#REF!+#REF!+#REF!+#REF!+#REF!+#REF!+#REF!+#REF!+#REF!+#REF!+#REF!+#REF!+#REF!+#REF!</definedName>
    <definedName name="SHARED_FORMULA_14_131_14_131_5" localSheetId="12">#REF!+#REF!+#REF!+#REF!+#REF!+#REF!+#REF!+#REF!+#REF!+#REF!+#REF!+#REF!+#REF!+#REF!+#REF!+#REF!+#REF!+#REF!+#REF!+#REF!+#REF!+#REF!+#REF!</definedName>
    <definedName name="SHARED_FORMULA_14_131_14_131_5" localSheetId="8">#REF!+#REF!+#REF!+#REF!+#REF!+#REF!+#REF!+#REF!+#REF!+#REF!+#REF!+#REF!+#REF!+#REF!+#REF!+#REF!+#REF!+#REF!+#REF!+#REF!+#REF!+#REF!+#REF!</definedName>
    <definedName name="SHARED_FORMULA_14_131_14_131_5" localSheetId="9">#REF!+#REF!+#REF!+#REF!+#REF!+#REF!+#REF!+#REF!+#REF!+#REF!+#REF!+#REF!+#REF!+#REF!+#REF!+#REF!+#REF!+#REF!+#REF!+#REF!+#REF!+#REF!+#REF!</definedName>
    <definedName name="SHARED_FORMULA_14_131_14_131_5">#REF!+#REF!+#REF!+#REF!+#REF!+#REF!+#REF!+#REF!+#REF!+#REF!+#REF!+#REF!+#REF!+#REF!+#REF!+#REF!+#REF!+#REF!+#REF!+#REF!+#REF!+#REF!+#REF!</definedName>
    <definedName name="SHARED_FORMULA_14_150_14_150_5" localSheetId="11">#REF!+#REF!</definedName>
    <definedName name="SHARED_FORMULA_14_150_14_150_5" localSheetId="12">#REF!+#REF!</definedName>
    <definedName name="SHARED_FORMULA_14_150_14_150_5" localSheetId="8">#REF!+#REF!</definedName>
    <definedName name="SHARED_FORMULA_14_150_14_150_5" localSheetId="9">#REF!+#REF!</definedName>
    <definedName name="SHARED_FORMULA_14_150_14_150_5">#REF!+#REF!</definedName>
    <definedName name="SHARED_FORMULA_14_151_14_151_5" localSheetId="11">#REF!-#REF!</definedName>
    <definedName name="SHARED_FORMULA_14_151_14_151_5" localSheetId="12">#REF!-#REF!</definedName>
    <definedName name="SHARED_FORMULA_14_151_14_151_5" localSheetId="8">#REF!-#REF!</definedName>
    <definedName name="SHARED_FORMULA_14_151_14_151_5" localSheetId="9">#REF!-#REF!</definedName>
    <definedName name="SHARED_FORMULA_14_151_14_151_5">#REF!-#REF!</definedName>
    <definedName name="SHARED_FORMULA_14_71_14_71_5" localSheetId="11">#REF!+#REF!+#REF!+#REF!</definedName>
    <definedName name="SHARED_FORMULA_14_71_14_71_5" localSheetId="12">#REF!+#REF!+#REF!+#REF!</definedName>
    <definedName name="SHARED_FORMULA_14_71_14_71_5" localSheetId="8">#REF!+#REF!+#REF!+#REF!</definedName>
    <definedName name="SHARED_FORMULA_14_71_14_71_5" localSheetId="9">#REF!+#REF!+#REF!+#REF!</definedName>
    <definedName name="SHARED_FORMULA_14_71_14_71_5">#REF!+#REF!+#REF!+#REF!</definedName>
    <definedName name="SHARED_FORMULA_14_72_14_72_5" localSheetId="11">#REF!+#REF!+#REF!+#REF!</definedName>
    <definedName name="SHARED_FORMULA_14_72_14_72_5" localSheetId="12">#REF!+#REF!+#REF!+#REF!</definedName>
    <definedName name="SHARED_FORMULA_14_72_14_72_5" localSheetId="8">#REF!+#REF!+#REF!+#REF!</definedName>
    <definedName name="SHARED_FORMULA_14_72_14_72_5" localSheetId="9">#REF!+#REF!+#REF!+#REF!</definedName>
    <definedName name="SHARED_FORMULA_14_72_14_72_5">#REF!+#REF!+#REF!+#REF!</definedName>
    <definedName name="SHARED_FORMULA_14_73_14_73_5" localSheetId="11">#REF!+#REF!+#REF!+#REF!</definedName>
    <definedName name="SHARED_FORMULA_14_73_14_73_5" localSheetId="12">#REF!+#REF!+#REF!+#REF!</definedName>
    <definedName name="SHARED_FORMULA_14_73_14_73_5" localSheetId="8">#REF!+#REF!+#REF!+#REF!</definedName>
    <definedName name="SHARED_FORMULA_14_73_14_73_5" localSheetId="9">#REF!+#REF!+#REF!+#REF!</definedName>
    <definedName name="SHARED_FORMULA_14_73_14_73_5">#REF!+#REF!+#REF!+#REF!</definedName>
    <definedName name="SHARED_FORMULA_14_74_14_74_5" localSheetId="11">#REF!+#REF!+#REF!+#REF!</definedName>
    <definedName name="SHARED_FORMULA_14_74_14_74_5" localSheetId="12">#REF!+#REF!+#REF!+#REF!</definedName>
    <definedName name="SHARED_FORMULA_14_74_14_74_5" localSheetId="8">#REF!+#REF!+#REF!+#REF!</definedName>
    <definedName name="SHARED_FORMULA_14_74_14_74_5" localSheetId="9">#REF!+#REF!+#REF!+#REF!</definedName>
    <definedName name="SHARED_FORMULA_14_74_14_74_5">#REF!+#REF!+#REF!+#REF!</definedName>
    <definedName name="SHARED_FORMULA_14_75_14_75_5" localSheetId="11">#REF!+#REF!+#REF!+#REF!</definedName>
    <definedName name="SHARED_FORMULA_14_75_14_75_5" localSheetId="12">#REF!+#REF!+#REF!+#REF!</definedName>
    <definedName name="SHARED_FORMULA_14_75_14_75_5" localSheetId="8">#REF!+#REF!+#REF!+#REF!</definedName>
    <definedName name="SHARED_FORMULA_14_75_14_75_5" localSheetId="9">#REF!+#REF!+#REF!+#REF!</definedName>
    <definedName name="SHARED_FORMULA_14_75_14_75_5">#REF!+#REF!+#REF!+#REF!</definedName>
    <definedName name="SHARED_FORMULA_14_86_14_86_5" localSheetId="11">#REF!+#REF!</definedName>
    <definedName name="SHARED_FORMULA_14_86_14_86_5" localSheetId="12">#REF!+#REF!</definedName>
    <definedName name="SHARED_FORMULA_14_86_14_86_5" localSheetId="8">#REF!+#REF!</definedName>
    <definedName name="SHARED_FORMULA_14_86_14_86_5" localSheetId="9">#REF!+#REF!</definedName>
    <definedName name="SHARED_FORMULA_14_86_14_86_5">#REF!+#REF!</definedName>
    <definedName name="SHARED_FORMULA_14_9_14_9_3" localSheetId="11">SUM(#REF!+#REF!+#REF!)</definedName>
    <definedName name="SHARED_FORMULA_14_9_14_9_3" localSheetId="12">SUM(#REF!+#REF!+#REF!)</definedName>
    <definedName name="SHARED_FORMULA_14_9_14_9_3" localSheetId="8">SUM(#REF!+#REF!+#REF!)</definedName>
    <definedName name="SHARED_FORMULA_14_9_14_9_3" localSheetId="9">SUM(#REF!+#REF!+#REF!)</definedName>
    <definedName name="SHARED_FORMULA_14_9_14_9_3">SUM(#REF!+#REF!+#REF!)</definedName>
    <definedName name="SHARED_FORMULA_16_112_16_112_5" localSheetId="11">#REF!</definedName>
    <definedName name="SHARED_FORMULA_16_112_16_112_5" localSheetId="12">#REF!</definedName>
    <definedName name="SHARED_FORMULA_16_112_16_112_5" localSheetId="8">#REF!</definedName>
    <definedName name="SHARED_FORMULA_16_112_16_112_5" localSheetId="9">#REF!</definedName>
    <definedName name="SHARED_FORMULA_16_112_16_112_5">#REF!</definedName>
    <definedName name="SHARED_FORMULA_17_108_17_108_5" localSheetId="11">#REF!</definedName>
    <definedName name="SHARED_FORMULA_17_108_17_108_5" localSheetId="12">#REF!</definedName>
    <definedName name="SHARED_FORMULA_17_108_17_108_5" localSheetId="8">#REF!</definedName>
    <definedName name="SHARED_FORMULA_17_108_17_108_5" localSheetId="9">#REF!</definedName>
    <definedName name="SHARED_FORMULA_17_108_17_108_5">#REF!</definedName>
    <definedName name="SHARED_FORMULA_17_117_17_117_5" localSheetId="11">#REF!</definedName>
    <definedName name="SHARED_FORMULA_17_117_17_117_5" localSheetId="12">#REF!</definedName>
    <definedName name="SHARED_FORMULA_17_117_17_117_5" localSheetId="8">#REF!</definedName>
    <definedName name="SHARED_FORMULA_17_117_17_117_5" localSheetId="9">#REF!</definedName>
    <definedName name="SHARED_FORMULA_17_117_17_117_5">#REF!</definedName>
    <definedName name="SHARED_FORMULA_17_127_17_127_5" localSheetId="11">#REF!</definedName>
    <definedName name="SHARED_FORMULA_17_127_17_127_5" localSheetId="12">#REF!</definedName>
    <definedName name="SHARED_FORMULA_17_127_17_127_5" localSheetId="8">#REF!</definedName>
    <definedName name="SHARED_FORMULA_17_127_17_127_5" localSheetId="9">#REF!</definedName>
    <definedName name="SHARED_FORMULA_17_127_17_127_5">#REF!</definedName>
    <definedName name="SHARED_FORMULA_17_22_17_22_5" localSheetId="11">#REF!</definedName>
    <definedName name="SHARED_FORMULA_17_22_17_22_5" localSheetId="12">#REF!</definedName>
    <definedName name="SHARED_FORMULA_17_22_17_22_5" localSheetId="8">#REF!</definedName>
    <definedName name="SHARED_FORMULA_17_22_17_22_5" localSheetId="9">#REF!</definedName>
    <definedName name="SHARED_FORMULA_17_22_17_22_5">#REF!</definedName>
    <definedName name="SHARED_FORMULA_17_27_17_27_5" localSheetId="11">#REF!</definedName>
    <definedName name="SHARED_FORMULA_17_27_17_27_5" localSheetId="12">#REF!</definedName>
    <definedName name="SHARED_FORMULA_17_27_17_27_5" localSheetId="8">#REF!</definedName>
    <definedName name="SHARED_FORMULA_17_27_17_27_5" localSheetId="9">#REF!</definedName>
    <definedName name="SHARED_FORMULA_17_27_17_27_5">#REF!</definedName>
    <definedName name="SHARED_FORMULA_17_32_17_32_5" localSheetId="11">#REF!</definedName>
    <definedName name="SHARED_FORMULA_17_32_17_32_5" localSheetId="12">#REF!</definedName>
    <definedName name="SHARED_FORMULA_17_32_17_32_5" localSheetId="8">#REF!</definedName>
    <definedName name="SHARED_FORMULA_17_32_17_32_5" localSheetId="9">#REF!</definedName>
    <definedName name="SHARED_FORMULA_17_32_17_32_5">#REF!</definedName>
    <definedName name="SHARED_FORMULA_17_37_17_37_5" localSheetId="11">#REF!</definedName>
    <definedName name="SHARED_FORMULA_17_37_17_37_5" localSheetId="12">#REF!</definedName>
    <definedName name="SHARED_FORMULA_17_37_17_37_5" localSheetId="8">#REF!</definedName>
    <definedName name="SHARED_FORMULA_17_37_17_37_5" localSheetId="9">#REF!</definedName>
    <definedName name="SHARED_FORMULA_17_37_17_37_5">#REF!</definedName>
    <definedName name="SHARED_FORMULA_17_4_17_4_5" localSheetId="11">#REF!</definedName>
    <definedName name="SHARED_FORMULA_17_4_17_4_5" localSheetId="12">#REF!</definedName>
    <definedName name="SHARED_FORMULA_17_4_17_4_5" localSheetId="8">#REF!</definedName>
    <definedName name="SHARED_FORMULA_17_4_17_4_5" localSheetId="9">#REF!</definedName>
    <definedName name="SHARED_FORMULA_17_4_17_4_5">#REF!</definedName>
    <definedName name="SHARED_FORMULA_17_43_17_43_5" localSheetId="11">#REF!</definedName>
    <definedName name="SHARED_FORMULA_17_43_17_43_5" localSheetId="12">#REF!</definedName>
    <definedName name="SHARED_FORMULA_17_43_17_43_5" localSheetId="8">#REF!</definedName>
    <definedName name="SHARED_FORMULA_17_43_17_43_5" localSheetId="9">#REF!</definedName>
    <definedName name="SHARED_FORMULA_17_43_17_43_5">#REF!</definedName>
    <definedName name="SHARED_FORMULA_17_47_17_47_5" localSheetId="11">#REF!</definedName>
    <definedName name="SHARED_FORMULA_17_47_17_47_5" localSheetId="12">#REF!</definedName>
    <definedName name="SHARED_FORMULA_17_47_17_47_5" localSheetId="8">#REF!</definedName>
    <definedName name="SHARED_FORMULA_17_47_17_47_5" localSheetId="9">#REF!</definedName>
    <definedName name="SHARED_FORMULA_17_47_17_47_5">#REF!</definedName>
    <definedName name="SHARED_FORMULA_17_52_17_52_5" localSheetId="11">#REF!</definedName>
    <definedName name="SHARED_FORMULA_17_52_17_52_5" localSheetId="12">#REF!</definedName>
    <definedName name="SHARED_FORMULA_17_52_17_52_5" localSheetId="8">#REF!</definedName>
    <definedName name="SHARED_FORMULA_17_52_17_52_5" localSheetId="9">#REF!</definedName>
    <definedName name="SHARED_FORMULA_17_52_17_52_5">#REF!</definedName>
    <definedName name="SHARED_FORMULA_17_57_17_57_5" localSheetId="11">#REF!</definedName>
    <definedName name="SHARED_FORMULA_17_57_17_57_5" localSheetId="12">#REF!</definedName>
    <definedName name="SHARED_FORMULA_17_57_17_57_5" localSheetId="8">#REF!</definedName>
    <definedName name="SHARED_FORMULA_17_57_17_57_5" localSheetId="9">#REF!</definedName>
    <definedName name="SHARED_FORMULA_17_57_17_57_5">#REF!</definedName>
    <definedName name="SHARED_FORMULA_17_62_17_62_5" localSheetId="11">#REF!</definedName>
    <definedName name="SHARED_FORMULA_17_62_17_62_5" localSheetId="12">#REF!</definedName>
    <definedName name="SHARED_FORMULA_17_62_17_62_5" localSheetId="8">#REF!</definedName>
    <definedName name="SHARED_FORMULA_17_62_17_62_5" localSheetId="9">#REF!</definedName>
    <definedName name="SHARED_FORMULA_17_62_17_62_5">#REF!</definedName>
    <definedName name="SHARED_FORMULA_17_67_17_67_5" localSheetId="11">#REF!</definedName>
    <definedName name="SHARED_FORMULA_17_67_17_67_5" localSheetId="12">#REF!</definedName>
    <definedName name="SHARED_FORMULA_17_67_17_67_5" localSheetId="8">#REF!</definedName>
    <definedName name="SHARED_FORMULA_17_67_17_67_5" localSheetId="9">#REF!</definedName>
    <definedName name="SHARED_FORMULA_17_67_17_67_5">#REF!</definedName>
    <definedName name="SHARED_FORMULA_17_77_17_77_5" localSheetId="11">#REF!</definedName>
    <definedName name="SHARED_FORMULA_17_77_17_77_5" localSheetId="12">#REF!</definedName>
    <definedName name="SHARED_FORMULA_17_77_17_77_5" localSheetId="8">#REF!</definedName>
    <definedName name="SHARED_FORMULA_17_77_17_77_5" localSheetId="9">#REF!</definedName>
    <definedName name="SHARED_FORMULA_17_77_17_77_5">#REF!</definedName>
    <definedName name="SHARED_FORMULA_17_82_17_82_5" localSheetId="11">#REF!</definedName>
    <definedName name="SHARED_FORMULA_17_82_17_82_5" localSheetId="12">#REF!</definedName>
    <definedName name="SHARED_FORMULA_17_82_17_82_5" localSheetId="8">#REF!</definedName>
    <definedName name="SHARED_FORMULA_17_82_17_82_5" localSheetId="9">#REF!</definedName>
    <definedName name="SHARED_FORMULA_17_82_17_82_5">#REF!</definedName>
    <definedName name="SHARED_FORMULA_17_9_17_9_5" localSheetId="11">#REF!</definedName>
    <definedName name="SHARED_FORMULA_17_9_17_9_5" localSheetId="12">#REF!</definedName>
    <definedName name="SHARED_FORMULA_17_9_17_9_5" localSheetId="8">#REF!</definedName>
    <definedName name="SHARED_FORMULA_17_9_17_9_5" localSheetId="9">#REF!</definedName>
    <definedName name="SHARED_FORMULA_17_9_17_9_5">#REF!</definedName>
    <definedName name="SHARED_FORMULA_17_92_17_92_5" localSheetId="11">#REF!</definedName>
    <definedName name="SHARED_FORMULA_17_92_17_92_5" localSheetId="12">#REF!</definedName>
    <definedName name="SHARED_FORMULA_17_92_17_92_5" localSheetId="8">#REF!</definedName>
    <definedName name="SHARED_FORMULA_17_92_17_92_5" localSheetId="9">#REF!</definedName>
    <definedName name="SHARED_FORMULA_17_92_17_92_5">#REF!</definedName>
    <definedName name="SHARED_FORMULA_17_97_17_97_5" localSheetId="11">#REF!</definedName>
    <definedName name="SHARED_FORMULA_17_97_17_97_5" localSheetId="12">#REF!</definedName>
    <definedName name="SHARED_FORMULA_17_97_17_97_5" localSheetId="8">#REF!</definedName>
    <definedName name="SHARED_FORMULA_17_97_17_97_5" localSheetId="9">#REF!</definedName>
    <definedName name="SHARED_FORMULA_17_97_17_97_5">#REF!</definedName>
    <definedName name="SHARED_FORMULA_2_102_2_102_5" localSheetId="11">#REF!</definedName>
    <definedName name="SHARED_FORMULA_2_102_2_102_5" localSheetId="12">#REF!</definedName>
    <definedName name="SHARED_FORMULA_2_102_2_102_5" localSheetId="8">#REF!</definedName>
    <definedName name="SHARED_FORMULA_2_102_2_102_5" localSheetId="9">#REF!</definedName>
    <definedName name="SHARED_FORMULA_2_102_2_102_5">#REF!</definedName>
    <definedName name="SHARED_FORMULA_2_107_2_107_5" localSheetId="11">#REF!</definedName>
    <definedName name="SHARED_FORMULA_2_107_2_107_5" localSheetId="12">#REF!</definedName>
    <definedName name="SHARED_FORMULA_2_107_2_107_5" localSheetId="8">#REF!</definedName>
    <definedName name="SHARED_FORMULA_2_107_2_107_5" localSheetId="9">#REF!</definedName>
    <definedName name="SHARED_FORMULA_2_107_2_107_5">#REF!</definedName>
    <definedName name="SHARED_FORMULA_2_112_2_112_5" localSheetId="11">#REF!</definedName>
    <definedName name="SHARED_FORMULA_2_112_2_112_5" localSheetId="12">#REF!</definedName>
    <definedName name="SHARED_FORMULA_2_112_2_112_5" localSheetId="8">#REF!</definedName>
    <definedName name="SHARED_FORMULA_2_112_2_112_5" localSheetId="9">#REF!</definedName>
    <definedName name="SHARED_FORMULA_2_112_2_112_5">#REF!</definedName>
    <definedName name="SHARED_FORMULA_2_121_2_121_5" localSheetId="11">#REF!+#REF!+#REF!+#REF!</definedName>
    <definedName name="SHARED_FORMULA_2_121_2_121_5" localSheetId="12">#REF!+#REF!+#REF!+#REF!</definedName>
    <definedName name="SHARED_FORMULA_2_121_2_121_5" localSheetId="8">#REF!+#REF!+#REF!+#REF!</definedName>
    <definedName name="SHARED_FORMULA_2_121_2_121_5" localSheetId="9">#REF!+#REF!+#REF!+#REF!</definedName>
    <definedName name="SHARED_FORMULA_2_121_2_121_5">#REF!+#REF!+#REF!+#REF!</definedName>
    <definedName name="SHARED_FORMULA_2_122_2_122_5" localSheetId="11">#REF!+#REF!+#REF!+#REF!</definedName>
    <definedName name="SHARED_FORMULA_2_122_2_122_5" localSheetId="12">#REF!+#REF!+#REF!+#REF!</definedName>
    <definedName name="SHARED_FORMULA_2_122_2_122_5" localSheetId="8">#REF!+#REF!+#REF!+#REF!</definedName>
    <definedName name="SHARED_FORMULA_2_122_2_122_5" localSheetId="9">#REF!+#REF!+#REF!+#REF!</definedName>
    <definedName name="SHARED_FORMULA_2_122_2_122_5">#REF!+#REF!+#REF!+#REF!</definedName>
    <definedName name="SHARED_FORMULA_2_123_2_123_5" localSheetId="11">#REF!+#REF!+#REF!+#REF!</definedName>
    <definedName name="SHARED_FORMULA_2_123_2_123_5" localSheetId="12">#REF!+#REF!+#REF!+#REF!</definedName>
    <definedName name="SHARED_FORMULA_2_123_2_123_5" localSheetId="8">#REF!+#REF!+#REF!+#REF!</definedName>
    <definedName name="SHARED_FORMULA_2_123_2_123_5" localSheetId="9">#REF!+#REF!+#REF!+#REF!</definedName>
    <definedName name="SHARED_FORMULA_2_123_2_123_5">#REF!+#REF!+#REF!+#REF!</definedName>
    <definedName name="SHARED_FORMULA_2_124_2_124_5" localSheetId="11">#REF!+#REF!+#REF!+#REF!</definedName>
    <definedName name="SHARED_FORMULA_2_124_2_124_5" localSheetId="12">#REF!+#REF!+#REF!+#REF!</definedName>
    <definedName name="SHARED_FORMULA_2_124_2_124_5" localSheetId="8">#REF!+#REF!+#REF!+#REF!</definedName>
    <definedName name="SHARED_FORMULA_2_124_2_124_5" localSheetId="9">#REF!+#REF!+#REF!+#REF!</definedName>
    <definedName name="SHARED_FORMULA_2_124_2_124_5">#REF!+#REF!+#REF!+#REF!</definedName>
    <definedName name="SHARED_FORMULA_2_125_2_125_5" localSheetId="11">#REF!+#REF!+#REF!+#REF!</definedName>
    <definedName name="SHARED_FORMULA_2_125_2_125_5" localSheetId="12">#REF!+#REF!+#REF!+#REF!</definedName>
    <definedName name="SHARED_FORMULA_2_125_2_125_5" localSheetId="8">#REF!+#REF!+#REF!+#REF!</definedName>
    <definedName name="SHARED_FORMULA_2_125_2_125_5" localSheetId="9">#REF!+#REF!+#REF!+#REF!</definedName>
    <definedName name="SHARED_FORMULA_2_125_2_125_5">#REF!+#REF!+#REF!+#REF!</definedName>
    <definedName name="SHARED_FORMULA_2_127_2_127_5" localSheetId="11">#REF!</definedName>
    <definedName name="SHARED_FORMULA_2_127_2_127_5" localSheetId="12">#REF!</definedName>
    <definedName name="SHARED_FORMULA_2_127_2_127_5" localSheetId="8">#REF!</definedName>
    <definedName name="SHARED_FORMULA_2_127_2_127_5" localSheetId="9">#REF!</definedName>
    <definedName name="SHARED_FORMULA_2_127_2_127_5">#REF!</definedName>
    <definedName name="SHARED_FORMULA_2_131_2_131_5" localSheetId="11">#REF!+#REF!+#REF!+#REF!+#REF!+#REF!+#REF!+#REF!+#REF!+#REF!+#REF!+#REF!+#REF!+#REF!+#REF!+#REF!+#REF!+#REF!+#REF!+#REF!+#REF!+#REF!+#REF!</definedName>
    <definedName name="SHARED_FORMULA_2_131_2_131_5" localSheetId="12">#REF!+#REF!+#REF!+#REF!+#REF!+#REF!+#REF!+#REF!+#REF!+#REF!+#REF!+#REF!+#REF!+#REF!+#REF!+#REF!+#REF!+#REF!+#REF!+#REF!+#REF!+#REF!+#REF!</definedName>
    <definedName name="SHARED_FORMULA_2_131_2_131_5" localSheetId="8">#REF!+#REF!+#REF!+#REF!+#REF!+#REF!+#REF!+#REF!+#REF!+#REF!+#REF!+#REF!+#REF!+#REF!+#REF!+#REF!+#REF!+#REF!+#REF!+#REF!+#REF!+#REF!+#REF!</definedName>
    <definedName name="SHARED_FORMULA_2_131_2_131_5" localSheetId="9">#REF!+#REF!+#REF!+#REF!+#REF!+#REF!+#REF!+#REF!+#REF!+#REF!+#REF!+#REF!+#REF!+#REF!+#REF!+#REF!+#REF!+#REF!+#REF!+#REF!+#REF!+#REF!+#REF!</definedName>
    <definedName name="SHARED_FORMULA_2_131_2_131_5">#REF!+#REF!+#REF!+#REF!+#REF!+#REF!+#REF!+#REF!+#REF!+#REF!+#REF!+#REF!+#REF!+#REF!+#REF!+#REF!+#REF!+#REF!+#REF!+#REF!+#REF!+#REF!+#REF!</definedName>
    <definedName name="SHARED_FORMULA_2_132_2_132_5" localSheetId="11">#REF!+#REF!+#REF!+#REF!+#REF!+#REF!+#REF!+#REF!+#REF!+#REF!+#REF!+#REF!+#REF!+#REF!+#REF!+#REF!+#REF!+#REF!+#REF!+#REF!+#REF!+#REF!+#REF!</definedName>
    <definedName name="SHARED_FORMULA_2_132_2_132_5" localSheetId="12">#REF!+#REF!+#REF!+#REF!+#REF!+#REF!+#REF!+#REF!+#REF!+#REF!+#REF!+#REF!+#REF!+#REF!+#REF!+#REF!+#REF!+#REF!+#REF!+#REF!+#REF!+#REF!+#REF!</definedName>
    <definedName name="SHARED_FORMULA_2_132_2_132_5" localSheetId="8">#REF!+#REF!+#REF!+#REF!+#REF!+#REF!+#REF!+#REF!+#REF!+#REF!+#REF!+#REF!+#REF!+#REF!+#REF!+#REF!+#REF!+#REF!+#REF!+#REF!+#REF!+#REF!+#REF!</definedName>
    <definedName name="SHARED_FORMULA_2_132_2_132_5" localSheetId="9">#REF!+#REF!+#REF!+#REF!+#REF!+#REF!+#REF!+#REF!+#REF!+#REF!+#REF!+#REF!+#REF!+#REF!+#REF!+#REF!+#REF!+#REF!+#REF!+#REF!+#REF!+#REF!+#REF!</definedName>
    <definedName name="SHARED_FORMULA_2_132_2_132_5">#REF!+#REF!+#REF!+#REF!+#REF!+#REF!+#REF!+#REF!+#REF!+#REF!+#REF!+#REF!+#REF!+#REF!+#REF!+#REF!+#REF!+#REF!+#REF!+#REF!+#REF!+#REF!+#REF!</definedName>
    <definedName name="SHARED_FORMULA_2_134_2_134_5" localSheetId="11">#REF!+#REF!+#REF!+#REF!+#REF!+#REF!+#REF!+#REF!+#REF!+#REF!+#REF!+#REF!+#REF!+#REF!+#REF!+#REF!+#REF!+#REF!+#REF!+#REF!+#REF!+#REF!+#REF!</definedName>
    <definedName name="SHARED_FORMULA_2_134_2_134_5" localSheetId="12">#REF!+#REF!+#REF!+#REF!+#REF!+#REF!+#REF!+#REF!+#REF!+#REF!+#REF!+#REF!+#REF!+#REF!+#REF!+#REF!+#REF!+#REF!+#REF!+#REF!+#REF!+#REF!+#REF!</definedName>
    <definedName name="SHARED_FORMULA_2_134_2_134_5" localSheetId="8">#REF!+#REF!+#REF!+#REF!+#REF!+#REF!+#REF!+#REF!+#REF!+#REF!+#REF!+#REF!+#REF!+#REF!+#REF!+#REF!+#REF!+#REF!+#REF!+#REF!+#REF!+#REF!+#REF!</definedName>
    <definedName name="SHARED_FORMULA_2_134_2_134_5" localSheetId="9">#REF!+#REF!+#REF!+#REF!+#REF!+#REF!+#REF!+#REF!+#REF!+#REF!+#REF!+#REF!+#REF!+#REF!+#REF!+#REF!+#REF!+#REF!+#REF!+#REF!+#REF!+#REF!+#REF!</definedName>
    <definedName name="SHARED_FORMULA_2_134_2_134_5">#REF!+#REF!+#REF!+#REF!+#REF!+#REF!+#REF!+#REF!+#REF!+#REF!+#REF!+#REF!+#REF!+#REF!+#REF!+#REF!+#REF!+#REF!+#REF!+#REF!+#REF!+#REF!+#REF!</definedName>
    <definedName name="SHARED_FORMULA_2_137_2_137_5" localSheetId="11">#REF!+#REF!+#REF!+#REF!+#REF!+#REF!+#REF!+#REF!+#REF!+#REF!+#REF!+#REF!+#REF!+#REF!+#REF!+#REF!+#REF!+#REF!+#REF!+#REF!+#REF!+#REF!+#REF!</definedName>
    <definedName name="SHARED_FORMULA_2_137_2_137_5" localSheetId="12">#REF!+#REF!+#REF!+#REF!+#REF!+#REF!+#REF!+#REF!+#REF!+#REF!+#REF!+#REF!+#REF!+#REF!+#REF!+#REF!+#REF!+#REF!+#REF!+#REF!+#REF!+#REF!+#REF!</definedName>
    <definedName name="SHARED_FORMULA_2_137_2_137_5" localSheetId="8">#REF!+#REF!+#REF!+#REF!+#REF!+#REF!+#REF!+#REF!+#REF!+#REF!+#REF!+#REF!+#REF!+#REF!+#REF!+#REF!+#REF!+#REF!+#REF!+#REF!+#REF!+#REF!+#REF!</definedName>
    <definedName name="SHARED_FORMULA_2_137_2_137_5" localSheetId="9">#REF!+#REF!+#REF!+#REF!+#REF!+#REF!+#REF!+#REF!+#REF!+#REF!+#REF!+#REF!+#REF!+#REF!+#REF!+#REF!+#REF!+#REF!+#REF!+#REF!+#REF!+#REF!+#REF!</definedName>
    <definedName name="SHARED_FORMULA_2_137_2_137_5">#REF!+#REF!+#REF!+#REF!+#REF!+#REF!+#REF!+#REF!+#REF!+#REF!+#REF!+#REF!+#REF!+#REF!+#REF!+#REF!+#REF!+#REF!+#REF!+#REF!+#REF!+#REF!+#REF!</definedName>
    <definedName name="SHARED_FORMULA_2_14_2_14_5" localSheetId="11">#REF!</definedName>
    <definedName name="SHARED_FORMULA_2_14_2_14_5" localSheetId="12">#REF!</definedName>
    <definedName name="SHARED_FORMULA_2_14_2_14_5" localSheetId="8">#REF!</definedName>
    <definedName name="SHARED_FORMULA_2_14_2_14_5" localSheetId="9">#REF!</definedName>
    <definedName name="SHARED_FORMULA_2_14_2_14_5">#REF!</definedName>
    <definedName name="SHARED_FORMULA_2_140_2_140_5" localSheetId="11">#REF!+#REF!+#REF!+#REF!+#REF!+#REF!+#REF!+#REF!+#REF!+#REF!+#REF!+#REF!+#REF!+#REF!+#REF!+#REF!+#REF!+#REF!+#REF!+#REF!+#REF!+#REF!</definedName>
    <definedName name="SHARED_FORMULA_2_140_2_140_5" localSheetId="12">#REF!+#REF!+#REF!+#REF!+#REF!+#REF!+#REF!+#REF!+#REF!+#REF!+#REF!+#REF!+#REF!+#REF!+#REF!+#REF!+#REF!+#REF!+#REF!+#REF!+#REF!+#REF!</definedName>
    <definedName name="SHARED_FORMULA_2_140_2_140_5" localSheetId="8">#REF!+#REF!+#REF!+#REF!+#REF!+#REF!+#REF!+#REF!+#REF!+#REF!+#REF!+#REF!+#REF!+#REF!+#REF!+#REF!+#REF!+#REF!+#REF!+#REF!+#REF!+#REF!</definedName>
    <definedName name="SHARED_FORMULA_2_140_2_140_5" localSheetId="9">#REF!+#REF!+#REF!+#REF!+#REF!+#REF!+#REF!+#REF!+#REF!+#REF!+#REF!+#REF!+#REF!+#REF!+#REF!+#REF!+#REF!+#REF!+#REF!+#REF!+#REF!+#REF!</definedName>
    <definedName name="SHARED_FORMULA_2_140_2_140_5">#REF!+#REF!+#REF!+#REF!+#REF!+#REF!+#REF!+#REF!+#REF!+#REF!+#REF!+#REF!+#REF!+#REF!+#REF!+#REF!+#REF!+#REF!+#REF!+#REF!+#REF!+#REF!</definedName>
    <definedName name="SHARED_FORMULA_2_141_2_141_5" localSheetId="11">#REF!+#REF!+#REF!+#REF!+#REF!+#REF!+#REF!+#REF!+#REF!+#REF!+#REF!+#REF!+#REF!+#REF!+#REF!+#REF!+#REF!+#REF!+#REF!+#REF!+#REF!+#REF!</definedName>
    <definedName name="SHARED_FORMULA_2_141_2_141_5" localSheetId="12">#REF!+#REF!+#REF!+#REF!+#REF!+#REF!+#REF!+#REF!+#REF!+#REF!+#REF!+#REF!+#REF!+#REF!+#REF!+#REF!+#REF!+#REF!+#REF!+#REF!+#REF!+#REF!</definedName>
    <definedName name="SHARED_FORMULA_2_141_2_141_5" localSheetId="8">#REF!+#REF!+#REF!+#REF!+#REF!+#REF!+#REF!+#REF!+#REF!+#REF!+#REF!+#REF!+#REF!+#REF!+#REF!+#REF!+#REF!+#REF!+#REF!+#REF!+#REF!+#REF!</definedName>
    <definedName name="SHARED_FORMULA_2_141_2_141_5" localSheetId="9">#REF!+#REF!+#REF!+#REF!+#REF!+#REF!+#REF!+#REF!+#REF!+#REF!+#REF!+#REF!+#REF!+#REF!+#REF!+#REF!+#REF!+#REF!+#REF!+#REF!+#REF!+#REF!</definedName>
    <definedName name="SHARED_FORMULA_2_141_2_141_5">#REF!+#REF!+#REF!+#REF!+#REF!+#REF!+#REF!+#REF!+#REF!+#REF!+#REF!+#REF!+#REF!+#REF!+#REF!+#REF!+#REF!+#REF!+#REF!+#REF!+#REF!+#REF!</definedName>
    <definedName name="SHARED_FORMULA_2_142_2_142_5" localSheetId="11">#REF!+#REF!+#REF!+#REF!+#REF!+#REF!+#REF!+#REF!+#REF!+#REF!+#REF!+#REF!+#REF!+#REF!+#REF!+#REF!+#REF!+#REF!+#REF!+#REF!+#REF!+#REF!</definedName>
    <definedName name="SHARED_FORMULA_2_142_2_142_5" localSheetId="12">#REF!+#REF!+#REF!+#REF!+#REF!+#REF!+#REF!+#REF!+#REF!+#REF!+#REF!+#REF!+#REF!+#REF!+#REF!+#REF!+#REF!+#REF!+#REF!+#REF!+#REF!+#REF!</definedName>
    <definedName name="SHARED_FORMULA_2_142_2_142_5" localSheetId="8">#REF!+#REF!+#REF!+#REF!+#REF!+#REF!+#REF!+#REF!+#REF!+#REF!+#REF!+#REF!+#REF!+#REF!+#REF!+#REF!+#REF!+#REF!+#REF!+#REF!+#REF!+#REF!</definedName>
    <definedName name="SHARED_FORMULA_2_142_2_142_5" localSheetId="9">#REF!+#REF!+#REF!+#REF!+#REF!+#REF!+#REF!+#REF!+#REF!+#REF!+#REF!+#REF!+#REF!+#REF!+#REF!+#REF!+#REF!+#REF!+#REF!+#REF!+#REF!+#REF!</definedName>
    <definedName name="SHARED_FORMULA_2_142_2_142_5">#REF!+#REF!+#REF!+#REF!+#REF!+#REF!+#REF!+#REF!+#REF!+#REF!+#REF!+#REF!+#REF!+#REF!+#REF!+#REF!+#REF!+#REF!+#REF!+#REF!+#REF!+#REF!</definedName>
    <definedName name="SHARED_FORMULA_2_143_2_143_5" localSheetId="11">#REF!+#REF!+#REF!+#REF!+#REF!+#REF!+#REF!+#REF!+#REF!+#REF!+#REF!+#REF!+#REF!+#REF!+#REF!+#REF!+#REF!+#REF!+#REF!+#REF!+#REF!+#REF!</definedName>
    <definedName name="SHARED_FORMULA_2_143_2_143_5" localSheetId="12">#REF!+#REF!+#REF!+#REF!+#REF!+#REF!+#REF!+#REF!+#REF!+#REF!+#REF!+#REF!+#REF!+#REF!+#REF!+#REF!+#REF!+#REF!+#REF!+#REF!+#REF!+#REF!</definedName>
    <definedName name="SHARED_FORMULA_2_143_2_143_5" localSheetId="8">#REF!+#REF!+#REF!+#REF!+#REF!+#REF!+#REF!+#REF!+#REF!+#REF!+#REF!+#REF!+#REF!+#REF!+#REF!+#REF!+#REF!+#REF!+#REF!+#REF!+#REF!+#REF!</definedName>
    <definedName name="SHARED_FORMULA_2_143_2_143_5" localSheetId="9">#REF!+#REF!+#REF!+#REF!+#REF!+#REF!+#REF!+#REF!+#REF!+#REF!+#REF!+#REF!+#REF!+#REF!+#REF!+#REF!+#REF!+#REF!+#REF!+#REF!+#REF!+#REF!</definedName>
    <definedName name="SHARED_FORMULA_2_143_2_143_5">#REF!+#REF!+#REF!+#REF!+#REF!+#REF!+#REF!+#REF!+#REF!+#REF!+#REF!+#REF!+#REF!+#REF!+#REF!+#REF!+#REF!+#REF!+#REF!+#REF!+#REF!+#REF!</definedName>
    <definedName name="SHARED_FORMULA_2_144_2_144_5" localSheetId="11">#REF!+#REF!+#REF!+#REF!+#REF!+#REF!+#REF!+#REF!+#REF!+#REF!+#REF!+#REF!+#REF!+#REF!+#REF!+#REF!+#REF!+#REF!+#REF!+#REF!+#REF!+#REF!</definedName>
    <definedName name="SHARED_FORMULA_2_144_2_144_5" localSheetId="12">#REF!+#REF!+#REF!+#REF!+#REF!+#REF!+#REF!+#REF!+#REF!+#REF!+#REF!+#REF!+#REF!+#REF!+#REF!+#REF!+#REF!+#REF!+#REF!+#REF!+#REF!+#REF!</definedName>
    <definedName name="SHARED_FORMULA_2_144_2_144_5" localSheetId="8">#REF!+#REF!+#REF!+#REF!+#REF!+#REF!+#REF!+#REF!+#REF!+#REF!+#REF!+#REF!+#REF!+#REF!+#REF!+#REF!+#REF!+#REF!+#REF!+#REF!+#REF!+#REF!</definedName>
    <definedName name="SHARED_FORMULA_2_144_2_144_5" localSheetId="9">#REF!+#REF!+#REF!+#REF!+#REF!+#REF!+#REF!+#REF!+#REF!+#REF!+#REF!+#REF!+#REF!+#REF!+#REF!+#REF!+#REF!+#REF!+#REF!+#REF!+#REF!+#REF!</definedName>
    <definedName name="SHARED_FORMULA_2_144_2_144_5">#REF!+#REF!+#REF!+#REF!+#REF!+#REF!+#REF!+#REF!+#REF!+#REF!+#REF!+#REF!+#REF!+#REF!+#REF!+#REF!+#REF!+#REF!+#REF!+#REF!+#REF!+#REF!</definedName>
    <definedName name="SHARED_FORMULA_2_145_2_145_5" localSheetId="11">#REF!+#REF!+#REF!+#REF!+#REF!+#REF!+#REF!+#REF!+#REF!+#REF!+#REF!+#REF!+#REF!+#REF!+#REF!+#REF!+#REF!+#REF!+#REF!+#REF!+#REF!+#REF!</definedName>
    <definedName name="SHARED_FORMULA_2_145_2_145_5" localSheetId="12">#REF!+#REF!+#REF!+#REF!+#REF!+#REF!+#REF!+#REF!+#REF!+#REF!+#REF!+#REF!+#REF!+#REF!+#REF!+#REF!+#REF!+#REF!+#REF!+#REF!+#REF!+#REF!</definedName>
    <definedName name="SHARED_FORMULA_2_145_2_145_5" localSheetId="8">#REF!+#REF!+#REF!+#REF!+#REF!+#REF!+#REF!+#REF!+#REF!+#REF!+#REF!+#REF!+#REF!+#REF!+#REF!+#REF!+#REF!+#REF!+#REF!+#REF!+#REF!+#REF!</definedName>
    <definedName name="SHARED_FORMULA_2_145_2_145_5" localSheetId="9">#REF!+#REF!+#REF!+#REF!+#REF!+#REF!+#REF!+#REF!+#REF!+#REF!+#REF!+#REF!+#REF!+#REF!+#REF!+#REF!+#REF!+#REF!+#REF!+#REF!+#REF!+#REF!</definedName>
    <definedName name="SHARED_FORMULA_2_145_2_145_5">#REF!+#REF!+#REF!+#REF!+#REF!+#REF!+#REF!+#REF!+#REF!+#REF!+#REF!+#REF!+#REF!+#REF!+#REF!+#REF!+#REF!+#REF!+#REF!+#REF!+#REF!+#REF!</definedName>
    <definedName name="SHARED_FORMULA_2_146_2_146_5" localSheetId="11">#REF!-#REF!</definedName>
    <definedName name="SHARED_FORMULA_2_146_2_146_5" localSheetId="12">#REF!-#REF!</definedName>
    <definedName name="SHARED_FORMULA_2_146_2_146_5" localSheetId="8">#REF!-#REF!</definedName>
    <definedName name="SHARED_FORMULA_2_146_2_146_5" localSheetId="9">#REF!-#REF!</definedName>
    <definedName name="SHARED_FORMULA_2_146_2_146_5">#REF!-#REF!</definedName>
    <definedName name="SHARED_FORMULA_2_22_2_22_5" localSheetId="11">#REF!</definedName>
    <definedName name="SHARED_FORMULA_2_22_2_22_5" localSheetId="12">#REF!</definedName>
    <definedName name="SHARED_FORMULA_2_22_2_22_5" localSheetId="8">#REF!</definedName>
    <definedName name="SHARED_FORMULA_2_22_2_22_5" localSheetId="9">#REF!</definedName>
    <definedName name="SHARED_FORMULA_2_22_2_22_5">#REF!</definedName>
    <definedName name="SHARED_FORMULA_2_27_2_27_5" localSheetId="11">#REF!</definedName>
    <definedName name="SHARED_FORMULA_2_27_2_27_5" localSheetId="12">#REF!</definedName>
    <definedName name="SHARED_FORMULA_2_27_2_27_5" localSheetId="8">#REF!</definedName>
    <definedName name="SHARED_FORMULA_2_27_2_27_5" localSheetId="9">#REF!</definedName>
    <definedName name="SHARED_FORMULA_2_27_2_27_5">#REF!</definedName>
    <definedName name="SHARED_FORMULA_2_32_2_32_5" localSheetId="11">#REF!</definedName>
    <definedName name="SHARED_FORMULA_2_32_2_32_5" localSheetId="12">#REF!</definedName>
    <definedName name="SHARED_FORMULA_2_32_2_32_5" localSheetId="8">#REF!</definedName>
    <definedName name="SHARED_FORMULA_2_32_2_32_5" localSheetId="9">#REF!</definedName>
    <definedName name="SHARED_FORMULA_2_32_2_32_5">#REF!</definedName>
    <definedName name="SHARED_FORMULA_2_37_2_37_5" localSheetId="11">#REF!</definedName>
    <definedName name="SHARED_FORMULA_2_37_2_37_5" localSheetId="12">#REF!</definedName>
    <definedName name="SHARED_FORMULA_2_37_2_37_5" localSheetId="8">#REF!</definedName>
    <definedName name="SHARED_FORMULA_2_37_2_37_5" localSheetId="9">#REF!</definedName>
    <definedName name="SHARED_FORMULA_2_37_2_37_5">#REF!</definedName>
    <definedName name="SHARED_FORMULA_2_4_2_4_5" localSheetId="11">#REF!</definedName>
    <definedName name="SHARED_FORMULA_2_4_2_4_5" localSheetId="12">#REF!</definedName>
    <definedName name="SHARED_FORMULA_2_4_2_4_5" localSheetId="8">#REF!</definedName>
    <definedName name="SHARED_FORMULA_2_4_2_4_5" localSheetId="9">#REF!</definedName>
    <definedName name="SHARED_FORMULA_2_4_2_4_5">#REF!</definedName>
    <definedName name="SHARED_FORMULA_2_42_2_42_5" localSheetId="11">#REF!</definedName>
    <definedName name="SHARED_FORMULA_2_42_2_42_5" localSheetId="12">#REF!</definedName>
    <definedName name="SHARED_FORMULA_2_42_2_42_5" localSheetId="8">#REF!</definedName>
    <definedName name="SHARED_FORMULA_2_42_2_42_5" localSheetId="9">#REF!</definedName>
    <definedName name="SHARED_FORMULA_2_42_2_42_5">#REF!</definedName>
    <definedName name="SHARED_FORMULA_2_44_2_44_5" localSheetId="11">#REF!</definedName>
    <definedName name="SHARED_FORMULA_2_44_2_44_5" localSheetId="12">#REF!</definedName>
    <definedName name="SHARED_FORMULA_2_44_2_44_5" localSheetId="8">#REF!</definedName>
    <definedName name="SHARED_FORMULA_2_44_2_44_5" localSheetId="9">#REF!</definedName>
    <definedName name="SHARED_FORMULA_2_44_2_44_5">#REF!</definedName>
    <definedName name="SHARED_FORMULA_2_47_2_47_5" localSheetId="11">#REF!</definedName>
    <definedName name="SHARED_FORMULA_2_47_2_47_5" localSheetId="12">#REF!</definedName>
    <definedName name="SHARED_FORMULA_2_47_2_47_5" localSheetId="8">#REF!</definedName>
    <definedName name="SHARED_FORMULA_2_47_2_47_5" localSheetId="9">#REF!</definedName>
    <definedName name="SHARED_FORMULA_2_47_2_47_5">#REF!</definedName>
    <definedName name="SHARED_FORMULA_2_48_2_48_5" localSheetId="11">#REF!</definedName>
    <definedName name="SHARED_FORMULA_2_48_2_48_5" localSheetId="12">#REF!</definedName>
    <definedName name="SHARED_FORMULA_2_48_2_48_5" localSheetId="8">#REF!</definedName>
    <definedName name="SHARED_FORMULA_2_48_2_48_5" localSheetId="9">#REF!</definedName>
    <definedName name="SHARED_FORMULA_2_48_2_48_5">#REF!</definedName>
    <definedName name="SHARED_FORMULA_2_52_2_52_5" localSheetId="11">#REF!</definedName>
    <definedName name="SHARED_FORMULA_2_52_2_52_5" localSheetId="12">#REF!</definedName>
    <definedName name="SHARED_FORMULA_2_52_2_52_5" localSheetId="8">#REF!</definedName>
    <definedName name="SHARED_FORMULA_2_52_2_52_5" localSheetId="9">#REF!</definedName>
    <definedName name="SHARED_FORMULA_2_52_2_52_5">#REF!</definedName>
    <definedName name="SHARED_FORMULA_2_57_2_57_5" localSheetId="11">#REF!</definedName>
    <definedName name="SHARED_FORMULA_2_57_2_57_5" localSheetId="12">#REF!</definedName>
    <definedName name="SHARED_FORMULA_2_57_2_57_5" localSheetId="8">#REF!</definedName>
    <definedName name="SHARED_FORMULA_2_57_2_57_5" localSheetId="9">#REF!</definedName>
    <definedName name="SHARED_FORMULA_2_57_2_57_5">#REF!</definedName>
    <definedName name="SHARED_FORMULA_2_67_2_67_5" localSheetId="11">#REF!</definedName>
    <definedName name="SHARED_FORMULA_2_67_2_67_5" localSheetId="12">#REF!</definedName>
    <definedName name="SHARED_FORMULA_2_67_2_67_5" localSheetId="8">#REF!</definedName>
    <definedName name="SHARED_FORMULA_2_67_2_67_5" localSheetId="9">#REF!</definedName>
    <definedName name="SHARED_FORMULA_2_67_2_67_5">#REF!</definedName>
    <definedName name="SHARED_FORMULA_2_71_2_71_5" localSheetId="11">#REF!+#REF!+#REF!+#REF!</definedName>
    <definedName name="SHARED_FORMULA_2_71_2_71_5" localSheetId="12">#REF!+#REF!+#REF!+#REF!</definedName>
    <definedName name="SHARED_FORMULA_2_71_2_71_5" localSheetId="8">#REF!+#REF!+#REF!+#REF!</definedName>
    <definedName name="SHARED_FORMULA_2_71_2_71_5" localSheetId="9">#REF!+#REF!+#REF!+#REF!</definedName>
    <definedName name="SHARED_FORMULA_2_71_2_71_5">#REF!+#REF!+#REF!+#REF!</definedName>
    <definedName name="SHARED_FORMULA_2_72_2_72_5" localSheetId="11">#REF!+#REF!+#REF!+#REF!</definedName>
    <definedName name="SHARED_FORMULA_2_72_2_72_5" localSheetId="12">#REF!+#REF!+#REF!+#REF!</definedName>
    <definedName name="SHARED_FORMULA_2_72_2_72_5" localSheetId="8">#REF!+#REF!+#REF!+#REF!</definedName>
    <definedName name="SHARED_FORMULA_2_72_2_72_5" localSheetId="9">#REF!+#REF!+#REF!+#REF!</definedName>
    <definedName name="SHARED_FORMULA_2_72_2_72_5">#REF!+#REF!+#REF!+#REF!</definedName>
    <definedName name="SHARED_FORMULA_2_73_2_73_5" localSheetId="11">#REF!+#REF!+#REF!+#REF!</definedName>
    <definedName name="SHARED_FORMULA_2_73_2_73_5" localSheetId="12">#REF!+#REF!+#REF!+#REF!</definedName>
    <definedName name="SHARED_FORMULA_2_73_2_73_5" localSheetId="8">#REF!+#REF!+#REF!+#REF!</definedName>
    <definedName name="SHARED_FORMULA_2_73_2_73_5" localSheetId="9">#REF!+#REF!+#REF!+#REF!</definedName>
    <definedName name="SHARED_FORMULA_2_73_2_73_5">#REF!+#REF!+#REF!+#REF!</definedName>
    <definedName name="SHARED_FORMULA_2_74_2_74_5" localSheetId="11">#REF!+#REF!+#REF!+#REF!</definedName>
    <definedName name="SHARED_FORMULA_2_74_2_74_5" localSheetId="12">#REF!+#REF!+#REF!+#REF!</definedName>
    <definedName name="SHARED_FORMULA_2_74_2_74_5" localSheetId="8">#REF!+#REF!+#REF!+#REF!</definedName>
    <definedName name="SHARED_FORMULA_2_74_2_74_5" localSheetId="9">#REF!+#REF!+#REF!+#REF!</definedName>
    <definedName name="SHARED_FORMULA_2_74_2_74_5">#REF!+#REF!+#REF!+#REF!</definedName>
    <definedName name="SHARED_FORMULA_2_75_2_75_5" localSheetId="11">#REF!+#REF!+#REF!+#REF!</definedName>
    <definedName name="SHARED_FORMULA_2_75_2_75_5" localSheetId="12">#REF!+#REF!+#REF!+#REF!</definedName>
    <definedName name="SHARED_FORMULA_2_75_2_75_5" localSheetId="8">#REF!+#REF!+#REF!+#REF!</definedName>
    <definedName name="SHARED_FORMULA_2_75_2_75_5" localSheetId="9">#REF!+#REF!+#REF!+#REF!</definedName>
    <definedName name="SHARED_FORMULA_2_75_2_75_5">#REF!+#REF!+#REF!+#REF!</definedName>
    <definedName name="SHARED_FORMULA_2_82_2_82_5" localSheetId="11">#REF!</definedName>
    <definedName name="SHARED_FORMULA_2_82_2_82_5" localSheetId="12">#REF!</definedName>
    <definedName name="SHARED_FORMULA_2_82_2_82_5" localSheetId="8">#REF!</definedName>
    <definedName name="SHARED_FORMULA_2_82_2_82_5" localSheetId="9">#REF!</definedName>
    <definedName name="SHARED_FORMULA_2_82_2_82_5">#REF!</definedName>
    <definedName name="SHARED_FORMULA_2_86_2_86_5" localSheetId="11">#REF!+#REF!</definedName>
    <definedName name="SHARED_FORMULA_2_86_2_86_5" localSheetId="12">#REF!+#REF!</definedName>
    <definedName name="SHARED_FORMULA_2_86_2_86_5" localSheetId="8">#REF!+#REF!</definedName>
    <definedName name="SHARED_FORMULA_2_86_2_86_5" localSheetId="9">#REF!+#REF!</definedName>
    <definedName name="SHARED_FORMULA_2_86_2_86_5">#REF!+#REF!</definedName>
    <definedName name="SHARED_FORMULA_2_87_2_87_5" localSheetId="11">#REF!+#REF!</definedName>
    <definedName name="SHARED_FORMULA_2_87_2_87_5" localSheetId="12">#REF!+#REF!</definedName>
    <definedName name="SHARED_FORMULA_2_87_2_87_5" localSheetId="8">#REF!+#REF!</definedName>
    <definedName name="SHARED_FORMULA_2_87_2_87_5" localSheetId="9">#REF!+#REF!</definedName>
    <definedName name="SHARED_FORMULA_2_87_2_87_5">#REF!+#REF!</definedName>
    <definedName name="SHARED_FORMULA_2_88_2_88_5" localSheetId="11">#REF!+#REF!</definedName>
    <definedName name="SHARED_FORMULA_2_88_2_88_5" localSheetId="12">#REF!+#REF!</definedName>
    <definedName name="SHARED_FORMULA_2_88_2_88_5" localSheetId="8">#REF!+#REF!</definedName>
    <definedName name="SHARED_FORMULA_2_88_2_88_5" localSheetId="9">#REF!+#REF!</definedName>
    <definedName name="SHARED_FORMULA_2_88_2_88_5">#REF!+#REF!</definedName>
    <definedName name="SHARED_FORMULA_2_89_2_89_5" localSheetId="11">#REF!+#REF!</definedName>
    <definedName name="SHARED_FORMULA_2_89_2_89_5" localSheetId="12">#REF!+#REF!</definedName>
    <definedName name="SHARED_FORMULA_2_89_2_89_5" localSheetId="8">#REF!+#REF!</definedName>
    <definedName name="SHARED_FORMULA_2_89_2_89_5" localSheetId="9">#REF!+#REF!</definedName>
    <definedName name="SHARED_FORMULA_2_89_2_89_5">#REF!+#REF!</definedName>
    <definedName name="SHARED_FORMULA_2_9_2_9_5" localSheetId="11">#REF!</definedName>
    <definedName name="SHARED_FORMULA_2_9_2_9_5" localSheetId="12">#REF!</definedName>
    <definedName name="SHARED_FORMULA_2_9_2_9_5" localSheetId="8">#REF!</definedName>
    <definedName name="SHARED_FORMULA_2_9_2_9_5" localSheetId="9">#REF!</definedName>
    <definedName name="SHARED_FORMULA_2_9_2_9_5">#REF!</definedName>
    <definedName name="SHARED_FORMULA_2_90_2_90_5" localSheetId="11">#REF!+#REF!</definedName>
    <definedName name="SHARED_FORMULA_2_90_2_90_5" localSheetId="12">#REF!+#REF!</definedName>
    <definedName name="SHARED_FORMULA_2_90_2_90_5" localSheetId="8">#REF!+#REF!</definedName>
    <definedName name="SHARED_FORMULA_2_90_2_90_5" localSheetId="9">#REF!+#REF!</definedName>
    <definedName name="SHARED_FORMULA_2_90_2_90_5">#REF!+#REF!</definedName>
    <definedName name="SHARED_FORMULA_2_92_2_92_5" localSheetId="11">#REF!</definedName>
    <definedName name="SHARED_FORMULA_2_92_2_92_5" localSheetId="12">#REF!</definedName>
    <definedName name="SHARED_FORMULA_2_92_2_92_5" localSheetId="8">#REF!</definedName>
    <definedName name="SHARED_FORMULA_2_92_2_92_5" localSheetId="9">#REF!</definedName>
    <definedName name="SHARED_FORMULA_2_92_2_92_5">#REF!</definedName>
    <definedName name="SHARED_FORMULA_2_97_2_97_5" localSheetId="11">#REF!</definedName>
    <definedName name="SHARED_FORMULA_2_97_2_97_5" localSheetId="12">#REF!</definedName>
    <definedName name="SHARED_FORMULA_2_97_2_97_5" localSheetId="8">#REF!</definedName>
    <definedName name="SHARED_FORMULA_2_97_2_97_5" localSheetId="9">#REF!</definedName>
    <definedName name="SHARED_FORMULA_2_97_2_97_5">#REF!</definedName>
    <definedName name="SHARED_FORMULA_20_10_20_10_5" localSheetId="11">#REF!</definedName>
    <definedName name="SHARED_FORMULA_20_10_20_10_5" localSheetId="12">#REF!</definedName>
    <definedName name="SHARED_FORMULA_20_10_20_10_5" localSheetId="8">#REF!</definedName>
    <definedName name="SHARED_FORMULA_20_10_20_10_5" localSheetId="9">#REF!</definedName>
    <definedName name="SHARED_FORMULA_20_10_20_10_5">#REF!</definedName>
    <definedName name="SHARED_FORMULA_20_102_20_102_5" localSheetId="11">#REF!</definedName>
    <definedName name="SHARED_FORMULA_20_102_20_102_5" localSheetId="12">#REF!</definedName>
    <definedName name="SHARED_FORMULA_20_102_20_102_5" localSheetId="8">#REF!</definedName>
    <definedName name="SHARED_FORMULA_20_102_20_102_5" localSheetId="9">#REF!</definedName>
    <definedName name="SHARED_FORMULA_20_102_20_102_5">#REF!</definedName>
    <definedName name="SHARED_FORMULA_20_112_20_112_5" localSheetId="11">#REF!</definedName>
    <definedName name="SHARED_FORMULA_20_112_20_112_5" localSheetId="12">#REF!</definedName>
    <definedName name="SHARED_FORMULA_20_112_20_112_5" localSheetId="8">#REF!</definedName>
    <definedName name="SHARED_FORMULA_20_112_20_112_5" localSheetId="9">#REF!</definedName>
    <definedName name="SHARED_FORMULA_20_112_20_112_5">#REF!</definedName>
    <definedName name="SHARED_FORMULA_20_117_20_117_5" localSheetId="11">#REF!</definedName>
    <definedName name="SHARED_FORMULA_20_117_20_117_5" localSheetId="12">#REF!</definedName>
    <definedName name="SHARED_FORMULA_20_117_20_117_5" localSheetId="8">#REF!</definedName>
    <definedName name="SHARED_FORMULA_20_117_20_117_5" localSheetId="9">#REF!</definedName>
    <definedName name="SHARED_FORMULA_20_117_20_117_5">#REF!</definedName>
    <definedName name="SHARED_FORMULA_20_121_20_121_5" localSheetId="11">#REF!+#REF!+#REF!+#REF!</definedName>
    <definedName name="SHARED_FORMULA_20_121_20_121_5" localSheetId="12">#REF!+#REF!+#REF!+#REF!</definedName>
    <definedName name="SHARED_FORMULA_20_121_20_121_5" localSheetId="8">#REF!+#REF!+#REF!+#REF!</definedName>
    <definedName name="SHARED_FORMULA_20_121_20_121_5" localSheetId="9">#REF!+#REF!+#REF!+#REF!</definedName>
    <definedName name="SHARED_FORMULA_20_121_20_121_5">#REF!+#REF!+#REF!+#REF!</definedName>
    <definedName name="SHARED_FORMULA_20_127_20_127_5" localSheetId="11">#REF!</definedName>
    <definedName name="SHARED_FORMULA_20_127_20_127_5" localSheetId="12">#REF!</definedName>
    <definedName name="SHARED_FORMULA_20_127_20_127_5" localSheetId="8">#REF!</definedName>
    <definedName name="SHARED_FORMULA_20_127_20_127_5" localSheetId="9">#REF!</definedName>
    <definedName name="SHARED_FORMULA_20_127_20_127_5">#REF!</definedName>
    <definedName name="SHARED_FORMULA_20_131_20_131_5" localSheetId="11">#REF!+#REF!+#REF!+#REF!+#REF!+#REF!+#REF!+#REF!+#REF!+#REF!+#REF!+#REF!+#REF!+#REF!+#REF!+#REF!+#REF!+#REF!+#REF!+#REF!+#REF!+#REF!+#REF!</definedName>
    <definedName name="SHARED_FORMULA_20_131_20_131_5" localSheetId="12">#REF!+#REF!+#REF!+#REF!+#REF!+#REF!+#REF!+#REF!+#REF!+#REF!+#REF!+#REF!+#REF!+#REF!+#REF!+#REF!+#REF!+#REF!+#REF!+#REF!+#REF!+#REF!+#REF!</definedName>
    <definedName name="SHARED_FORMULA_20_131_20_131_5" localSheetId="8">#REF!+#REF!+#REF!+#REF!+#REF!+#REF!+#REF!+#REF!+#REF!+#REF!+#REF!+#REF!+#REF!+#REF!+#REF!+#REF!+#REF!+#REF!+#REF!+#REF!+#REF!+#REF!+#REF!</definedName>
    <definedName name="SHARED_FORMULA_20_131_20_131_5" localSheetId="9">#REF!+#REF!+#REF!+#REF!+#REF!+#REF!+#REF!+#REF!+#REF!+#REF!+#REF!+#REF!+#REF!+#REF!+#REF!+#REF!+#REF!+#REF!+#REF!+#REF!+#REF!+#REF!+#REF!</definedName>
    <definedName name="SHARED_FORMULA_20_131_20_131_5">#REF!+#REF!+#REF!+#REF!+#REF!+#REF!+#REF!+#REF!+#REF!+#REF!+#REF!+#REF!+#REF!+#REF!+#REF!+#REF!+#REF!+#REF!+#REF!+#REF!+#REF!+#REF!+#REF!</definedName>
    <definedName name="SHARED_FORMULA_20_14_20_14_5" localSheetId="11">#REF!</definedName>
    <definedName name="SHARED_FORMULA_20_14_20_14_5" localSheetId="12">#REF!</definedName>
    <definedName name="SHARED_FORMULA_20_14_20_14_5" localSheetId="8">#REF!</definedName>
    <definedName name="SHARED_FORMULA_20_14_20_14_5" localSheetId="9">#REF!</definedName>
    <definedName name="SHARED_FORMULA_20_14_20_14_5">#REF!</definedName>
    <definedName name="SHARED_FORMULA_20_141_20_141_5" localSheetId="11">#REF!+#REF!+#REF!+#REF!+#REF!+#REF!+#REF!+#REF!+#REF!+#REF!+#REF!+#REF!+#REF!+#REF!+#REF!+#REF!+#REF!+#REF!+#REF!+#REF!+#REF!+#REF!</definedName>
    <definedName name="SHARED_FORMULA_20_141_20_141_5" localSheetId="12">#REF!+#REF!+#REF!+#REF!+#REF!+#REF!+#REF!+#REF!+#REF!+#REF!+#REF!+#REF!+#REF!+#REF!+#REF!+#REF!+#REF!+#REF!+#REF!+#REF!+#REF!+#REF!</definedName>
    <definedName name="SHARED_FORMULA_20_141_20_141_5" localSheetId="8">#REF!+#REF!+#REF!+#REF!+#REF!+#REF!+#REF!+#REF!+#REF!+#REF!+#REF!+#REF!+#REF!+#REF!+#REF!+#REF!+#REF!+#REF!+#REF!+#REF!+#REF!+#REF!</definedName>
    <definedName name="SHARED_FORMULA_20_141_20_141_5" localSheetId="9">#REF!+#REF!+#REF!+#REF!+#REF!+#REF!+#REF!+#REF!+#REF!+#REF!+#REF!+#REF!+#REF!+#REF!+#REF!+#REF!+#REF!+#REF!+#REF!+#REF!+#REF!+#REF!</definedName>
    <definedName name="SHARED_FORMULA_20_141_20_141_5">#REF!+#REF!+#REF!+#REF!+#REF!+#REF!+#REF!+#REF!+#REF!+#REF!+#REF!+#REF!+#REF!+#REF!+#REF!+#REF!+#REF!+#REF!+#REF!+#REF!+#REF!+#REF!</definedName>
    <definedName name="SHARED_FORMULA_20_19_20_19_5" localSheetId="11">#REF!</definedName>
    <definedName name="SHARED_FORMULA_20_19_20_19_5" localSheetId="12">#REF!</definedName>
    <definedName name="SHARED_FORMULA_20_19_20_19_5" localSheetId="8">#REF!</definedName>
    <definedName name="SHARED_FORMULA_20_19_20_19_5" localSheetId="9">#REF!</definedName>
    <definedName name="SHARED_FORMULA_20_19_20_19_5">#REF!</definedName>
    <definedName name="SHARED_FORMULA_20_22_20_22_5" localSheetId="11">#REF!</definedName>
    <definedName name="SHARED_FORMULA_20_22_20_22_5" localSheetId="12">#REF!</definedName>
    <definedName name="SHARED_FORMULA_20_22_20_22_5" localSheetId="8">#REF!</definedName>
    <definedName name="SHARED_FORMULA_20_22_20_22_5" localSheetId="9">#REF!</definedName>
    <definedName name="SHARED_FORMULA_20_22_20_22_5">#REF!</definedName>
    <definedName name="SHARED_FORMULA_20_27_20_27_5" localSheetId="11">#REF!</definedName>
    <definedName name="SHARED_FORMULA_20_27_20_27_5" localSheetId="12">#REF!</definedName>
    <definedName name="SHARED_FORMULA_20_27_20_27_5" localSheetId="8">#REF!</definedName>
    <definedName name="SHARED_FORMULA_20_27_20_27_5" localSheetId="9">#REF!</definedName>
    <definedName name="SHARED_FORMULA_20_27_20_27_5">#REF!</definedName>
    <definedName name="SHARED_FORMULA_20_33_20_33_5" localSheetId="11">#REF!</definedName>
    <definedName name="SHARED_FORMULA_20_33_20_33_5" localSheetId="12">#REF!</definedName>
    <definedName name="SHARED_FORMULA_20_33_20_33_5" localSheetId="8">#REF!</definedName>
    <definedName name="SHARED_FORMULA_20_33_20_33_5" localSheetId="9">#REF!</definedName>
    <definedName name="SHARED_FORMULA_20_33_20_33_5">#REF!</definedName>
    <definedName name="SHARED_FORMULA_20_37_20_37_5" localSheetId="11">#REF!</definedName>
    <definedName name="SHARED_FORMULA_20_37_20_37_5" localSheetId="12">#REF!</definedName>
    <definedName name="SHARED_FORMULA_20_37_20_37_5" localSheetId="8">#REF!</definedName>
    <definedName name="SHARED_FORMULA_20_37_20_37_5" localSheetId="9">#REF!</definedName>
    <definedName name="SHARED_FORMULA_20_37_20_37_5">#REF!</definedName>
    <definedName name="SHARED_FORMULA_20_42_20_42_5" localSheetId="11">#REF!</definedName>
    <definedName name="SHARED_FORMULA_20_42_20_42_5" localSheetId="12">#REF!</definedName>
    <definedName name="SHARED_FORMULA_20_42_20_42_5" localSheetId="8">#REF!</definedName>
    <definedName name="SHARED_FORMULA_20_42_20_42_5" localSheetId="9">#REF!</definedName>
    <definedName name="SHARED_FORMULA_20_42_20_42_5">#REF!</definedName>
    <definedName name="SHARED_FORMULA_20_57_20_57_5" localSheetId="11">#REF!</definedName>
    <definedName name="SHARED_FORMULA_20_57_20_57_5" localSheetId="12">#REF!</definedName>
    <definedName name="SHARED_FORMULA_20_57_20_57_5" localSheetId="8">#REF!</definedName>
    <definedName name="SHARED_FORMULA_20_57_20_57_5" localSheetId="9">#REF!</definedName>
    <definedName name="SHARED_FORMULA_20_57_20_57_5">#REF!</definedName>
    <definedName name="SHARED_FORMULA_20_63_20_63_5" localSheetId="11">#REF!</definedName>
    <definedName name="SHARED_FORMULA_20_63_20_63_5" localSheetId="12">#REF!</definedName>
    <definedName name="SHARED_FORMULA_20_63_20_63_5" localSheetId="8">#REF!</definedName>
    <definedName name="SHARED_FORMULA_20_63_20_63_5" localSheetId="9">#REF!</definedName>
    <definedName name="SHARED_FORMULA_20_63_20_63_5">#REF!</definedName>
    <definedName name="SHARED_FORMULA_20_67_20_67_5" localSheetId="11">#REF!</definedName>
    <definedName name="SHARED_FORMULA_20_67_20_67_5" localSheetId="12">#REF!</definedName>
    <definedName name="SHARED_FORMULA_20_67_20_67_5" localSheetId="8">#REF!</definedName>
    <definedName name="SHARED_FORMULA_20_67_20_67_5" localSheetId="9">#REF!</definedName>
    <definedName name="SHARED_FORMULA_20_67_20_67_5">#REF!</definedName>
    <definedName name="SHARED_FORMULA_20_78_20_78_5" localSheetId="11">#REF!</definedName>
    <definedName name="SHARED_FORMULA_20_78_20_78_5" localSheetId="12">#REF!</definedName>
    <definedName name="SHARED_FORMULA_20_78_20_78_5" localSheetId="8">#REF!</definedName>
    <definedName name="SHARED_FORMULA_20_78_20_78_5" localSheetId="9">#REF!</definedName>
    <definedName name="SHARED_FORMULA_20_78_20_78_5">#REF!</definedName>
    <definedName name="SHARED_FORMULA_20_82_20_82_5" localSheetId="11">#REF!</definedName>
    <definedName name="SHARED_FORMULA_20_82_20_82_5" localSheetId="12">#REF!</definedName>
    <definedName name="SHARED_FORMULA_20_82_20_82_5" localSheetId="8">#REF!</definedName>
    <definedName name="SHARED_FORMULA_20_82_20_82_5" localSheetId="9">#REF!</definedName>
    <definedName name="SHARED_FORMULA_20_82_20_82_5">#REF!</definedName>
    <definedName name="SHARED_FORMULA_20_86_20_86_5" localSheetId="11">#REF!+#REF!</definedName>
    <definedName name="SHARED_FORMULA_20_86_20_86_5" localSheetId="12">#REF!+#REF!</definedName>
    <definedName name="SHARED_FORMULA_20_86_20_86_5" localSheetId="8">#REF!+#REF!</definedName>
    <definedName name="SHARED_FORMULA_20_86_20_86_5" localSheetId="9">#REF!+#REF!</definedName>
    <definedName name="SHARED_FORMULA_20_86_20_86_5">#REF!+#REF!</definedName>
    <definedName name="SHARED_FORMULA_20_92_20_92_5" localSheetId="11">#REF!</definedName>
    <definedName name="SHARED_FORMULA_20_92_20_92_5" localSheetId="12">#REF!</definedName>
    <definedName name="SHARED_FORMULA_20_92_20_92_5" localSheetId="8">#REF!</definedName>
    <definedName name="SHARED_FORMULA_20_92_20_92_5" localSheetId="9">#REF!</definedName>
    <definedName name="SHARED_FORMULA_20_92_20_92_5">#REF!</definedName>
    <definedName name="SHARED_FORMULA_23_3_23_3_5" localSheetId="11">SUM(#REF!)-#REF!</definedName>
    <definedName name="SHARED_FORMULA_23_3_23_3_5" localSheetId="12">SUM(#REF!)-#REF!</definedName>
    <definedName name="SHARED_FORMULA_23_3_23_3_5" localSheetId="8">SUM(#REF!)-#REF!</definedName>
    <definedName name="SHARED_FORMULA_23_3_23_3_5" localSheetId="9">SUM(#REF!)-#REF!</definedName>
    <definedName name="SHARED_FORMULA_23_3_23_3_5">SUM(#REF!)-#REF!</definedName>
    <definedName name="SHARED_FORMULA_23_32_23_32_5" localSheetId="11">SUM(#REF!)-#REF!</definedName>
    <definedName name="SHARED_FORMULA_23_32_23_32_5" localSheetId="12">SUM(#REF!)-#REF!</definedName>
    <definedName name="SHARED_FORMULA_23_32_23_32_5" localSheetId="8">SUM(#REF!)-#REF!</definedName>
    <definedName name="SHARED_FORMULA_23_32_23_32_5" localSheetId="9">SUM(#REF!)-#REF!</definedName>
    <definedName name="SHARED_FORMULA_23_32_23_32_5">SUM(#REF!)-#REF!</definedName>
    <definedName name="SHARED_FORMULA_23_64_23_64_5" localSheetId="11">SUM(#REF!)-#REF!</definedName>
    <definedName name="SHARED_FORMULA_23_64_23_64_5" localSheetId="12">SUM(#REF!)-#REF!</definedName>
    <definedName name="SHARED_FORMULA_23_64_23_64_5" localSheetId="8">SUM(#REF!)-#REF!</definedName>
    <definedName name="SHARED_FORMULA_23_64_23_64_5" localSheetId="9">SUM(#REF!)-#REF!</definedName>
    <definedName name="SHARED_FORMULA_23_64_23_64_5">SUM(#REF!)-#REF!</definedName>
    <definedName name="SHARED_FORMULA_23_96_23_96_5" localSheetId="11">SUM(#REF!)-#REF!</definedName>
    <definedName name="SHARED_FORMULA_23_96_23_96_5" localSheetId="12">SUM(#REF!)-#REF!</definedName>
    <definedName name="SHARED_FORMULA_23_96_23_96_5" localSheetId="8">SUM(#REF!)-#REF!</definedName>
    <definedName name="SHARED_FORMULA_23_96_23_96_5" localSheetId="9">SUM(#REF!)-#REF!</definedName>
    <definedName name="SHARED_FORMULA_23_96_23_96_5">SUM(#REF!)-#REF!</definedName>
    <definedName name="SHARED_FORMULA_25_131_25_131_5" localSheetId="11">SUM(#REF!)-#REF!</definedName>
    <definedName name="SHARED_FORMULA_25_131_25_131_5" localSheetId="12">SUM(#REF!)-#REF!</definedName>
    <definedName name="SHARED_FORMULA_25_131_25_131_5" localSheetId="8">SUM(#REF!)-#REF!</definedName>
    <definedName name="SHARED_FORMULA_25_131_25_131_5" localSheetId="9">SUM(#REF!)-#REF!</definedName>
    <definedName name="SHARED_FORMULA_25_131_25_131_5">SUM(#REF!)-#REF!</definedName>
    <definedName name="SHARED_FORMULA_3_10_3_10_3" localSheetId="11">SUM(#REF!)</definedName>
    <definedName name="SHARED_FORMULA_3_10_3_10_3" localSheetId="12">SUM(#REF!)</definedName>
    <definedName name="SHARED_FORMULA_3_10_3_10_3" localSheetId="8">SUM(#REF!)</definedName>
    <definedName name="SHARED_FORMULA_3_10_3_10_3" localSheetId="9">SUM(#REF!)</definedName>
    <definedName name="SHARED_FORMULA_3_10_3_10_3">SUM(#REF!)</definedName>
    <definedName name="SHARED_FORMULA_3_308_3_308_4" localSheetId="11">SUM(#REF!+#REF!+#REF!)</definedName>
    <definedName name="SHARED_FORMULA_3_308_3_308_4" localSheetId="12">SUM(#REF!+#REF!+#REF!)</definedName>
    <definedName name="SHARED_FORMULA_3_308_3_308_4" localSheetId="8">SUM(#REF!+#REF!+#REF!)</definedName>
    <definedName name="SHARED_FORMULA_3_308_3_308_4" localSheetId="9">SUM(#REF!+#REF!+#REF!)</definedName>
    <definedName name="SHARED_FORMULA_3_308_3_308_4">SUM(#REF!+#REF!+#REF!)</definedName>
    <definedName name="SHARED_FORMULA_3_309_3_309_4" localSheetId="11">#REF!+#REF!+#REF!</definedName>
    <definedName name="SHARED_FORMULA_3_309_3_309_4" localSheetId="12">#REF!+#REF!+#REF!</definedName>
    <definedName name="SHARED_FORMULA_3_309_3_309_4" localSheetId="8">#REF!+#REF!+#REF!</definedName>
    <definedName name="SHARED_FORMULA_3_309_3_309_4" localSheetId="9">#REF!+#REF!+#REF!</definedName>
    <definedName name="SHARED_FORMULA_3_309_3_309_4">#REF!+#REF!+#REF!</definedName>
    <definedName name="SHARED_FORMULA_3_312_3_312_4" localSheetId="11">SUM(#REF!+#REF!+#REF!)</definedName>
    <definedName name="SHARED_FORMULA_3_312_3_312_4" localSheetId="12">SUM(#REF!+#REF!+#REF!)</definedName>
    <definedName name="SHARED_FORMULA_3_312_3_312_4" localSheetId="8">SUM(#REF!+#REF!+#REF!)</definedName>
    <definedName name="SHARED_FORMULA_3_312_3_312_4" localSheetId="9">SUM(#REF!+#REF!+#REF!)</definedName>
    <definedName name="SHARED_FORMULA_3_312_3_312_4">SUM(#REF!+#REF!+#REF!)</definedName>
    <definedName name="SHARED_FORMULA_3_32_3_32_2" localSheetId="11">SUM(#REF!)</definedName>
    <definedName name="SHARED_FORMULA_3_32_3_32_2" localSheetId="12">SUM(#REF!)</definedName>
    <definedName name="SHARED_FORMULA_3_32_3_32_2" localSheetId="8">SUM(#REF!)</definedName>
    <definedName name="SHARED_FORMULA_3_32_3_32_2" localSheetId="9">SUM(#REF!)</definedName>
    <definedName name="SHARED_FORMULA_3_32_3_32_2">SUM(#REF!)</definedName>
    <definedName name="SHARED_FORMULA_3_320_3_320_4" localSheetId="11">SUM(#REF!+#REF!+#REF!+#REF!)</definedName>
    <definedName name="SHARED_FORMULA_3_320_3_320_4" localSheetId="12">SUM(#REF!+#REF!+#REF!+#REF!)</definedName>
    <definedName name="SHARED_FORMULA_3_320_3_320_4" localSheetId="8">SUM(#REF!+#REF!+#REF!+#REF!)</definedName>
    <definedName name="SHARED_FORMULA_3_320_3_320_4" localSheetId="9">SUM(#REF!+#REF!+#REF!+#REF!)</definedName>
    <definedName name="SHARED_FORMULA_3_320_3_320_4">SUM(#REF!+#REF!+#REF!+#REF!)</definedName>
    <definedName name="SHARED_FORMULA_3_321_3_321_4" localSheetId="11">SUM(#REF!+#REF!+#REF!+#REF!)</definedName>
    <definedName name="SHARED_FORMULA_3_321_3_321_4" localSheetId="12">SUM(#REF!+#REF!+#REF!+#REF!)</definedName>
    <definedName name="SHARED_FORMULA_3_321_3_321_4" localSheetId="8">SUM(#REF!+#REF!+#REF!+#REF!)</definedName>
    <definedName name="SHARED_FORMULA_3_321_3_321_4" localSheetId="9">SUM(#REF!+#REF!+#REF!+#REF!)</definedName>
    <definedName name="SHARED_FORMULA_3_321_3_321_4">SUM(#REF!+#REF!+#REF!+#REF!)</definedName>
    <definedName name="SHARED_FORMULA_3_37_3_37_2" localSheetId="11">SUM(#REF!)</definedName>
    <definedName name="SHARED_FORMULA_3_37_3_37_2" localSheetId="12">SUM(#REF!)</definedName>
    <definedName name="SHARED_FORMULA_3_37_3_37_2" localSheetId="8">SUM(#REF!)</definedName>
    <definedName name="SHARED_FORMULA_3_37_3_37_2" localSheetId="9">SUM(#REF!)</definedName>
    <definedName name="SHARED_FORMULA_3_37_3_37_2">SUM(#REF!)</definedName>
    <definedName name="SHARED_FORMULA_3_47_3_47_2" localSheetId="11">SUM(#REF!)</definedName>
    <definedName name="SHARED_FORMULA_3_47_3_47_2" localSheetId="12">SUM(#REF!)</definedName>
    <definedName name="SHARED_FORMULA_3_47_3_47_2" localSheetId="8">SUM(#REF!)</definedName>
    <definedName name="SHARED_FORMULA_3_47_3_47_2" localSheetId="9">SUM(#REF!)</definedName>
    <definedName name="SHARED_FORMULA_3_47_3_47_2">SUM(#REF!)</definedName>
    <definedName name="SHARED_FORMULA_3_59_3_59_5" localSheetId="11">#REF!</definedName>
    <definedName name="SHARED_FORMULA_3_59_3_59_5" localSheetId="12">#REF!</definedName>
    <definedName name="SHARED_FORMULA_3_59_3_59_5" localSheetId="8">#REF!</definedName>
    <definedName name="SHARED_FORMULA_3_59_3_59_5" localSheetId="9">#REF!</definedName>
    <definedName name="SHARED_FORMULA_3_59_3_59_5">#REF!</definedName>
    <definedName name="SHARED_FORMULA_3_77_3_77_5" localSheetId="11">#REF!</definedName>
    <definedName name="SHARED_FORMULA_3_77_3_77_5" localSheetId="12">#REF!</definedName>
    <definedName name="SHARED_FORMULA_3_77_3_77_5" localSheetId="8">#REF!</definedName>
    <definedName name="SHARED_FORMULA_3_77_3_77_5" localSheetId="9">#REF!</definedName>
    <definedName name="SHARED_FORMULA_3_77_3_77_5">#REF!</definedName>
    <definedName name="SHARED_FORMULA_3_94_3_94_5" localSheetId="11">#REF!</definedName>
    <definedName name="SHARED_FORMULA_3_94_3_94_5" localSheetId="12">#REF!</definedName>
    <definedName name="SHARED_FORMULA_3_94_3_94_5" localSheetId="8">#REF!</definedName>
    <definedName name="SHARED_FORMULA_3_94_3_94_5" localSheetId="9">#REF!</definedName>
    <definedName name="SHARED_FORMULA_3_94_3_94_5">#REF!</definedName>
    <definedName name="SHARED_FORMULA_4_133_4_133_5" localSheetId="11">SUM(#REF!)-#REF!-#REF!-#REF!</definedName>
    <definedName name="SHARED_FORMULA_4_133_4_133_5" localSheetId="12">SUM(#REF!)-#REF!-#REF!-#REF!</definedName>
    <definedName name="SHARED_FORMULA_4_133_4_133_5" localSheetId="8">SUM(#REF!)-#REF!-#REF!-#REF!</definedName>
    <definedName name="SHARED_FORMULA_4_133_4_133_5" localSheetId="9">SUM(#REF!)-#REF!-#REF!-#REF!</definedName>
    <definedName name="SHARED_FORMULA_4_133_4_133_5">SUM(#REF!)-#REF!-#REF!-#REF!</definedName>
    <definedName name="SHARED_FORMULA_4_136_4_136_4" localSheetId="11">SUM(#REF!)</definedName>
    <definedName name="SHARED_FORMULA_4_136_4_136_4" localSheetId="12">SUM(#REF!)</definedName>
    <definedName name="SHARED_FORMULA_4_136_4_136_4" localSheetId="8">SUM(#REF!)</definedName>
    <definedName name="SHARED_FORMULA_4_136_4_136_4" localSheetId="9">SUM(#REF!)</definedName>
    <definedName name="SHARED_FORMULA_4_136_4_136_4">SUM(#REF!)</definedName>
    <definedName name="SHARED_FORMULA_4_200_4_200_4" localSheetId="11">SUM(#REF!)</definedName>
    <definedName name="SHARED_FORMULA_4_200_4_200_4" localSheetId="12">SUM(#REF!)</definedName>
    <definedName name="SHARED_FORMULA_4_200_4_200_4" localSheetId="8">SUM(#REF!)</definedName>
    <definedName name="SHARED_FORMULA_4_200_4_200_4" localSheetId="9">SUM(#REF!)</definedName>
    <definedName name="SHARED_FORMULA_4_200_4_200_4">SUM(#REF!)</definedName>
    <definedName name="SHARED_FORMULA_4_264_4_264_4" localSheetId="11">SUM(#REF!)</definedName>
    <definedName name="SHARED_FORMULA_4_264_4_264_4" localSheetId="12">SUM(#REF!)</definedName>
    <definedName name="SHARED_FORMULA_4_264_4_264_4" localSheetId="8">SUM(#REF!)</definedName>
    <definedName name="SHARED_FORMULA_4_264_4_264_4" localSheetId="9">SUM(#REF!)</definedName>
    <definedName name="SHARED_FORMULA_4_264_4_264_4">SUM(#REF!)</definedName>
    <definedName name="SHARED_FORMULA_4_322_4_322_4" localSheetId="11">SUM(#REF!,#REF!,#REF!)</definedName>
    <definedName name="SHARED_FORMULA_4_322_4_322_4" localSheetId="12">SUM(#REF!,#REF!,#REF!)</definedName>
    <definedName name="SHARED_FORMULA_4_322_4_322_4" localSheetId="8">SUM(#REF!,#REF!,#REF!)</definedName>
    <definedName name="SHARED_FORMULA_4_322_4_322_4" localSheetId="9">SUM(#REF!,#REF!,#REF!)</definedName>
    <definedName name="SHARED_FORMULA_4_322_4_322_4">SUM(#REF!,#REF!,#REF!)</definedName>
    <definedName name="SHARED_FORMULA_4_43_4_43_3" localSheetId="11">SUM(#REF!,#REF!,#REF!,#REF!,#REF!,#REF!,#REF!,#REF!,#REF!,#REF!,#REF!,#REF!,#REF!,#REF!)</definedName>
    <definedName name="SHARED_FORMULA_4_43_4_43_3" localSheetId="12">SUM(#REF!,#REF!,#REF!,#REF!,#REF!,#REF!,#REF!,#REF!,#REF!,#REF!,#REF!,#REF!,#REF!,#REF!)</definedName>
    <definedName name="SHARED_FORMULA_4_43_4_43_3" localSheetId="8">SUM(#REF!,#REF!,#REF!,#REF!,#REF!,#REF!,#REF!,#REF!,#REF!,#REF!,#REF!,#REF!,#REF!,#REF!)</definedName>
    <definedName name="SHARED_FORMULA_4_43_4_43_3" localSheetId="9">SUM(#REF!,#REF!,#REF!,#REF!,#REF!,#REF!,#REF!,#REF!,#REF!,#REF!,#REF!,#REF!,#REF!,#REF!)</definedName>
    <definedName name="SHARED_FORMULA_4_43_4_43_3">SUM(#REF!,#REF!,#REF!,#REF!,#REF!,#REF!,#REF!,#REF!,#REF!,#REF!,#REF!,#REF!,#REF!,#REF!)</definedName>
    <definedName name="SHARED_FORMULA_4_58_4_58_2" localSheetId="11">SUM(#REF!,#REF!,#REF!,#REF!,#REF!,#REF!,#REF!,#REF!,#REF!,#REF!,#REF!)</definedName>
    <definedName name="SHARED_FORMULA_4_58_4_58_2" localSheetId="12">SUM(#REF!,#REF!,#REF!,#REF!,#REF!,#REF!,#REF!,#REF!,#REF!,#REF!,#REF!)</definedName>
    <definedName name="SHARED_FORMULA_4_58_4_58_2" localSheetId="8">SUM(#REF!,#REF!,#REF!,#REF!,#REF!,#REF!,#REF!,#REF!,#REF!,#REF!,#REF!)</definedName>
    <definedName name="SHARED_FORMULA_4_58_4_58_2" localSheetId="9">SUM(#REF!,#REF!,#REF!,#REF!,#REF!,#REF!,#REF!,#REF!,#REF!,#REF!,#REF!)</definedName>
    <definedName name="SHARED_FORMULA_4_58_4_58_2">SUM(#REF!,#REF!,#REF!,#REF!,#REF!,#REF!,#REF!,#REF!,#REF!,#REF!,#REF!)</definedName>
    <definedName name="SHARED_FORMULA_4_73_4_73_4" localSheetId="11">SUM(#REF!)</definedName>
    <definedName name="SHARED_FORMULA_4_73_4_73_4" localSheetId="12">SUM(#REF!)</definedName>
    <definedName name="SHARED_FORMULA_4_73_4_73_4" localSheetId="8">SUM(#REF!)</definedName>
    <definedName name="SHARED_FORMULA_4_73_4_73_4" localSheetId="9">SUM(#REF!)</definedName>
    <definedName name="SHARED_FORMULA_4_73_4_73_4">SUM(#REF!)</definedName>
    <definedName name="SHARED_FORMULA_4_8_4_8_4" localSheetId="11">SUM(#REF!)</definedName>
    <definedName name="SHARED_FORMULA_4_8_4_8_4" localSheetId="12">SUM(#REF!)</definedName>
    <definedName name="SHARED_FORMULA_4_8_4_8_4" localSheetId="8">SUM(#REF!)</definedName>
    <definedName name="SHARED_FORMULA_4_8_4_8_4" localSheetId="9">SUM(#REF!)</definedName>
    <definedName name="SHARED_FORMULA_4_8_4_8_4">SUM(#REF!)</definedName>
    <definedName name="SHARED_FORMULA_4_9_4_9_3" localSheetId="11">SUM(#REF!)</definedName>
    <definedName name="SHARED_FORMULA_4_9_4_9_3" localSheetId="12">SUM(#REF!)</definedName>
    <definedName name="SHARED_FORMULA_4_9_4_9_3" localSheetId="8">SUM(#REF!)</definedName>
    <definedName name="SHARED_FORMULA_4_9_4_9_3" localSheetId="9">SUM(#REF!)</definedName>
    <definedName name="SHARED_FORMULA_4_9_4_9_3">SUM(#REF!)</definedName>
    <definedName name="SHARED_FORMULA_5_108_5_108_5" localSheetId="11">#REF!</definedName>
    <definedName name="SHARED_FORMULA_5_108_5_108_5" localSheetId="12">#REF!</definedName>
    <definedName name="SHARED_FORMULA_5_108_5_108_5" localSheetId="8">#REF!</definedName>
    <definedName name="SHARED_FORMULA_5_108_5_108_5" localSheetId="9">#REF!</definedName>
    <definedName name="SHARED_FORMULA_5_108_5_108_5">#REF!</definedName>
    <definedName name="SHARED_FORMULA_5_109_5_109_5" localSheetId="11">#REF!</definedName>
    <definedName name="SHARED_FORMULA_5_109_5_109_5" localSheetId="12">#REF!</definedName>
    <definedName name="SHARED_FORMULA_5_109_5_109_5" localSheetId="8">#REF!</definedName>
    <definedName name="SHARED_FORMULA_5_109_5_109_5" localSheetId="9">#REF!</definedName>
    <definedName name="SHARED_FORMULA_5_109_5_109_5">#REF!</definedName>
    <definedName name="SHARED_FORMULA_5_129_5_129_5" localSheetId="11">#REF!</definedName>
    <definedName name="SHARED_FORMULA_5_129_5_129_5" localSheetId="12">#REF!</definedName>
    <definedName name="SHARED_FORMULA_5_129_5_129_5" localSheetId="8">#REF!</definedName>
    <definedName name="SHARED_FORMULA_5_129_5_129_5" localSheetId="9">#REF!</definedName>
    <definedName name="SHARED_FORMULA_5_129_5_129_5">#REF!</definedName>
    <definedName name="SHARED_FORMULA_5_19_5_19_5" localSheetId="11">#REF!</definedName>
    <definedName name="SHARED_FORMULA_5_19_5_19_5" localSheetId="12">#REF!</definedName>
    <definedName name="SHARED_FORMULA_5_19_5_19_5" localSheetId="8">#REF!</definedName>
    <definedName name="SHARED_FORMULA_5_19_5_19_5" localSheetId="9">#REF!</definedName>
    <definedName name="SHARED_FORMULA_5_19_5_19_5">#REF!</definedName>
    <definedName name="SHARED_FORMULA_5_28_5_28_5" localSheetId="11">#REF!</definedName>
    <definedName name="SHARED_FORMULA_5_28_5_28_5" localSheetId="12">#REF!</definedName>
    <definedName name="SHARED_FORMULA_5_28_5_28_5" localSheetId="8">#REF!</definedName>
    <definedName name="SHARED_FORMULA_5_28_5_28_5" localSheetId="9">#REF!</definedName>
    <definedName name="SHARED_FORMULA_5_28_5_28_5">#REF!</definedName>
    <definedName name="SHARED_FORMULA_5_288_5_288_4" localSheetId="11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12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8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 localSheetId="9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8_5_288_4">SUM(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)</definedName>
    <definedName name="SHARED_FORMULA_5_289_5_289_4" localSheetId="11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12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8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 localSheetId="9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289_5_289_4">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+#REF!</definedName>
    <definedName name="SHARED_FORMULA_5_35_5_35_5" localSheetId="11">#REF!</definedName>
    <definedName name="SHARED_FORMULA_5_35_5_35_5" localSheetId="12">#REF!</definedName>
    <definedName name="SHARED_FORMULA_5_35_5_35_5" localSheetId="8">#REF!</definedName>
    <definedName name="SHARED_FORMULA_5_35_5_35_5" localSheetId="9">#REF!</definedName>
    <definedName name="SHARED_FORMULA_5_35_5_35_5">#REF!</definedName>
    <definedName name="SHARED_FORMULA_5_69_5_69_5" localSheetId="11">#REF!</definedName>
    <definedName name="SHARED_FORMULA_5_69_5_69_5" localSheetId="12">#REF!</definedName>
    <definedName name="SHARED_FORMULA_5_69_5_69_5" localSheetId="8">#REF!</definedName>
    <definedName name="SHARED_FORMULA_5_69_5_69_5" localSheetId="9">#REF!</definedName>
    <definedName name="SHARED_FORMULA_5_69_5_69_5">#REF!</definedName>
    <definedName name="SHARED_FORMULA_5_7_5_7_5" localSheetId="11">#REF!</definedName>
    <definedName name="SHARED_FORMULA_5_7_5_7_5" localSheetId="12">#REF!</definedName>
    <definedName name="SHARED_FORMULA_5_7_5_7_5" localSheetId="8">#REF!</definedName>
    <definedName name="SHARED_FORMULA_5_7_5_7_5" localSheetId="9">#REF!</definedName>
    <definedName name="SHARED_FORMULA_5_7_5_7_5">#REF!</definedName>
    <definedName name="SHARED_FORMULA_6_5_6_5_0" localSheetId="11">#REF!/#REF!*100</definedName>
    <definedName name="SHARED_FORMULA_6_5_6_5_0" localSheetId="12">#REF!/#REF!*100</definedName>
    <definedName name="SHARED_FORMULA_6_5_6_5_0" localSheetId="8">#REF!/#REF!*100</definedName>
    <definedName name="SHARED_FORMULA_6_5_6_5_0" localSheetId="9">#REF!/#REF!*100</definedName>
    <definedName name="SHARED_FORMULA_6_5_6_5_0">#REF!/#REF!*100</definedName>
    <definedName name="SHARED_FORMULA_7_62_7_62_5" localSheetId="11">#REF!</definedName>
    <definedName name="SHARED_FORMULA_7_62_7_62_5" localSheetId="12">#REF!</definedName>
    <definedName name="SHARED_FORMULA_7_62_7_62_5" localSheetId="8">#REF!</definedName>
    <definedName name="SHARED_FORMULA_7_62_7_62_5" localSheetId="9">#REF!</definedName>
    <definedName name="SHARED_FORMULA_7_62_7_62_5">#REF!</definedName>
    <definedName name="SHARED_FORMULA_7_82_7_82_5" localSheetId="11">#REF!</definedName>
    <definedName name="SHARED_FORMULA_7_82_7_82_5" localSheetId="12">#REF!</definedName>
    <definedName name="SHARED_FORMULA_7_82_7_82_5" localSheetId="8">#REF!</definedName>
    <definedName name="SHARED_FORMULA_7_82_7_82_5" localSheetId="9">#REF!</definedName>
    <definedName name="SHARED_FORMULA_7_82_7_82_5">#REF!</definedName>
    <definedName name="SHARED_FORMULA_7_93_7_93_5" localSheetId="11">#REF!</definedName>
    <definedName name="SHARED_FORMULA_7_93_7_93_5" localSheetId="12">#REF!</definedName>
    <definedName name="SHARED_FORMULA_7_93_7_93_5" localSheetId="8">#REF!</definedName>
    <definedName name="SHARED_FORMULA_7_93_7_93_5" localSheetId="9">#REF!</definedName>
    <definedName name="SHARED_FORMULA_7_93_7_93_5">#REF!</definedName>
    <definedName name="SHARED_FORMULA_8_48_8_48_5" localSheetId="11">#REF!</definedName>
    <definedName name="SHARED_FORMULA_8_48_8_48_5" localSheetId="12">#REF!</definedName>
    <definedName name="SHARED_FORMULA_8_48_8_48_5" localSheetId="8">#REF!</definedName>
    <definedName name="SHARED_FORMULA_8_48_8_48_5" localSheetId="9">#REF!</definedName>
    <definedName name="SHARED_FORMULA_8_48_8_48_5">#REF!</definedName>
    <definedName name="SHARED_FORMULA_9_112_9_112_5" localSheetId="11">#REF!</definedName>
    <definedName name="SHARED_FORMULA_9_112_9_112_5" localSheetId="12">#REF!</definedName>
    <definedName name="SHARED_FORMULA_9_112_9_112_5" localSheetId="8">#REF!</definedName>
    <definedName name="SHARED_FORMULA_9_112_9_112_5" localSheetId="9">#REF!</definedName>
    <definedName name="SHARED_FORMULA_9_112_9_112_5">#REF!</definedName>
    <definedName name="SHARED_FORMULA_9_118_9_118_5" localSheetId="11">#REF!</definedName>
    <definedName name="SHARED_FORMULA_9_118_9_118_5" localSheetId="12">#REF!</definedName>
    <definedName name="SHARED_FORMULA_9_118_9_118_5" localSheetId="8">#REF!</definedName>
    <definedName name="SHARED_FORMULA_9_118_9_118_5" localSheetId="9">#REF!</definedName>
    <definedName name="SHARED_FORMULA_9_118_9_118_5">#REF!</definedName>
    <definedName name="SHARED_FORMULA_9_44_9_44_5" localSheetId="11">#REF!</definedName>
    <definedName name="SHARED_FORMULA_9_44_9_44_5" localSheetId="12">#REF!</definedName>
    <definedName name="SHARED_FORMULA_9_44_9_44_5" localSheetId="8">#REF!</definedName>
    <definedName name="SHARED_FORMULA_9_44_9_44_5" localSheetId="9">#REF!</definedName>
    <definedName name="SHARED_FORMULA_9_44_9_44_5">#REF!</definedName>
    <definedName name="SHARED_FORMULA_9_53_9_53_5" localSheetId="11">#REF!</definedName>
    <definedName name="SHARED_FORMULA_9_53_9_53_5" localSheetId="12">#REF!</definedName>
    <definedName name="SHARED_FORMULA_9_53_9_53_5" localSheetId="8">#REF!</definedName>
    <definedName name="SHARED_FORMULA_9_53_9_53_5" localSheetId="9">#REF!</definedName>
    <definedName name="SHARED_FORMULA_9_53_9_53_5">#REF!</definedName>
    <definedName name="SHARED_FORMULA_9_77_9_77_5" localSheetId="11">#REF!</definedName>
    <definedName name="SHARED_FORMULA_9_77_9_77_5" localSheetId="12">#REF!</definedName>
    <definedName name="SHARED_FORMULA_9_77_9_77_5" localSheetId="8">#REF!</definedName>
    <definedName name="SHARED_FORMULA_9_77_9_77_5" localSheetId="9">#REF!</definedName>
    <definedName name="SHARED_FORMULA_9_77_9_77_5">#REF!</definedName>
    <definedName name="SHARED_FORMULA_9_98_9_98_5" localSheetId="11">#REF!</definedName>
    <definedName name="SHARED_FORMULA_9_98_9_98_5" localSheetId="12">#REF!</definedName>
    <definedName name="SHARED_FORMULA_9_98_9_98_5" localSheetId="8">#REF!</definedName>
    <definedName name="SHARED_FORMULA_9_98_9_98_5" localSheetId="9">#REF!</definedName>
    <definedName name="SHARED_FORMULA_9_98_9_98_5">#REF!</definedName>
    <definedName name="x">#REF!</definedName>
  </definedNames>
  <calcPr fullCalcOnLoad="1"/>
</workbook>
</file>

<file path=xl/sharedStrings.xml><?xml version="1.0" encoding="utf-8"?>
<sst xmlns="http://schemas.openxmlformats.org/spreadsheetml/2006/main" count="2706" uniqueCount="1158">
  <si>
    <t>Tata Város Önkormányzata és az általa irányított költségvetési szervek 2014. évi bevételei forrásonként ( E Ft-ban)</t>
  </si>
  <si>
    <t>Zárolt vissza nem térítendő támogatások</t>
  </si>
  <si>
    <t xml:space="preserve">Tata Város Önkormányzata és az általa irányított költségvetési szervek 2014. évi kiadásai </t>
  </si>
  <si>
    <t>Önkormányzati költségvetési szervek engedélyezett létszáma</t>
  </si>
  <si>
    <t>Zárolt felhalmozási célú támogatások államháztartáson belülről (vissza nem térítendő)</t>
  </si>
  <si>
    <t>Termőföld alapú támogatás</t>
  </si>
  <si>
    <t>Költségvetési szervek megnevezése</t>
  </si>
  <si>
    <t>Engedélyezett létszám (fő)</t>
  </si>
  <si>
    <t>2014. évi felhalmozási célú bevételek és kiadások mérlege (E Ft-ban)</t>
  </si>
  <si>
    <t>Fürdő utcai Óvoda</t>
  </si>
  <si>
    <t>Szivárvány Óvoda</t>
  </si>
  <si>
    <t>Geszti Óvoda</t>
  </si>
  <si>
    <t>Bartók B. úti Óvoda</t>
  </si>
  <si>
    <t>Kertvárosi Óvoda</t>
  </si>
  <si>
    <t>Kincseskert Óvoda</t>
  </si>
  <si>
    <t>Csillagsziget Bölcsőde</t>
  </si>
  <si>
    <t>Móricz Zsigmond Könyvtár</t>
  </si>
  <si>
    <t xml:space="preserve">Intézmények Gazdasági Hivatala </t>
  </si>
  <si>
    <t>Kuny Domokos Múzeum</t>
  </si>
  <si>
    <t>Városi Önkormányzat Intézmények összesen:</t>
  </si>
  <si>
    <t>- Közös Hivatal székhely szerinti szervezeti egysége</t>
  </si>
  <si>
    <t>- Neszmélyi Kirendeltség</t>
  </si>
  <si>
    <t>Önkormányzati közfoglalkoztatottak éves létszám-erőirányzata</t>
  </si>
  <si>
    <t>Hosszabb időtartamú közfoglalkoztatás</t>
  </si>
  <si>
    <t>Tatai Egészségügyi Alapellátó Intézmény</t>
  </si>
  <si>
    <t>Dunaalmási Kirendeltség</t>
  </si>
  <si>
    <t>Dunaszentmiklósi Kirendeltség</t>
  </si>
  <si>
    <t>Hódy Sport Egyesületnek</t>
  </si>
  <si>
    <t>Klapka Focisulinak</t>
  </si>
  <si>
    <t>Vívó Sport Egyesületnek</t>
  </si>
  <si>
    <t>Tatai Sportegyesületnek</t>
  </si>
  <si>
    <t>Dunaalmás Önkormányzatától</t>
  </si>
  <si>
    <t>( kiemelt előirányzatok szerinti részletezésben ) E Ft-ban</t>
  </si>
  <si>
    <t>Kiadások</t>
  </si>
  <si>
    <t>Intézmények Gazdasági Hivatala és a hozzá tartozó Intézményei</t>
  </si>
  <si>
    <t xml:space="preserve">Kuny Domokos  Múzeum </t>
  </si>
  <si>
    <t>Személyi juttatások</t>
  </si>
  <si>
    <t>Munkaadót terhelő járulékok és szociális hozzájárulási adó</t>
  </si>
  <si>
    <t>Dologi kiadások</t>
  </si>
  <si>
    <t>Ellátottak pénzbeli juttatása</t>
  </si>
  <si>
    <t>Egyéb működési kiadás</t>
  </si>
  <si>
    <t>Garancia és kezességvállalás</t>
  </si>
  <si>
    <t>Visszatérítendő támogatások és kölcsönök</t>
  </si>
  <si>
    <t>Egyéb működési célú támogatások (vissza nem térítendő)</t>
  </si>
  <si>
    <t xml:space="preserve"> - Általános tartalék</t>
  </si>
  <si>
    <t>Ellátottak pénzbeli juttatásai</t>
  </si>
  <si>
    <t>Központi költségvetésből származó támogatás</t>
  </si>
  <si>
    <t>Hiány finanszírozása belső forrásból:</t>
  </si>
  <si>
    <t xml:space="preserve"> - Pénzmaradvány</t>
  </si>
  <si>
    <t>Hiány finanszírozása külső forrásból:</t>
  </si>
  <si>
    <t>Általános működési és ágazati támogatás</t>
  </si>
  <si>
    <t>Termékek és szolgáltatások</t>
  </si>
  <si>
    <t>Késedelmi pótlék és pénzbírság</t>
  </si>
  <si>
    <t>Szolgáltatások ellenértéke</t>
  </si>
  <si>
    <t>Tulajdonosi bevételek</t>
  </si>
  <si>
    <t>Garancia és kezességvállalásból visszatérülés (Távhőtől)</t>
  </si>
  <si>
    <t>Iparűzési adóból</t>
  </si>
  <si>
    <t>Föld- és ingatlan értékesítésből átcsoportosítandó</t>
  </si>
  <si>
    <t>Zárolt vissza nem térítendő támogatás</t>
  </si>
  <si>
    <t>Felhalmozási célú visszatérítendő támogatás és kölcsön</t>
  </si>
  <si>
    <t xml:space="preserve">Egyéb felhalmozási célú átvett pénzeszközök </t>
  </si>
  <si>
    <t>Visszatérítendő támogatás és kölcsön</t>
  </si>
  <si>
    <t>Egyéb működési célú támogatás (vissza nem térítendő)</t>
  </si>
  <si>
    <t xml:space="preserve"> - Működési céltartalék</t>
  </si>
  <si>
    <t>Beruházás ( ÁFA-val )</t>
  </si>
  <si>
    <t>Felújítás ( ÁFA-val )</t>
  </si>
  <si>
    <t>Egyéb felhalmozási kiadások</t>
  </si>
  <si>
    <t>Egyéb felhalmozási célú támogatások (vissza nem térítendő)</t>
  </si>
  <si>
    <t xml:space="preserve"> - Felhalmozási tartalék</t>
  </si>
  <si>
    <t xml:space="preserve"> - Felhalmozási céltartalék</t>
  </si>
  <si>
    <t xml:space="preserve"> - Zárolt tartalék</t>
  </si>
  <si>
    <t>KÖLTSÉGVETÉSI KIADÁSOK ÖSSZESEN</t>
  </si>
  <si>
    <t>FINANSZÍROZÁSI KIADÁSOK ÖSSZESEN</t>
  </si>
  <si>
    <t>KIADÁSOK MINDÖSSZESEN</t>
  </si>
  <si>
    <t>Tata Város Önkormányzatának 2014. évi</t>
  </si>
  <si>
    <t>általános működési és ágazati feladatainak támogatásáról (E Ft-ban)</t>
  </si>
  <si>
    <t>Közutak, hidak, alagutak üzemeltetése, fenntartása dologi kiadásainak fedezetére</t>
  </si>
  <si>
    <t>Közvilágítás dologi kiadásainak fedezetére</t>
  </si>
  <si>
    <t>Zöldterület kezelés (Parkfenntartás) dologi kiadásainak fedezetére</t>
  </si>
  <si>
    <t>Neszmély Önkormányzatától</t>
  </si>
  <si>
    <t>Dunaszentmiklós Önkormányzatától</t>
  </si>
  <si>
    <t>Bevételek</t>
  </si>
  <si>
    <t>Működési támogatások</t>
  </si>
  <si>
    <t>Központosított támogatások</t>
  </si>
  <si>
    <t>Általános működés és ágazati feladatok támogatása</t>
  </si>
  <si>
    <t>Egyes szociális feladatok támogatása</t>
  </si>
  <si>
    <t>Működési célú támogatások</t>
  </si>
  <si>
    <t>Visszatérítendő támogatások és kölcsönök (igénylés és visszatérülés)</t>
  </si>
  <si>
    <t>Vissza nem térítendő támogatások</t>
  </si>
  <si>
    <t>Felhalmozási célú támogatások</t>
  </si>
  <si>
    <t>Közhatalmi bevétel</t>
  </si>
  <si>
    <t>Vagyoni típusú adók</t>
  </si>
  <si>
    <t xml:space="preserve"> - Építményadó</t>
  </si>
  <si>
    <t xml:space="preserve"> - Telekadó</t>
  </si>
  <si>
    <t xml:space="preserve"> - Idegenforgalmi adó</t>
  </si>
  <si>
    <t xml:space="preserve">Termékek és szolgáltatások </t>
  </si>
  <si>
    <t xml:space="preserve"> - Iparűzési adó</t>
  </si>
  <si>
    <t xml:space="preserve"> - Gépjárműadó</t>
  </si>
  <si>
    <t xml:space="preserve"> - Talajterhelési díj</t>
  </si>
  <si>
    <t>Szabálysértési és helyszíni bírság</t>
  </si>
  <si>
    <t>Késedelmi pótlék, pénzbírság</t>
  </si>
  <si>
    <t>Működési bevételek</t>
  </si>
  <si>
    <t>Szolgáltatások ellenértéke (bérleti díjak, közvetített szolgáltatások)</t>
  </si>
  <si>
    <t xml:space="preserve"> - ebből lakbér</t>
  </si>
  <si>
    <t>Ellátási díjak</t>
  </si>
  <si>
    <t>Kamatbevétel</t>
  </si>
  <si>
    <t>Felhalmozási bevételek</t>
  </si>
  <si>
    <t>Ingatlanok (döntéstől számított 3 hónapig)</t>
  </si>
  <si>
    <t>Működési célú átvett pénzeszközök</t>
  </si>
  <si>
    <t>Működési célú visszatérítendő támogatások és kölcsönök</t>
  </si>
  <si>
    <t>Egyéb működési célú átvett pénzeszközök</t>
  </si>
  <si>
    <t>Felhalmozási célú átvett pénzeszközök</t>
  </si>
  <si>
    <t>Felhalmozási célú visszatérítendő támogatások és kölcsönök</t>
  </si>
  <si>
    <t>Egyéb felhalmozási célú átvett pénzeszközök</t>
  </si>
  <si>
    <t>KÖLTSÉGVETÉSI BEVÉTELEK ÖSSZESEN</t>
  </si>
  <si>
    <t>Hitel, kölcsönfelvétel</t>
  </si>
  <si>
    <t>Előző évi költségvetési maradványának igénybevétele</t>
  </si>
  <si>
    <t>Irányító szervi támogatás</t>
  </si>
  <si>
    <t>FINANSZÍROZÁSI BEVÉTELEK ÖSSZESEN</t>
  </si>
  <si>
    <t>BEVÉTELEK MINDÖSSZESEN</t>
  </si>
  <si>
    <t>(E Ft-ban)</t>
  </si>
  <si>
    <t>Megnevezés</t>
  </si>
  <si>
    <t xml:space="preserve">Eredeti </t>
  </si>
  <si>
    <t>Lehívható központi támogatás Eredeti</t>
  </si>
  <si>
    <t>Foglalkoztatást helyettesítő támogatás</t>
  </si>
  <si>
    <t>Lakásfenntartási támogatás (normatív)</t>
  </si>
  <si>
    <t>Ápolási díj (helyi megállapítás)</t>
  </si>
  <si>
    <t>Tatai fiatalok életkezdési támogatásához</t>
  </si>
  <si>
    <t>Közlekedési támogatás tanulóknak</t>
  </si>
  <si>
    <t>Óvodáztatási támogatás</t>
  </si>
  <si>
    <t>Rászorultságtól függő pénzbeli szociális, gyermekvédelmi ellátások összesen</t>
  </si>
  <si>
    <t>Önkormányzati saját hatáskörben adott természetbeni ellátás (HPV védőoltás)</t>
  </si>
  <si>
    <t>Köztemetés</t>
  </si>
  <si>
    <t>Közgyógyellátás</t>
  </si>
  <si>
    <t>Természetben nyújtott átmeneti segély</t>
  </si>
  <si>
    <t>Tatai Városkapu Zrt. működési feladataira</t>
  </si>
  <si>
    <t>Természetben nyújtott ellátások összesen</t>
  </si>
  <si>
    <t>Önkormányzatok által folyósított szociális, gyermekvédelmi ellátások összesen:</t>
  </si>
  <si>
    <t>Rendszeres szociális segély (egészségkárosodottak részére)</t>
  </si>
  <si>
    <t>Adósságkezelési szolgáltatással kapcsolatos támogatás</t>
  </si>
  <si>
    <t>Tata</t>
  </si>
  <si>
    <t>Tata összesen</t>
  </si>
  <si>
    <t>Neszmély</t>
  </si>
  <si>
    <t>Neszmély összesen</t>
  </si>
  <si>
    <t>Dunaalmás</t>
  </si>
  <si>
    <t>Dunaalmás összesen</t>
  </si>
  <si>
    <t>Dunaszentmiklós</t>
  </si>
  <si>
    <t>Dunaszentmiklós összesen</t>
  </si>
  <si>
    <t>Pénzbeni és természetbeni segély</t>
  </si>
  <si>
    <t>Aktív korúak rendszeres szociális segélye</t>
  </si>
  <si>
    <t>Tata Város Önkormányzata által folyósított 2014. évi ellátottak pénzbeli juttatásának részletezése</t>
  </si>
  <si>
    <t>Tatai Közös Önkormányzati Hivatal által folyósított 2014. évi ellátottak pénzbeli juttatásának részletezése</t>
  </si>
  <si>
    <t>Működési tartalékok</t>
  </si>
  <si>
    <t>Általános tartalék</t>
  </si>
  <si>
    <t>Működési tartalék</t>
  </si>
  <si>
    <t>Működési céltartalék</t>
  </si>
  <si>
    <t>Tatai Televízió Közalapítványnak sikertelen pályázat esetén</t>
  </si>
  <si>
    <t xml:space="preserve">Felhalmozási tartalékok </t>
  </si>
  <si>
    <t>Felhalmozási tartalék</t>
  </si>
  <si>
    <t>Felhalmozási céltartalék</t>
  </si>
  <si>
    <t>Zárolt tartalék</t>
  </si>
  <si>
    <t>MINDÖSSZESEN:</t>
  </si>
  <si>
    <t>Eredeti</t>
  </si>
  <si>
    <t>Önkormányzat</t>
  </si>
  <si>
    <t>Tatai Angolpark rehabilitációja KDOP -2.1.1/B-2f-2009-0002</t>
  </si>
  <si>
    <t>Öreg-tavi Ökoturisztikai Központ kialakítása a csatlakozó kerékpárutak felújításával Tatán és a tematikus aktív turisztikai fejlesztések a kistérségben KDOP–2.1.1/B–09-2010-0002</t>
  </si>
  <si>
    <t>Természetes vizes élőhely kialakítása a tatai Réti 8-as tó  rehabilitációjával KEOP–7.3.1.2/09-11-2011-0023</t>
  </si>
  <si>
    <t>Intermodális közösségi közlekedési központ létrehozása Tatán KÖZOP–5.5.0-09-11-2011-0010</t>
  </si>
  <si>
    <t>Ökoturisztikai tanösvény kialakítása a tatai Fényes-Fürdő területén KDOP-2.1.1/B-12-2012-0046</t>
  </si>
  <si>
    <t>Tatai Közös Önkormányzati Hivatal</t>
  </si>
  <si>
    <t xml:space="preserve">Kuny Domokos Múzeum </t>
  </si>
  <si>
    <t>Mindösszesen</t>
  </si>
  <si>
    <t>Óvodafejlesztés TÁMOP-3.1.11-12/1.2</t>
  </si>
  <si>
    <t>E Ft-ban</t>
  </si>
  <si>
    <t>011130</t>
  </si>
  <si>
    <t>Fekete út- Arany J.u- Komáromi út Nagykert u. csapadékvíz elvezetés kivitelezés I. ütem</t>
  </si>
  <si>
    <t xml:space="preserve">Tavasz u. vízelvezetés II. ütem </t>
  </si>
  <si>
    <t>Tatai 17/4 hrsz-ú ingatlanon sportcsarnok kialakítása</t>
  </si>
  <si>
    <t>Kossuth tér városközpont értékmegőrző rehabilitációja KDOP–3.1.1/A–09-1f-2010-0001</t>
  </si>
  <si>
    <t>Kossuth téren közterületi szobor felállítása NKA - AN2000N6284</t>
  </si>
  <si>
    <t>Tatabánya-Vértesszőlős-Tata településeket összekötő közlekedési célú kerékpárút építése az Általér mentén KÖZOP–3.2.0/c-08-2010-0003</t>
  </si>
  <si>
    <t>A munka és a magánélet összehangolását segítő helyi kezdeményezések megvalósítása Tata városában” (Tata Város Önkormányzata) TÁMOP-2.4.5-12/3-2012-0028</t>
  </si>
  <si>
    <t>Egészségre nevelő és szemléletformáló életmódprogramok a Tatai Kistérségben TÁMOP-6.1.2/11/3</t>
  </si>
  <si>
    <t>A munka és a magánélet összehangolása a Tatai Polgármesteri Hivatalban” TÁMOP-2.4.5-12/7-2012-0705</t>
  </si>
  <si>
    <t>Tata Város Önkormányzatának szervezetfejlesztése ÁROP – 1.A.5-2013-2013-0003</t>
  </si>
  <si>
    <t>Közigazgatási partnerség építése Tatán ÁROP – 1.A.6-2013-2013-0007</t>
  </si>
  <si>
    <t>Országos Mentőszolgálat Tatai Állomásának</t>
  </si>
  <si>
    <t>Fényes Fürdő Kft.-nek tagi kölcön</t>
  </si>
  <si>
    <t>Tatai Városkapu Zrt. támogatása</t>
  </si>
  <si>
    <t>Tatai Városkapu Zrt.-nek a megvalósuló projektek üzemeltetési költségeire (Angolpark, Ökoturisztikai központ, Fényesi ökoturisztikai tanösvény)</t>
  </si>
  <si>
    <t>Pályázatokkal kapcsolatos feladatok</t>
  </si>
  <si>
    <t>Útfejlesztésekkel kapcsolatos feladatok</t>
  </si>
  <si>
    <t>Vízelvezetéssel kapcsolatos feladatok</t>
  </si>
  <si>
    <t>Közvilágítással és közbiztonsággal kapcsolatos feladatok</t>
  </si>
  <si>
    <t>Önkormányzati támogatás a lakosság energiatakarékos felújításaihoz</t>
  </si>
  <si>
    <t>Önkormányzati tulajdonú ingatlanokon végzendő felújítási feladatok</t>
  </si>
  <si>
    <t>Egyéb működési bevétel</t>
  </si>
  <si>
    <t>Ingatlanok</t>
  </si>
  <si>
    <t xml:space="preserve">Ingatlanok értékesítése </t>
  </si>
  <si>
    <t>A tatai Réti 8-as számú tó vízi élőhellyé történő rehabilitációja KEOP – 3.1.2/2F/09-11-2013-0014</t>
  </si>
  <si>
    <t>A tatai Angolkert természeti és kulturális örökségének helyreállítása KEOP – 3.1.2/2F/09-11-2013-0043</t>
  </si>
  <si>
    <t>„C” típusú kilátó megvalósítása a 66/2013. (VII.29.) VM rendelet alapján</t>
  </si>
  <si>
    <t>Garancia és kezességvállalásból származó visszatérülés (Tatai Távhő Kft-től)</t>
  </si>
  <si>
    <t xml:space="preserve">Belső finanszírozás, pénzmaradvány </t>
  </si>
  <si>
    <t xml:space="preserve">Külső finanszírozás hitel felvétel </t>
  </si>
  <si>
    <t>Irányítószervi támogatás folyósítás</t>
  </si>
  <si>
    <t>KÖLTSÉGVETÉSI BEVÉTELEK ÖSSZESEN:</t>
  </si>
  <si>
    <t>KÖLTSÉGVETÉSI KIADÁSOK ÖSSZESEN:</t>
  </si>
  <si>
    <t>FINANSZÍROZÁSI BEVÉTELEK ÖSSZESEN:</t>
  </si>
  <si>
    <t>FINANSZÍROZÁSI KIADÁSOK ÖSSZESEN:</t>
  </si>
  <si>
    <t>Tata Város Önkormányzat 2014. évi költségvetési terve (kormányzati funkciók és kiemelt előirányzatok szerinti bontásban) ( E Ft-ban)</t>
  </si>
  <si>
    <t>Tatai Közös Önkormányzati Hivatal 2014. évi költségvetési terve (kormányzati funkciók és kiemelt előirányzatok szerinti bontásban) ( E Ft-ban)</t>
  </si>
  <si>
    <t>FELHALMOZÁSI TARTALÉK</t>
  </si>
  <si>
    <t>MŰKÖDÉSI TARTALÉK</t>
  </si>
  <si>
    <t>Tulipán u., Nyírfa u. mart aszfaltos felújítása</t>
  </si>
  <si>
    <t>Tópart sétány közvilágítás (Casablanca- Pötörke malom) kivitelezés</t>
  </si>
  <si>
    <t>Tata, közvilágítás hálózat korszerűsítése KEOP– 5.5.0/A.-12-2013-0229</t>
  </si>
  <si>
    <t>066020</t>
  </si>
  <si>
    <t>Térfigyelő kamerarendszer</t>
  </si>
  <si>
    <t>081071</t>
  </si>
  <si>
    <t>Összesen:</t>
  </si>
  <si>
    <t>A tatai Vaszary villa felújítása AN2000N9038</t>
  </si>
  <si>
    <t>Rákóczi u. 9. homlokzat felújítás</t>
  </si>
  <si>
    <t>Újvilág u. II. ütem mart aszfaltos felújítása</t>
  </si>
  <si>
    <t>Balogh F. u. Határ u. mart aszfaltos felújítása</t>
  </si>
  <si>
    <t>Tatai Közös Önkormányzati hivatal tatai épületében aula üvegfödém</t>
  </si>
  <si>
    <t>ÖNKORMÁNYZAT</t>
  </si>
  <si>
    <t>Tulajdonosi bevételek (használatba adásból, üzemeltetésbe adásból származó bevételek)</t>
  </si>
  <si>
    <t>ÁFA bevétel</t>
  </si>
  <si>
    <t>Egyéb tárgyi eszköz értékesítése (döntéstől számított 3 hónapig)</t>
  </si>
  <si>
    <t>Működési célú pénzeszközátadás és támogatása</t>
  </si>
  <si>
    <t>Tata, közvilágítás hálózat korszerűsítése II. ütem (A KEOP pályázatban szereplő utcákhoz közvetlenül csatlakozó utcák)</t>
  </si>
  <si>
    <t>Közép-Duna Vidéke Önkormányzati Társulásnak működési hozzájárulás</t>
  </si>
  <si>
    <t>Concerto Kft-nek a Tatai Barokk Fesztiválra</t>
  </si>
  <si>
    <t>ÚSZT pályázat  fűtéskorszerűsítés /2012, TEF/ 2013</t>
  </si>
  <si>
    <t>Tatai Távhőszolgáltató Kft-nek nyújtott működési kölcsön visszafizetése</t>
  </si>
  <si>
    <t>3. mell.</t>
  </si>
  <si>
    <t>A helyi önkormányzatok által felhasználható központosított előirányzatok</t>
  </si>
  <si>
    <t>3.</t>
  </si>
  <si>
    <t>15.</t>
  </si>
  <si>
    <t>Üdülőhelyi feladatok támogatása</t>
  </si>
  <si>
    <t xml:space="preserve">Idegenforgalmi adó </t>
  </si>
  <si>
    <t>Ft</t>
  </si>
  <si>
    <t>2. mell.</t>
  </si>
  <si>
    <t>A helyi önkormányzatok általános működésének és ágazati feladatainak támog.</t>
  </si>
  <si>
    <t>ÁLLAMI TÁMOGATÁS MINDÖSSZESEN</t>
  </si>
  <si>
    <t>Működési célú visszatérítendő támogatások, kölcsönök nyújtása államháztartáson belülre</t>
  </si>
  <si>
    <t>Működési célú támogatások államháztartáson belülre (vissza nem térítendő)</t>
  </si>
  <si>
    <t>Működési célú visszatérítendő támogatások, kölcsönök nyújtása államháztartáson kívülre</t>
  </si>
  <si>
    <t>Működési célú támogatások államháztartáson kívülre (vissza nem térítendő)</t>
  </si>
  <si>
    <t>Működési célú támogatások (vissza nem térítendő) összesen:</t>
  </si>
  <si>
    <t>Működési célú visszatérítendő támogatások, kölcsönök nyújtása összesen:</t>
  </si>
  <si>
    <t>Működési célú támogatások (visszatérítendő és vissza nem térítendő) mindösszesen:</t>
  </si>
  <si>
    <t>Felhalmozási célú támogatások államháztartáson belülre (vissza nem térítendő)</t>
  </si>
  <si>
    <t>Felhalmozási célú támogatások államháztartáson kívülre (vissza nem térítendő)</t>
  </si>
  <si>
    <t>Felhalmozási célú támogatások (vissza nem térítendő) összesen:</t>
  </si>
  <si>
    <t>Felhalmozási célú visszatérítendő támogatások, kölcsönök nyújtása államháztartáson belülre</t>
  </si>
  <si>
    <t>Felhalmozási célú visszatérítendő támogatások, kölcsönök nyújtása államháztartáson kívülre</t>
  </si>
  <si>
    <t>Felhalmozási célú visszatérítendő támogatások, kölcsönök nyújtása összesen:</t>
  </si>
  <si>
    <t>Felhalmozási célú támogatások (visszatérítendő és vissza nem térítendő) mindösszesen:</t>
  </si>
  <si>
    <t>TATAI KÖZÖS ÖNKORMÁNYZATI HIVATAL</t>
  </si>
  <si>
    <t>Juniorka Alapítványi Óvoda támogatása</t>
  </si>
  <si>
    <t>Juniorka Alapítványi Bölcsőde támogatása</t>
  </si>
  <si>
    <t>Hajnalcsillag Óvodának jubileumi jutalomra</t>
  </si>
  <si>
    <t>Oktatási és Kulturális Alap</t>
  </si>
  <si>
    <t>Sportiskola - Kőkúti Sasok</t>
  </si>
  <si>
    <t>Vaszary János Általános Iskola Alapítványának matematika versenyre és táborra</t>
  </si>
  <si>
    <t>Háziorvosi alapellátás támogatása 268 E Ft/praxis, 21 körzet</t>
  </si>
  <si>
    <t>3. számú fogorvosi körzet feladataira</t>
  </si>
  <si>
    <t>Tatai Kistérségi Többcélú Társulásnak</t>
  </si>
  <si>
    <t>Magyar Máltai Szeretetszolgálat tatai csoportjának</t>
  </si>
  <si>
    <t>Magyar Vöröskereszt tatai szervezetének</t>
  </si>
  <si>
    <t>Egészségvédelmi, Szociális és Sportalap</t>
  </si>
  <si>
    <t>Magyarországi PKU Egyesületnek</t>
  </si>
  <si>
    <t>Színes Iskola Alapítvány támogatása</t>
  </si>
  <si>
    <t>Szociális Háló Közalapítvány támogatása</t>
  </si>
  <si>
    <t>Kamatmentes kölcsön nyújtása lakáscélra</t>
  </si>
  <si>
    <t>061030</t>
  </si>
  <si>
    <t>Betegséggel kapcsolatos pénzbeli ellátások, támogatások (Közgyógyellátás)</t>
  </si>
  <si>
    <t xml:space="preserve"> Tata Város Önkormányzatának 2014. évi közgazdasági mérlege (E Ft-ban)</t>
  </si>
  <si>
    <t>Egyéb működési kiadások</t>
  </si>
  <si>
    <t>Beruházási kiadások</t>
  </si>
  <si>
    <t>Általános működés és ágazatai feladatok támogatása</t>
  </si>
  <si>
    <t>Felújítási kiadások</t>
  </si>
  <si>
    <t>Központi költségvetésből származó támogatások</t>
  </si>
  <si>
    <t xml:space="preserve">Költségvetési egyenleg: </t>
  </si>
  <si>
    <t>Hiány és a finanszírozási kiadások fedezetének finanszírozása:</t>
  </si>
  <si>
    <t>Törvény- javaslat hivatk.sz.</t>
  </si>
  <si>
    <t>Jogcímek megnevezése</t>
  </si>
  <si>
    <t>Bevétel tervezéséhez</t>
  </si>
  <si>
    <t>Mutató</t>
  </si>
  <si>
    <t>Fajlagos összeg Ft/mutató</t>
  </si>
  <si>
    <t>Összeg (Ft)</t>
  </si>
  <si>
    <t>2.mell. I.</t>
  </si>
  <si>
    <t>A HELYI ÖNKORMÁNYZATOK MŰKÖDÉSÉNEK ÁLTALÁNOS TÁMOGATÁSA</t>
  </si>
  <si>
    <t>I.1.a)</t>
  </si>
  <si>
    <t>Önkormányzati Hivatal működésének támogatása</t>
  </si>
  <si>
    <t>fő</t>
  </si>
  <si>
    <t>I.1.b)</t>
  </si>
  <si>
    <t>Település-üzemeltetéshez kapcsolódó feladatellátás támogatása</t>
  </si>
  <si>
    <t>I.1.ba)</t>
  </si>
  <si>
    <t>A zöldterület-gazdálkodással kapcsolatos feladatok ellátásának támogatása</t>
  </si>
  <si>
    <t>ha</t>
  </si>
  <si>
    <t>I.1.bb)</t>
  </si>
  <si>
    <t>Közvilágítás fenntartásának támogatása</t>
  </si>
  <si>
    <t>nettó Ft</t>
  </si>
  <si>
    <t>I.1.bc)</t>
  </si>
  <si>
    <t>Köztemető fenntartással kapcsolatos feladatok támogatása</t>
  </si>
  <si>
    <t>I.1.bd)</t>
  </si>
  <si>
    <t>Közutak fenntartásának támogatása</t>
  </si>
  <si>
    <t>Település-üzemeltetéshez kapcsolódó feladatellátás támogatása összesen</t>
  </si>
  <si>
    <t>I.1.c)</t>
  </si>
  <si>
    <t>Egyéb kötelező önkormányzati feladat támogatása, de legalább 3 000 E Ft</t>
  </si>
  <si>
    <t>I.1.</t>
  </si>
  <si>
    <t>A települési önkormányzatok működésének támogatása</t>
  </si>
  <si>
    <t>I. 2.</t>
  </si>
  <si>
    <t>Nem közművel összegyűjtött háztartási szennyvíz ártalmatlanítása</t>
  </si>
  <si>
    <t>m3</t>
  </si>
  <si>
    <t>100 Ft/m3</t>
  </si>
  <si>
    <t>II.1.</t>
  </si>
  <si>
    <t>Óvodapedagógusok, és az óvodapedagógusok nevelő munkáját közvetlenül segítők bértámogatása</t>
  </si>
  <si>
    <t>Óvodapedagógusok bértámogatása - 8 hónapra</t>
  </si>
  <si>
    <t>Óvodapedagógusok bértámogatása - 4 hónapra</t>
  </si>
  <si>
    <t>Óvodapedagógusok bértámogatása pótlólagos összege 3 hónapra 2014/2015-re</t>
  </si>
  <si>
    <t>Óvodapedagógusok munkáját közvetlenül segítők bértámogatása - 8 hónapra</t>
  </si>
  <si>
    <t>Óvodapedagógusok munkáját közvetlenül segítők bértámogatása - 4 hónapra</t>
  </si>
  <si>
    <t>Óvodapedagógusok, és az óvodapedagógusok nevelő munkáját közvetlenül segítők bértámogatása összesen</t>
  </si>
  <si>
    <t xml:space="preserve">II.2. </t>
  </si>
  <si>
    <t>Óvodaműködtetési támogatás</t>
  </si>
  <si>
    <t>Óvodaműk. támogatás 8 hónapra: gyermekek nevelése a napi 8 órát nem éri el</t>
  </si>
  <si>
    <t>Óvodaműk. támogatás 8 hónapra: gyermekek nevelése a napi 8 órát eléri</t>
  </si>
  <si>
    <t>Óvodaműk. támogatás 4 hónapra: gyermekek nevelése a napi 8 órát nem éri el</t>
  </si>
  <si>
    <t>Óvodaműködtetési támogatás összesen</t>
  </si>
  <si>
    <t>2.mell. II.</t>
  </si>
  <si>
    <t>A települési önkormányzatok egyes köznevelési feladatainak támogatása</t>
  </si>
  <si>
    <t>III.1.</t>
  </si>
  <si>
    <t>Egyes jövedelempótló támogatások kiegészítése</t>
  </si>
  <si>
    <t>III.2.</t>
  </si>
  <si>
    <t>Hozzájárulás a pénzbeli szociális ellátásokhoz</t>
  </si>
  <si>
    <t>III.3.</t>
  </si>
  <si>
    <t>Egyes szociális és gyermekjóléti feladatok támogatása</t>
  </si>
  <si>
    <t>III.3.aa)</t>
  </si>
  <si>
    <t>Balatonvilágosi üdülő energiatakarékossági felújítása</t>
  </si>
  <si>
    <t>Bacsó B. ltp. belső út, Váczi M. u. Spar előtti szerviz út marás, aszfaltozás</t>
  </si>
  <si>
    <t>Áru és készletértékesítés (a döntést követő 3 hónap utáni föld- és ingatlan értékesítés)</t>
  </si>
  <si>
    <t>Üdülői szálláshely szolgáltatás és étkeztetés</t>
  </si>
  <si>
    <t>Önkormányzatok és önkormányzati hivatalok jogalkotás és általános igazgatási tevékenysége</t>
  </si>
  <si>
    <t>011220</t>
  </si>
  <si>
    <t>Tatai Fényes Fürdő Kft-nek nyújtott kölcsön visszatérülése</t>
  </si>
  <si>
    <t>Adó-, vám és jövedéki igazgatás</t>
  </si>
  <si>
    <t>Város- községgazdálkodási szolgáltatások</t>
  </si>
  <si>
    <t>Lakáshoz jutást segítő támogatások</t>
  </si>
  <si>
    <t>105010</t>
  </si>
  <si>
    <t>106020</t>
  </si>
  <si>
    <t>104051</t>
  </si>
  <si>
    <t>107060</t>
  </si>
  <si>
    <t>084010</t>
  </si>
  <si>
    <t>Közterület rendjének fenntartása</t>
  </si>
  <si>
    <t>018030</t>
  </si>
  <si>
    <t>Neszmélyi Kirendeltség</t>
  </si>
  <si>
    <t>Neszmélyi Kirendeltség összesen:</t>
  </si>
  <si>
    <t>Dunaalmási Kirendeltség összesen:</t>
  </si>
  <si>
    <t>Dunaszentmiklósi Kirendeltség összesen:</t>
  </si>
  <si>
    <t>Községek összesen:</t>
  </si>
  <si>
    <t>Eredeti összesen:</t>
  </si>
  <si>
    <t>Kötelező összesen:</t>
  </si>
  <si>
    <t>Áru- és készletértékesítés (a döntést követő 3 hónap utáni föld- és ingatlan értékesítés)</t>
  </si>
  <si>
    <t>Szociális és gyermekjóléti alapszolgáltatások általános feladatai (társult formában)</t>
  </si>
  <si>
    <t>Társulási kiegészítés családsegítésre</t>
  </si>
  <si>
    <t>III.a)</t>
  </si>
  <si>
    <t>Szociális és gyermekjóléti alapszolgáltatások általános feladatai összesen</t>
  </si>
  <si>
    <t>III.3.c)</t>
  </si>
  <si>
    <t>Szociális étkeztetés - társulási kiegészítéssel (fajlagos összeg 110 %-a)</t>
  </si>
  <si>
    <t>III.3.d)</t>
  </si>
  <si>
    <t>Házi segítségnyújtás - társult formában, ezért a fajlagos összeg 130 %-a a támogatás</t>
  </si>
  <si>
    <t>III.3.f)</t>
  </si>
  <si>
    <t>Időskorúak nappali intézményi ellátása -társult formában, ezért a fajlagos összeg 150 %-a a támogatás</t>
  </si>
  <si>
    <t>III.3.g)</t>
  </si>
  <si>
    <t>Fogyatékosok személyek nappali intézményi ellátása - társult formában, ezért a fajlagos összeg 110 %-a a támogatás</t>
  </si>
  <si>
    <t>III.3.i)</t>
  </si>
  <si>
    <t>Hajléktalanok nappali intézményi ellátása - társult formában, ezért a fajlagos összeg 120 %-a a támogatás</t>
  </si>
  <si>
    <t>III.3.j)</t>
  </si>
  <si>
    <t>Gyermekek napközbeni ellátása</t>
  </si>
  <si>
    <t>III.3.ja)</t>
  </si>
  <si>
    <t>Bölcsődei ellátás - nem fogyatékos, nem hátrányos helyzetű gyermek</t>
  </si>
  <si>
    <t>Bölcsődei ellátás - nem fogyatékos, hátrányos helyzetű gyermek (fajlagos összeg 105 %-a)</t>
  </si>
  <si>
    <t>Bölcsődei ellátás - nem fogyatékos, halmozottan hátrányos helyzetű gyermek (fajlagos összeg 110 %-a)</t>
  </si>
  <si>
    <t>Bölcsődei ellátás - fogyatékos gyermek (fajlagos összeg 150 %-a)</t>
  </si>
  <si>
    <t>Bölcsődei ellátás összesen:</t>
  </si>
  <si>
    <t>III.3.k)</t>
  </si>
  <si>
    <t>Hajléktalanok átmeneti intézményei - társult formában, ezért a fajlagos összeg 110 %-a a támogatás</t>
  </si>
  <si>
    <t>fhely</t>
  </si>
  <si>
    <t>Egyes szociális és gyermekjóléti feladatok támogatása összesen</t>
  </si>
  <si>
    <t>III.4./</t>
  </si>
  <si>
    <t>Kistérségi Idősk. Otthona állami támogatása - szakmai dolgozók bértám.</t>
  </si>
  <si>
    <t>Kistérségi Idősk. Otthona állami támogatása - intézményüzemeltetés tám.</t>
  </si>
  <si>
    <t>III.4.</t>
  </si>
  <si>
    <t>Kistérségi Időskorúak Otthona állami támogatása - átadandó Kist.Társ.</t>
  </si>
  <si>
    <t xml:space="preserve">III.5. </t>
  </si>
  <si>
    <t>Gyermekétkeztetés támogatása</t>
  </si>
  <si>
    <t>III.5.a)</t>
  </si>
  <si>
    <t>Finanszírozás szempontjából elismert dolgozók bértámogatása</t>
  </si>
  <si>
    <t>fő/év</t>
  </si>
  <si>
    <t>III.5.b)</t>
  </si>
  <si>
    <t>Gyermekétkeztetés üzemeltetési támogatása</t>
  </si>
  <si>
    <t>Gyermekétkeztetés támogatása összesen</t>
  </si>
  <si>
    <t>2014. évi kapott visszatérítendő és vissza nem térítendő támogatások és pénzeszközátvételek alakulása Tata Város Önkormányzatánál és a Tatai Közös Önkormányzati Hivatalnál</t>
  </si>
  <si>
    <t>Tata Város Önkormányzatának 2014. évi tartalékai (E Ft-ban)</t>
  </si>
  <si>
    <t xml:space="preserve">2.mell. III. </t>
  </si>
  <si>
    <t>A települési önkormányzatok szociális és gyermekjóléti feladatainak támogatása</t>
  </si>
  <si>
    <t>IV.</t>
  </si>
  <si>
    <t>A TELEPÜLÉSI ÖNKORMÁNYZATOK KULTURÁLIS FELADATAINAK TÁMOGATÁSA</t>
  </si>
  <si>
    <t>IV.1.a)</t>
  </si>
  <si>
    <t>Tata Kuny Domokos Múzeum feladatainak támogatása</t>
  </si>
  <si>
    <t>IV.1.d)</t>
  </si>
  <si>
    <t>Települési önk.támog. a nyilvános könyvtári ellátási és közműv. feladatokhoz</t>
  </si>
  <si>
    <t>2.mell. IV.</t>
  </si>
  <si>
    <t>A települési önkormányzatok kulturáli feladatainak támogatása</t>
  </si>
  <si>
    <t>V.</t>
  </si>
  <si>
    <t>BESZÁMÍTÁS</t>
  </si>
  <si>
    <r>
      <t xml:space="preserve">Önkormányzat elvárt bevétele: </t>
    </r>
    <r>
      <rPr>
        <b/>
        <sz val="12"/>
        <rFont val="Times New Roman CE"/>
        <family val="0"/>
      </rPr>
      <t xml:space="preserve">2012.évi </t>
    </r>
    <r>
      <rPr>
        <sz val="12"/>
        <rFont val="Times New Roman CE"/>
        <family val="0"/>
      </rPr>
      <t>iparűzési adóalap 0,5 %-a</t>
    </r>
  </si>
  <si>
    <t>0,5 %</t>
  </si>
  <si>
    <t>Differenciálás: Támogatás csökkentés 100 % lenne, mert adóerő-képesség &gt; 15 000 Ft, de közös hivatal székhelye miatt 5 %-kal csökkenthető, ezért 95 % a támogatás csökkentés.</t>
  </si>
  <si>
    <t>csökk.</t>
  </si>
  <si>
    <t>95 %</t>
  </si>
  <si>
    <t>2.mell. V.</t>
  </si>
  <si>
    <t>- Dunaszentmiklósi Kirendeltség</t>
  </si>
  <si>
    <t>- Dunaalmási Kirendeltség</t>
  </si>
  <si>
    <t>Tatai Közös Önkormányzati Hivatal összesen:</t>
  </si>
  <si>
    <r>
      <t xml:space="preserve">Tata Város Önkormányzata </t>
    </r>
    <r>
      <rPr>
        <sz val="10"/>
        <rFont val="Times New Roman"/>
        <family val="1"/>
      </rPr>
      <t>- választott tisztségviselő</t>
    </r>
  </si>
  <si>
    <t xml:space="preserve">Vissza nem térítendő támogatások  </t>
  </si>
  <si>
    <t>Szabálysértési és helyszíni bírságok</t>
  </si>
  <si>
    <t>Kamat bevétel</t>
  </si>
  <si>
    <t xml:space="preserve">Működési célú visszatérítendő támogatások és kölcsönök </t>
  </si>
  <si>
    <t>Garancia és kezességvállalásból visszatérülés</t>
  </si>
  <si>
    <t>Munkaadókat terhelő járulékok és szociális hozzájárulási adó</t>
  </si>
  <si>
    <t>Kenderke Néptánc Egyesület támogatása</t>
  </si>
  <si>
    <t>TIT KEM Egyesületének támogatása</t>
  </si>
  <si>
    <t>Tatai Mecénás Közalapítvány támogatása</t>
  </si>
  <si>
    <t>Víz-Zene-Virág Fesztivál Egyesületnek rövid távú kölcsön nyújtása</t>
  </si>
  <si>
    <t>Polgárőrségnek</t>
  </si>
  <si>
    <t>031030</t>
  </si>
  <si>
    <t>Rendőrségnek</t>
  </si>
  <si>
    <t>Szakmai Képzésért Közalapítvány támogatása (Bláthy Ottó Szakközépiskola, Szakiskola és Kollégium)</t>
  </si>
  <si>
    <t>Cirmos Cica Közhasznú Alapítvány támogatása</t>
  </si>
  <si>
    <t>Tatai Televízió Közalapítvány támogatása</t>
  </si>
  <si>
    <t>Panel program   346/2009./IX.30./ sz. határozat alapján</t>
  </si>
  <si>
    <t>Öko program</t>
  </si>
  <si>
    <t>NEP</t>
  </si>
  <si>
    <t>ZBR</t>
  </si>
  <si>
    <t>Vértes Volán Zrt. részére szerződés alapján 353/2010.(XI.24.) Tata Kt. határozat</t>
  </si>
  <si>
    <t>Vértes Volán Zrt. részére veszteség kiegyenlítésre</t>
  </si>
  <si>
    <t>Tata és Környéke Turisztikai Egyesület részére forrás biztosítás a Duna-Gerecse Turisztikai Közhasznú Nonprofit Kft. tőkeemeléséhez a 2013. évi V. tv. 3:161.§ (4) bek. alapján</t>
  </si>
  <si>
    <t>Környezetvédelmi Alap</t>
  </si>
  <si>
    <t>Kis- és középvállalkozások munkahelyteremtő támogatása</t>
  </si>
  <si>
    <t>TAC támogatása</t>
  </si>
  <si>
    <t>Turisztikai Desztinációs Menedzsment támogatása 270/2009. (VIII.12.) Tata Kt. határozat</t>
  </si>
  <si>
    <t>Tatai Városgazda Nonprofit Kft. támogatása</t>
  </si>
  <si>
    <t>Bursa Hungarica ösztöndíjakra 444/2011. (IX. 29.) tata Kt. határozat alapján</t>
  </si>
  <si>
    <t>Munkáltatói kölcsön nyújtása</t>
  </si>
  <si>
    <t>Működési célú visszatérítendő támogatások, kölcsönök visszatérülése államháztartáson kívülről</t>
  </si>
  <si>
    <t>Felhalmozási célú átvett pénzeszközök államháztartáson kívülről (vissza nem térítendő)</t>
  </si>
  <si>
    <t>Felhalmozási célú visszatérítendő támogatások, kölcsönök visszatérülése államháztartáson kívülről</t>
  </si>
  <si>
    <t>Felhalmozási célú visszatérítendő támogatások, kölcsönök visszatérülése összesen:</t>
  </si>
  <si>
    <t>Felhalmozási célú visszatérítendő támogatások, kölcsönök visszatérülése államháztartáson belülről</t>
  </si>
  <si>
    <t>Működési célú visszatérítendő támogatások, kölcsönök visszatérülése államháztartáson belülre</t>
  </si>
  <si>
    <t>Működési célú visszatérítendő támogatások, kölcsönök visszatérülése összesen:</t>
  </si>
  <si>
    <t>Felhalmozási célú támogatások államháztartáson belülről (vissza nem térítendő)</t>
  </si>
  <si>
    <t>Működési célú támogatások államháztartáson belülről (vissza nem térítendő)</t>
  </si>
  <si>
    <t>Működési célra átvett pénzeszközök államháztartáson kívülről (vissza nem térítendő)</t>
  </si>
  <si>
    <t>Működési célú támogatások és átvett pénzeszközök (vissza nem térítendő) összesen:</t>
  </si>
  <si>
    <t>Felhalmozási célú támogatások és átvett pénzeszközök (vissza nem térítendő) összesen:</t>
  </si>
  <si>
    <t>Közösségi ellátás</t>
  </si>
  <si>
    <t>Talentum Angol-Magyar Két Tanítási Nyelvű Általános Iskola, Gimnázium és Művészeti Szakiskolától a fűtéskorszerűsítéssel kapcsolatban</t>
  </si>
  <si>
    <t>Pons Danubii EGTC-től HUSK/1101/Információval a határon át a Pons Danubii határtérségben</t>
  </si>
  <si>
    <t>Munkaügyi Központtól a hosszabb távú közfoglalkoztatás támogatására</t>
  </si>
  <si>
    <t>Munkaügyi Központtól a téli közfoglalkoztatás támogatására</t>
  </si>
  <si>
    <t>Irányító szervi támogatás folyósítása</t>
  </si>
  <si>
    <t>Felhalmozási tartalékok</t>
  </si>
  <si>
    <t>Költségvetési szerveknek folyósított támogatás</t>
  </si>
  <si>
    <t>Sportlétesítmények, edzőtáborok működtetése és fejlesztése</t>
  </si>
  <si>
    <t>KKK-nak a körforgalom pénzügyi elszámolásával kapcsolatosan</t>
  </si>
  <si>
    <t>ÖNKORMÁNYZATI TÁMOGATÁSOK (VISSZATÉRÍTENDŐ ÉS VISSZA NEM TÉRÍTENDŐ) MINDÖSSZESEN:</t>
  </si>
  <si>
    <t>KÖZÖS ÖNKORMÁNYZATI HIVATALI TÁMOGATÁSOK (VISSZATÉRÍTENDŐ ÉS VISSZA NEM TÉRÍTENDŐ) MINDÖSSZESEN:</t>
  </si>
  <si>
    <t>OEP-től finanszírozás a 3. sz. fogorvosi körzetre</t>
  </si>
  <si>
    <t>Nemzeti Kulturális Alaptól a Magyarország, szeretlek pályázatra</t>
  </si>
  <si>
    <t>ÖNKORMÁNYZATI TÁMOGATÁSOK ÉS ÁTVETT PÉNZESZKÖZÖK (VISSZATÉRÍTENDŐ ÉS VISSZA NEM TÉRÍTENDŐ) MINDÖSSZESEN:</t>
  </si>
  <si>
    <t>KÖZÖS ÖNKORMÁNYZATI HIVATALI TÁMOGATÁSOK ÉS ÁTVETT PÉNZESZKÖZÖK (VISSZATÉRÍTENDŐ ÉS VISSZA NEM TÉRÍTENDŐ) MINDÖSSZESEN:</t>
  </si>
  <si>
    <t>Munkaügyi Központtól a hulladékválogatók foglalkoztatására</t>
  </si>
  <si>
    <t>Munkaügyi Központtól az Első Munkahely Garancia Programban (25 év alattiak) és az 55 év felettiek foglalkoztatására</t>
  </si>
  <si>
    <t>Munkaügyi Központtól a parkgondozók foglalkoztatására</t>
  </si>
  <si>
    <t>Munkaügyi Központtól az Első Munkahely Garancia Programban (25 év alattiak) részt vevők foglalkoztatására</t>
  </si>
  <si>
    <t>Tatai Távhőszolgáltató Kft.-nek a KEOP projekttel kapcsolatban nyújtott kölcsön visszatérülése</t>
  </si>
  <si>
    <t>Víz-Zene-Virág Fesztivál Egyesületnek nyújtott rövid lejáratú kölcsön visszafizetése</t>
  </si>
  <si>
    <t>Kamatmentes szociális kölcsön visszafizetése</t>
  </si>
  <si>
    <t>Munkáltatói kölcsön visszafizetése</t>
  </si>
  <si>
    <t>Háztartásoknak nyújtott egyéb felhalmozási célú kölcsön visszafizetése</t>
  </si>
  <si>
    <t>Fiatalok lendületben program támogatása</t>
  </si>
  <si>
    <t>Gerlingentől átvett</t>
  </si>
  <si>
    <t>Vértes Volán Zrt-től a minimarathonnal kapcsolatban</t>
  </si>
  <si>
    <t>Összesen</t>
  </si>
  <si>
    <t>Megkötött kölcsönszerződés alapján</t>
  </si>
  <si>
    <t>Garancia és kezességvállalásból származó kifizetés államháztartáson kívülre</t>
  </si>
  <si>
    <t>Tata-Tóparti Viziközmű Társulat</t>
  </si>
  <si>
    <t>Öreg-tavi Ökoturisztikai Központ kialakítása a csatlakozó kerékpárutak felújításával Tatán és a tematikus aktív turisztikai fejlesztések a kistérségben KDOP–2.1.1/B–09-2010-0002 ebből önerő alap: 48 445 E Ft</t>
  </si>
  <si>
    <t>Pénzmaradvány</t>
  </si>
  <si>
    <t>Vis maior Erzsébet téri útbeszakadás</t>
  </si>
  <si>
    <t>Tervezett hitel és kölcsönfelvétel</t>
  </si>
  <si>
    <t>2014. évi működési célú bevételek és kiadások mérlege (E Ft-ban)</t>
  </si>
  <si>
    <t>Bevételi előirányzat</t>
  </si>
  <si>
    <t>Kiadási előirányzat</t>
  </si>
  <si>
    <t>Személyi juttatás</t>
  </si>
  <si>
    <t>Járulékok</t>
  </si>
  <si>
    <t>Dologi kiadás</t>
  </si>
  <si>
    <t>Közhatalmi bevételek</t>
  </si>
  <si>
    <t>Felhalmozási kiadásokra átcsoportosított (-)</t>
  </si>
  <si>
    <t>Költségvetési bevételek összesen:</t>
  </si>
  <si>
    <t>Költségvetési kiadások összesen:</t>
  </si>
  <si>
    <t>Egyenleg:</t>
  </si>
  <si>
    <t>Irányítószervi támogatás</t>
  </si>
  <si>
    <t>Finanszírozási bevételek</t>
  </si>
  <si>
    <t>Finanszírozási kiadások</t>
  </si>
  <si>
    <t>Mindösszesen:</t>
  </si>
  <si>
    <t>Beruházás</t>
  </si>
  <si>
    <t>Felújítás</t>
  </si>
  <si>
    <t>Egyéb felhalmozási kiadás</t>
  </si>
  <si>
    <t>Működési bevételekből átcsoportosított</t>
  </si>
  <si>
    <t>Hitel és kölcsönfelvétel (megkötött szerződés alapján)</t>
  </si>
  <si>
    <t>Mindösszesen bevételek:</t>
  </si>
  <si>
    <t>Mindösszesen kiadások:</t>
  </si>
  <si>
    <t>Adósságot keletkeztető ügyletek</t>
  </si>
  <si>
    <t xml:space="preserve"> 2014 - 2031-ig a kötvénykibocsátást és a hitel visszafizetéseket figyelembe véve (E Ft-ban)</t>
  </si>
  <si>
    <t>2013.12.31-i  (242,14 HUF/CHF) árfolyam alapján</t>
  </si>
  <si>
    <t>Tervezett hitelfelvétel felhalmozási célok szerinti bontásban (E Ft-ban)</t>
  </si>
  <si>
    <t>Cél megnevezése</t>
  </si>
  <si>
    <t>A kiadás forrása</t>
  </si>
  <si>
    <t>Vissza nem térítendő támogatás</t>
  </si>
  <si>
    <t>Tervezett hitel</t>
  </si>
  <si>
    <t>Pénzmaradvány igénybevétele működési- és felhalmozási cél szerinti tagolásban (E Ft-ban)</t>
  </si>
  <si>
    <t>Működési pénzmaradvány</t>
  </si>
  <si>
    <t>Kiadás, melyre a pénzmaradvány fordítódik</t>
  </si>
  <si>
    <t>Felhalmozási pénzmaradvány</t>
  </si>
  <si>
    <t>Beruházások</t>
  </si>
  <si>
    <t>Angolpark rehabilitációja KDOP-2.1.1/B-2f-2009-0002</t>
  </si>
  <si>
    <t>Eu-s pályázatok</t>
  </si>
  <si>
    <t>Egyéb felhalmozási pénzmaradvány</t>
  </si>
  <si>
    <t>Felhalmozási hitelek</t>
  </si>
  <si>
    <t>Tartozás 2014.</t>
  </si>
  <si>
    <t xml:space="preserve">törlesztés </t>
  </si>
  <si>
    <t>kamat</t>
  </si>
  <si>
    <t>Tartozás 2015.</t>
  </si>
  <si>
    <t>Tartozás 2016.</t>
  </si>
  <si>
    <t>Tartozás 2017.</t>
  </si>
  <si>
    <t>Tartozás 2018.</t>
  </si>
  <si>
    <t>Tartozás 2019.</t>
  </si>
  <si>
    <t>Tartozás 2020.</t>
  </si>
  <si>
    <t>Tartozás 2021.</t>
  </si>
  <si>
    <t>Tartozás 2022.</t>
  </si>
  <si>
    <t>Tartozás 2023.</t>
  </si>
  <si>
    <t>Tartozás 2024.</t>
  </si>
  <si>
    <t>Tartozás 2025.</t>
  </si>
  <si>
    <t>Tartozás 2026.</t>
  </si>
  <si>
    <t>Tartozás 2027.</t>
  </si>
  <si>
    <t>Tartozás 2028.</t>
  </si>
  <si>
    <t>Tartozás 2029.</t>
  </si>
  <si>
    <t>Tartozás 2030.</t>
  </si>
  <si>
    <t>Tartozás 2031.</t>
  </si>
  <si>
    <t>Kedvezményezett</t>
  </si>
  <si>
    <t xml:space="preserve">2014. </t>
  </si>
  <si>
    <t xml:space="preserve">           törlesztés</t>
  </si>
  <si>
    <t xml:space="preserve">           kamat</t>
  </si>
  <si>
    <t>Tata Város Önkormányzata</t>
  </si>
  <si>
    <t xml:space="preserve">Panel program </t>
  </si>
  <si>
    <t>Hitel és kötvénytörlesztés</t>
  </si>
  <si>
    <t>Hiteltörlesztés (megkötött szerződés alapján)</t>
  </si>
  <si>
    <t>Intézmények Gazdasági Hivatalához tartozó intézmények</t>
  </si>
  <si>
    <t>E. Ft-ban</t>
  </si>
  <si>
    <t>Bevétel</t>
  </si>
  <si>
    <t>Kiadás</t>
  </si>
  <si>
    <t>Működési kiadások</t>
  </si>
  <si>
    <t>Felhalmozási kiadások</t>
  </si>
  <si>
    <t xml:space="preserve">Személyi juttatások </t>
  </si>
  <si>
    <t>M.adókat terh. jár. és szochó</t>
  </si>
  <si>
    <t xml:space="preserve">Dologi </t>
  </si>
  <si>
    <t>Hitel- és kölcsön törlesztés</t>
  </si>
  <si>
    <t>Állam (igazgatás)</t>
  </si>
  <si>
    <t xml:space="preserve"> 011 130</t>
  </si>
  <si>
    <t>Önkormányzatok és önkormányzati hivatalok jogalkotó és általános igazgatási tevékenysége (Pénzmaradv.)</t>
  </si>
  <si>
    <t>011 130</t>
  </si>
  <si>
    <t>Önkormányzatok és önkormányzati hivatalok jogalkotó és általános igazgatási tevékenysége</t>
  </si>
  <si>
    <t>Kötelező</t>
  </si>
  <si>
    <t>011 220</t>
  </si>
  <si>
    <t>Adó, vám- és jövedéki igazgatás</t>
  </si>
  <si>
    <t>Nem kötelező</t>
  </si>
  <si>
    <t>011 320</t>
  </si>
  <si>
    <t>Nemzetközi szervezetekben való részvétel</t>
  </si>
  <si>
    <t>013 320</t>
  </si>
  <si>
    <t>Köztemető fenntartás és működtetés</t>
  </si>
  <si>
    <t>013 350</t>
  </si>
  <si>
    <t>Az önkormányzati vagyonnal való gazdálkodással kapcsolatos feladatok</t>
  </si>
  <si>
    <t>016 080</t>
  </si>
  <si>
    <t>Kiemelt állami és önkormányzati rendezvények (Nemzeti ünnepek)</t>
  </si>
  <si>
    <t>Kiemelt állami és önkormányzati rendezvények (Minimarathon)</t>
  </si>
  <si>
    <t>Kiemelt állami és önkormányzati rendezvények (Városi ünnepek)</t>
  </si>
  <si>
    <t>Kiemelt állami és önkormányzati rendezvények</t>
  </si>
  <si>
    <t>018 010</t>
  </si>
  <si>
    <t>Önkormányzatok elszámolásai a központi költségvetéssel</t>
  </si>
  <si>
    <t>018 020</t>
  </si>
  <si>
    <t>Központi költségvetési befizetések</t>
  </si>
  <si>
    <t>018 030</t>
  </si>
  <si>
    <t>Támogatási célú finanszírozási műveletek</t>
  </si>
  <si>
    <t>022 010</t>
  </si>
  <si>
    <t>Polgári honvédelem ágazati feladatai, a lakosság felkészítése</t>
  </si>
  <si>
    <t>031 030</t>
  </si>
  <si>
    <t xml:space="preserve">Közterület rendjének fenntartása </t>
  </si>
  <si>
    <t>032 020</t>
  </si>
  <si>
    <t xml:space="preserve">Tűz- és katasztrófavédelmi tevékenységek </t>
  </si>
  <si>
    <t>041 232</t>
  </si>
  <si>
    <t>Rövid időtartamú közfoglalkoztatás</t>
  </si>
  <si>
    <t>041 233</t>
  </si>
  <si>
    <t>Bérpótló juttatásra jogosultak hosszabb időtartamú közfoglalkoztatása</t>
  </si>
  <si>
    <t>042 180</t>
  </si>
  <si>
    <t>Állat-egészségügy</t>
  </si>
  <si>
    <t>042 220</t>
  </si>
  <si>
    <t>Erdőgazdálkodás</t>
  </si>
  <si>
    <t>045 120</t>
  </si>
  <si>
    <t>Út, autópálya építése</t>
  </si>
  <si>
    <t>045 140</t>
  </si>
  <si>
    <t>Városi és elővárosi közúti személyszállítás</t>
  </si>
  <si>
    <t>045 160</t>
  </si>
  <si>
    <t>Közutak, hidak, alagutak üzemeltetése, fenntartása</t>
  </si>
  <si>
    <t>047 460</t>
  </si>
  <si>
    <t>Kis- és középvállalkozások működési és fejlesztési támogatásai</t>
  </si>
  <si>
    <t>051 030</t>
  </si>
  <si>
    <t>Nem veszélyes (települési) hulladék összetevőinek válogatása, elkülönített begyűjtése, szállítása, átrakása</t>
  </si>
  <si>
    <t>052 020</t>
  </si>
  <si>
    <t>Szennyvíz gyűjtése, tisztítása, elhelyezése</t>
  </si>
  <si>
    <t>053 010</t>
  </si>
  <si>
    <t>Környezetszennyezés csökkentésének igazgatása</t>
  </si>
  <si>
    <t>Környezetvédelmi csoportok támogatása</t>
  </si>
  <si>
    <t>061 030</t>
  </si>
  <si>
    <t>Önkormányzat által nyújtott lakástámogatás</t>
  </si>
  <si>
    <t>063 080</t>
  </si>
  <si>
    <t>Víztermelés-kezelés ellátás</t>
  </si>
  <si>
    <t>064 010</t>
  </si>
  <si>
    <t>Közvilágítás</t>
  </si>
  <si>
    <t>066 010</t>
  </si>
  <si>
    <t>Zöldterület kezelés (parkfenntartás)</t>
  </si>
  <si>
    <t>Zöldterület kezelés (játszótér)</t>
  </si>
  <si>
    <t>Zöldterület kezelés (Munkaügyi Központ)</t>
  </si>
  <si>
    <t>066 020</t>
  </si>
  <si>
    <t>Város- községgazdálkodási egyéb szolgáltatások (Közbeszerzés)</t>
  </si>
  <si>
    <t>Város- községgazdálkodási egyéb szolgáltatások  (Építés- és területfejlesztés)</t>
  </si>
  <si>
    <t xml:space="preserve">066 020 </t>
  </si>
  <si>
    <t>Város- községgazdálkodási egyéb szolgáltatások (VKG)</t>
  </si>
  <si>
    <t>081 030</t>
  </si>
  <si>
    <t>081 045</t>
  </si>
  <si>
    <t>Máshová nem sorolható egyéb sporttámogatás</t>
  </si>
  <si>
    <t>081 061</t>
  </si>
  <si>
    <t>Szabadidős park, fürdő és strandszolgáltatás</t>
  </si>
  <si>
    <t>082 092</t>
  </si>
  <si>
    <t>Közművelődési tevékenységek és támogatásuk</t>
  </si>
  <si>
    <t>083 020</t>
  </si>
  <si>
    <t>Könyvkiadás</t>
  </si>
  <si>
    <t>083 030</t>
  </si>
  <si>
    <t>Egyéb kiadói tevékenység</t>
  </si>
  <si>
    <t>084 032</t>
  </si>
  <si>
    <t>Civil szervezetek programtámogatása</t>
  </si>
  <si>
    <t>084 060</t>
  </si>
  <si>
    <t xml:space="preserve">Érdekképviseleti, szakszervezeti tevékenységek támogatása </t>
  </si>
  <si>
    <t>084 070</t>
  </si>
  <si>
    <t>Önkormányzat ifjúsági kezdeményezések és programok (Gyermekbarát város)</t>
  </si>
  <si>
    <t>086 030</t>
  </si>
  <si>
    <t>Nemzetközi kulturális együttműködés (Testvérvárosi feladatok)</t>
  </si>
  <si>
    <t>Nemzetközi kulturális együttműködés - HUSK 1301/2.1.1. Megújuló energia p.</t>
  </si>
  <si>
    <t>Nemzetközi kulturális együttműködés - Fiatalok lendületben program</t>
  </si>
  <si>
    <t>098 031</t>
  </si>
  <si>
    <t>Pedagógiai szakmai szolgáltatások szakmai feladatai</t>
  </si>
  <si>
    <t>101 043</t>
  </si>
  <si>
    <t>Közösségi szolgáltatás</t>
  </si>
  <si>
    <t>101 150</t>
  </si>
  <si>
    <t>Betegséggel kapcsolatos pénzbeli ellátások, támogatások</t>
  </si>
  <si>
    <t>101 222</t>
  </si>
  <si>
    <t>Támogató szolgáltatás</t>
  </si>
  <si>
    <t>103 010</t>
  </si>
  <si>
    <t>Elhunyt személyek hátramaradottainak pénzbeli ellátásai</t>
  </si>
  <si>
    <t>104 051</t>
  </si>
  <si>
    <t>Gyermekvédelmi pénzbeli és természetbeni ellátások</t>
  </si>
  <si>
    <t>Otthonteremtési támogatás</t>
  </si>
  <si>
    <t>105 010</t>
  </si>
  <si>
    <t>Munkanélküli aktív korúak ellátásai</t>
  </si>
  <si>
    <t>106 010</t>
  </si>
  <si>
    <t>Lakóingatlan szociális célú bérbeadása, üzemeltetése</t>
  </si>
  <si>
    <t>106 020</t>
  </si>
  <si>
    <t>Lakásfenntartással, lakhatással összefüggő ellátások</t>
  </si>
  <si>
    <t>107 060</t>
  </si>
  <si>
    <t>Egyéb szociális pénzbeli és természetbeni ellátások, támogatások</t>
  </si>
  <si>
    <t>900 060</t>
  </si>
  <si>
    <t>Forgatási és befektetési célú finanszírozási műveletek</t>
  </si>
  <si>
    <t>900 070</t>
  </si>
  <si>
    <t>Fejezeti és befektetési célú finanszírozási műveletek - Általános tartalék</t>
  </si>
  <si>
    <t>Tatai Távhő Kft-től készfizető kezességből eredő követelés teljesítése esetén felhasználható</t>
  </si>
  <si>
    <t>Garancia és kezességvállalásból származó bevétel államháztartáson kívülről</t>
  </si>
  <si>
    <t>Tatai Távhő Kft-től</t>
  </si>
  <si>
    <t xml:space="preserve"> - Működési tartalék (ebből 20 090 E Ft felhasználása kötött)</t>
  </si>
  <si>
    <t>Bevételek összesen</t>
  </si>
  <si>
    <t>Kiadások összesen</t>
  </si>
  <si>
    <t>ÁFA</t>
  </si>
  <si>
    <t>előző évi átvétele</t>
  </si>
  <si>
    <t>M.adókat terhelő jár.</t>
  </si>
  <si>
    <t>Kőkúti Általános Iskola</t>
  </si>
  <si>
    <t>Kötelező összesen</t>
  </si>
  <si>
    <t>Kuny Domokos Múzeum 2014. évi költségvetése (bevételek)  E Ft-ban</t>
  </si>
  <si>
    <t>Kormányzati funkciók</t>
  </si>
  <si>
    <t>Működési bevétel</t>
  </si>
  <si>
    <t>Működési bevételből</t>
  </si>
  <si>
    <t>Kapott fenntartói kölcsön</t>
  </si>
  <si>
    <t>Átvett pénzeszközök</t>
  </si>
  <si>
    <t>Támogatásértékű bevétel</t>
  </si>
  <si>
    <t>Tárgyi eszköz, immat. javak értékesítése</t>
  </si>
  <si>
    <t>Önkormányzati támogatás</t>
  </si>
  <si>
    <t>Kamat</t>
  </si>
  <si>
    <t>működési célra</t>
  </si>
  <si>
    <t>felhalmozási célra</t>
  </si>
  <si>
    <t>0862061 kötelező</t>
  </si>
  <si>
    <t>0862062 kötelező</t>
  </si>
  <si>
    <t>0862063 kötelező</t>
  </si>
  <si>
    <t>0862064 kötelező</t>
  </si>
  <si>
    <t>Kuny Domokos Múzeum  2014. évi költségvetése (kiadások)  E Ft-ban</t>
  </si>
  <si>
    <t>Dologi és egyéb folyó kiadás</t>
  </si>
  <si>
    <t xml:space="preserve">Dologiból kamat </t>
  </si>
  <si>
    <t>Szociális Pénzbeli juttatás</t>
  </si>
  <si>
    <t>pénzforgalom nélküli</t>
  </si>
  <si>
    <t>Fejezeti és befektetési célú finanszírozási műveletek - Működési- és felhalmozási tartalék</t>
  </si>
  <si>
    <t xml:space="preserve"> Kötelező összesen:</t>
  </si>
  <si>
    <t>Egyéb munkaügyi pályázathoz kapcsolódó foglalkoztatás éves létszám előirányzata</t>
  </si>
  <si>
    <t>Tatai Közös Önkormányzati Hivatal Tatai Székhely</t>
  </si>
  <si>
    <t>Nem kötelező összesen:</t>
  </si>
  <si>
    <t>Állam (igazgatás) összesen:</t>
  </si>
  <si>
    <t>Lehívható központi támogatás Módosított</t>
  </si>
  <si>
    <t>M.adókat terh. jár. és szochj.</t>
  </si>
  <si>
    <t>Eredeti előirányzat         E Ft-ban</t>
  </si>
  <si>
    <t>E-útdíj bevezetése miatti  évi adóbevétel kiesés ellentételezése</t>
  </si>
  <si>
    <t>Beruházási előleg - Öreg-tavi Ökoturisztikai Központ kialakítása a csatlakozó kerékpárutak felújításával Tatán és a tematikus aktív turisztikai fejlesztések a kistérségben KDOP–2.1.1/B–09-2010-0002</t>
  </si>
  <si>
    <t>Bercsényi u. 1. ingatlan átalakításának kiadásaira 53/2014. (II.27.) Tata Kt. határozat alapján</t>
  </si>
  <si>
    <t>Immateriális javakra adott előleg - Angolpark rehabilitációja KDOP-2.1.1/B-2f-2009-0002</t>
  </si>
  <si>
    <t>Tatai 686/7 hrsz-ú ingatlanon lévő játszótér vételára</t>
  </si>
  <si>
    <t>Tata Város Önkormányzatának szervezetfejlesztése ÁROP-1.A.5-2013-2013-003</t>
  </si>
  <si>
    <t>016010</t>
  </si>
  <si>
    <t>Országgyűlési képviselő választás</t>
  </si>
  <si>
    <t>Mindösszesen
Eredeti</t>
  </si>
  <si>
    <t>Kötvénykibocsátás 
6 havi CHF LIBOR 
+ 0,7% = 0,7794%
(átlag 1%)
Eredeti</t>
  </si>
  <si>
    <t>Hosszú lejáratú fejlesztési hitel 
CHF 3 havi CHF LIBOR + 0,1 % 
= 0,123 %
Eredeti</t>
  </si>
  <si>
    <t>Hosszú lejáratú fejlesztési hitel 
HUF 3,8 %+4 % =7,8 %
Eredeti</t>
  </si>
  <si>
    <t>Készfizető kezesség vállalást figyelembe véve E Ft-ban</t>
  </si>
  <si>
    <t>Tata-Tóparti 
V. Társulat
Eredeti</t>
  </si>
  <si>
    <t>Eredeti
Összesen</t>
  </si>
  <si>
    <t>Tatai Kistérségi Többcélú Társulástól feladatellátáshoz hozzájárulás és egyéb támogatás</t>
  </si>
  <si>
    <t>Pötörke Népművészeti Egyesület támogatása</t>
  </si>
  <si>
    <t>Peter Cserny Alapítvány támogatása 142/2014.(V.5.) Tata Kt. Határozat</t>
  </si>
  <si>
    <t xml:space="preserve">2012-2013. évi normatíva és feladatmutatók miatt visszafizetési kötelezettség </t>
  </si>
  <si>
    <t xml:space="preserve"> - Fiatal Zenészek Alapítvány támogatása</t>
  </si>
  <si>
    <t>Lakóssági közműfejlesztési támogatás</t>
  </si>
  <si>
    <t>TAC támogatása, sportpályához önerő</t>
  </si>
  <si>
    <t xml:space="preserve">1. </t>
  </si>
  <si>
    <t>Lakossági közműfejlesztés támogatása</t>
  </si>
  <si>
    <t>2013. évről áthuzódó bérkompenzáció támogatása</t>
  </si>
  <si>
    <t>13.</t>
  </si>
  <si>
    <t>Támogatás csökkentés a következő sorrend szerint III.2., I.1.c), I.1.ba), I.1.bb), I.1.bc), I.1.bd), I.1.a) támogatás összegéig terheli az önkormányzatot.</t>
  </si>
  <si>
    <t>Társadalmi tevékenységgel, esélyegyenlőséggel, érdekképviselettel, nemzetiségekkel, egyházakkal 
összefüggő feladatok igazgatása és szabályozása</t>
  </si>
  <si>
    <t>Miniszterelnökségtől Holokauszt pályázatra támogatás</t>
  </si>
  <si>
    <t>I. világháborúban elesett katonák sírjának gondozására</t>
  </si>
  <si>
    <t>Csatorna közműfejlesztési hozzájárulás</t>
  </si>
  <si>
    <t>Arany János Tehetséggondozó Program keretében megújított szociális támogatás</t>
  </si>
  <si>
    <t xml:space="preserve"> - Petőfi Sándor halálának 165. évfordulója - megemlékezéshez támogatás</t>
  </si>
  <si>
    <t xml:space="preserve"> - Tatai Városi Nyugdíjasklub </t>
  </si>
  <si>
    <t xml:space="preserve"> - Magyarkanizsai árvízkárosultaknak</t>
  </si>
  <si>
    <t xml:space="preserve"> - Tatai Sportegyesület kosárlabda edzőtábor </t>
  </si>
  <si>
    <t xml:space="preserve"> - Magyary Zoltán Népfőiskolai Társaság</t>
  </si>
  <si>
    <t>Német Nemzetiségi Önkormányzatnak Testvérvárosok üvegkönyve köztéri szobor megvalósításához</t>
  </si>
  <si>
    <t>Szent Kereszt Plébánia nagyharang és toronyóra felújítása</t>
  </si>
  <si>
    <t>Értékvédelmi feladatok támogatása (2012-ről áthúzódó 4 000 E Ft, 2013-ról áthúzódó 3 247 E Ft)</t>
  </si>
  <si>
    <t>Támogatások, elszámolások után fel nem használt összegek visszafizetése (G.P. System, TAC, Emberi Erőforrás Támogatáskezelő)</t>
  </si>
  <si>
    <t>Városkapu Közhasznú Zrt. Támogatás kiegészítése</t>
  </si>
  <si>
    <t xml:space="preserve">Gyermekétkeztetés miatti állami támogatás visszautalása </t>
  </si>
  <si>
    <t>Központosított támogatás</t>
  </si>
  <si>
    <t>Elvonások és befizetések</t>
  </si>
  <si>
    <t>2014. évi beruházási kiadások feladatonként (ÁFA-val)</t>
  </si>
  <si>
    <t xml:space="preserve">E Ft-ban </t>
  </si>
  <si>
    <t>Pályázatok és azokhoz kapcsolódó feladatok</t>
  </si>
  <si>
    <t xml:space="preserve">Baji úti és Sport utcai útkorszerűsítés </t>
  </si>
  <si>
    <t>A munka és a magánélet összehangolása a Tatai Polgármesteri Hivatalban TÁMOP-2.4.5-12/7-2012-0705</t>
  </si>
  <si>
    <t>Határozatokkal elfogadott feladatok</t>
  </si>
  <si>
    <t>Fényes Fürdő strandnyitásához szükséges munkálatok elvégzése (574/2013.(XII.19.) Tata Kt. határozat)</t>
  </si>
  <si>
    <t>460/135 hrsz-ú ingatlan megvásárlása (Tatai MG Zrt.) (509/2013. (X.31) Tata Kt.határozat)</t>
  </si>
  <si>
    <t>Közművek vásárlás a Barina Kft.-től II. részlet (489/2013.(XI.31.) Tata Kt. határozat)</t>
  </si>
  <si>
    <t>Testvérvárosok üvegkönyve köztéri szobor megvalósításának önereje 60/2014. (III.14.) Tata Kt. határozat</t>
  </si>
  <si>
    <t>Tatai Városgazda Nonprofit Kft. jegyzett tőke emelése 393/2013. (VIII.15) Tata Kt. határozat</t>
  </si>
  <si>
    <t>Egyéb 2014. évi igények</t>
  </si>
  <si>
    <t>Tárgyi eszköz beszerzés (gondnokság)</t>
  </si>
  <si>
    <t>Képviselői, tisztségviselői laptopok és Windows 8 Office irodai csomag</t>
  </si>
  <si>
    <t>Mikro Voks jegyzőkönyv vezető rendszer</t>
  </si>
  <si>
    <t>Fényes fürdő területén fejlesztések végrehajtása (üzemeltetési szerződés alapján)</t>
  </si>
  <si>
    <t>Bláthy O. u. támfal építés</t>
  </si>
  <si>
    <t>Kukorica dűlő, Kálvária u. Diákotthon mögötti terület járhatóság biztosítása</t>
  </si>
  <si>
    <t>Piac tér kiszolgáló út II. ütem</t>
  </si>
  <si>
    <t>Piac téri ingatlannal kapcsolatos kártalanítás</t>
  </si>
  <si>
    <t>Tata-Agostyán, Kert utca kisajátítás</t>
  </si>
  <si>
    <t>Tatai Távhőszolgáltató Kft. tőkeemelése 2013. V. törvény 3: 161§ (4) alapján</t>
  </si>
  <si>
    <t>Visszatérő forrásokkal kapcsolatos feladatok</t>
  </si>
  <si>
    <t>Grófi-tó (Katonai-tó) természetes állapot helyreállítása vízjogi engedély alapján</t>
  </si>
  <si>
    <t>Energiaültetvény telepítése önkormányzati területen (Fényes)</t>
  </si>
  <si>
    <t>Katona u.(Lo presti forrás ) vízelvezetés kivitelezés</t>
  </si>
  <si>
    <t>Rákóczi u.- Bercsényi u. vízelvezető nyomvonal kiváltás a Kastély park- Öreg tó felé</t>
  </si>
  <si>
    <t>Új úti árok áteresz átépítése, a lakótelep csapadékcsatorna befogadó csatlakozásának kiépítése a Csever árok felé</t>
  </si>
  <si>
    <t>Közfoglalkoztatás - traktor beszerzés</t>
  </si>
  <si>
    <t>Közfoglalkoztatás - kis értékű eszközök beszerzése</t>
  </si>
  <si>
    <t>Tatai 686/7 hrsz-ú ingatlanon játszótér vételára</t>
  </si>
  <si>
    <t>Sportpályával kapcsolatos kiadások (Jávorka S. Mezőgazdasági Szakközépiskola és Kollégium)</t>
  </si>
  <si>
    <t>Menekülési irányt jelző táblák a városi rendezvényekre</t>
  </si>
  <si>
    <t>3. sz. fogorvosi körzet rendelőjében található bútor megvásárlására</t>
  </si>
  <si>
    <t>Gútay galériába képfüggesztő rendszer</t>
  </si>
  <si>
    <t>Tatai székhely</t>
  </si>
  <si>
    <t>Számítógépek cseréje, új operációs rendszer</t>
  </si>
  <si>
    <t>Számítástechnikai eszközök vásárlása</t>
  </si>
  <si>
    <t>Polisz pénzügyi programhoz szerver vásárlás</t>
  </si>
  <si>
    <t>Balatonfüredi üdülőbe eszköz beszerzés</t>
  </si>
  <si>
    <t>Fényes fürdőn lévő hivatali üdülőbe eszköz beszerzés</t>
  </si>
  <si>
    <t>Balatonvilágosi üdülőbe eszköz beszerzés</t>
  </si>
  <si>
    <t>Információbiztonsági beruházás, eszközbeszerzés</t>
  </si>
  <si>
    <t>Eszköz beszerzésre</t>
  </si>
  <si>
    <t>Eszközbeszerzés</t>
  </si>
  <si>
    <t>Intézmények Gazdasági Hivatala és a hozzá tartozó költségvetési szervek</t>
  </si>
  <si>
    <t>Tatai Fürdő Utcai Óvoda - eszközbeszerzés</t>
  </si>
  <si>
    <t>Tatai Kincseskert Óvoda - Befogadó Élettér pályázat, beépített szekrény, udvari játékok</t>
  </si>
  <si>
    <t>Intézmények Gazdasági Hivatala - mindennapos testneveléssel kapcsolatos feladatokra</t>
  </si>
  <si>
    <t>Tatai Bartók B. utcai Óvoda - udvai játékok</t>
  </si>
  <si>
    <t>Tatai Kertvárosi Óvoda - udvari játékok, főzőüst</t>
  </si>
  <si>
    <t>Móricz Zsigmond Városi Könyvtár - eszközbeszerzés</t>
  </si>
  <si>
    <t>Kiállításokhoz, működéshez digitális és informatikai eszközök</t>
  </si>
  <si>
    <t>2014. évi felújítási kiadások célonként (ÁFA-val)</t>
  </si>
  <si>
    <t>Erzsébet téri (Szarka köz) útbeszakadás helyreállítás (vis maior)</t>
  </si>
  <si>
    <t>Fényes Fürdő szállások felújítása (574/2013.(XII.19.) Tata Kt. határozat)</t>
  </si>
  <si>
    <t>Magyar Zoltán Művelődési Központ felújítása (487/2013. (X.31.) Tata Kt.) I. ütem</t>
  </si>
  <si>
    <t>Vaszary Villa állagmegóvó munkálatai (297/2010. (IX.1.) Kt. határozat)</t>
  </si>
  <si>
    <t>Hajnalcsillag Óvoda (Kálvária u. 5.) felújítása (376/2013. (VII.12.) Tata Kt.)</t>
  </si>
  <si>
    <t>Gútay galéria felújítása (499/2013. (X.31) Tata Kt.)</t>
  </si>
  <si>
    <t>Szivárvány Óvoda felújítására pályázati önerő 31/2014. (II.27.) Tata Kt. határozat</t>
  </si>
  <si>
    <t>Magyary Zoltán Művelődési Központ színpadpadlózat cseréjére 61/2014. (III.14.) Tata Kt. határozat</t>
  </si>
  <si>
    <t>Tatai 1850/9 hrsz-ú ingatlanon található támfal helyreállítására</t>
  </si>
  <si>
    <t>Ivóvíz közmű felújítás</t>
  </si>
  <si>
    <t>Szennyvíz közmű felújítása</t>
  </si>
  <si>
    <t>Informatikai infrastruktúra fejlesztés (Közös Önkormányzati hivatal épületében felújítások)</t>
  </si>
  <si>
    <t>Bacsó B.u.66. ltp. szennyvíz vezeték felújítása I. ütem</t>
  </si>
  <si>
    <t>Balatonvilágosi üdülő fűtés</t>
  </si>
  <si>
    <t>Fényesi üdülő felújítása (vízszigetelés,nyílászárók cseréje, belső felújítás)</t>
  </si>
  <si>
    <t>Önkormányzati bérlakások felújítása</t>
  </si>
  <si>
    <t>Nem lakás célú helységek felújítása</t>
  </si>
  <si>
    <t>Rákóczi u. 9. hátsó homlokzat felújítás</t>
  </si>
  <si>
    <t>Fürdő u. 2. ingatlanon felújítási munkálatok</t>
  </si>
  <si>
    <t>Rózsa u. burkolat felújítása</t>
  </si>
  <si>
    <t>Nagy L. u. mart aszfaltos felújítása</t>
  </si>
  <si>
    <t xml:space="preserve">Járda felújítások </t>
  </si>
  <si>
    <t>Kodály-tér öntözőrendszer felújítása</t>
  </si>
  <si>
    <t>Játszóterek felújítása, bekerítése és bővítése új eszközökkel, homokozók kialakítása Bartók B. u. 3 kerítés, 5×18 lakás térvilágítás, Építők parkja mászó vár, Bacsó B. úti, Levendula ltp-i ivókútak létesítése</t>
  </si>
  <si>
    <t>Bacsó B. u. 66. közvilágítás mérősítése leválasztása az energia átviteli rendszerről</t>
  </si>
  <si>
    <t>Bacsó B. u. 66. közvilágítási hálózat felújítása ( I. ütem 1. kábelkör, oszlopok 350 fm )</t>
  </si>
  <si>
    <t>Kocsi úti temetőben ravatalozó felújítása</t>
  </si>
  <si>
    <t>Környei úti temetőben ravatalozó előtető felújítása</t>
  </si>
  <si>
    <t>Klíma beszerzés a hivatal épületébe</t>
  </si>
  <si>
    <t>Zsidó temető sírkert felújítása</t>
  </si>
  <si>
    <t>Tatai Geszti Óvoda - udvar térburkolat felújítás</t>
  </si>
  <si>
    <t>Tatai Kertvárosi Óvoda - Nyílászáró csere, elektromos kapcsolószekrény, járda</t>
  </si>
  <si>
    <t>Tatai Szivárvány Óvoda - Udvari csapadékvíz elvezetés</t>
  </si>
  <si>
    <t>Vaszary János Általános Iskola - tetőfelújítás, elektromos hálózat felújítás, kerékpártároló, udvari játszótér, tornaszoba</t>
  </si>
  <si>
    <t>Vaszary János Általános Iskola Jázmin Utcai Tagintézménye - Udvar burkolat, kerékpártároló, vizesblokk</t>
  </si>
  <si>
    <t>Kőkúti Általános Iskola - vizesblokk, hőközpont, aula kerékpártároló, aszfalt, fizika-kémia szertár felújítása</t>
  </si>
  <si>
    <t>Kőkúti Általános Iskola Fazekas Utcai Tagintézménye - folyosói világítás korszerűsítése, illatoskert játszótér kialakítása</t>
  </si>
  <si>
    <t>Tárgyi eszköz felújítási munkákra</t>
  </si>
  <si>
    <r>
      <t>Társulási kiegészítés gyermekjóléti ellátásra</t>
    </r>
    <r>
      <rPr>
        <sz val="12"/>
        <rFont val="Times New Roman CE"/>
        <family val="1"/>
      </rPr>
      <t xml:space="preserve"> a </t>
    </r>
    <r>
      <rPr>
        <sz val="12"/>
        <rFont val="Times New Roman CE"/>
        <family val="0"/>
      </rPr>
      <t>0-17 éves korcsoportos lakosokra</t>
    </r>
  </si>
  <si>
    <t>Egyéb jogcímen kapott központosított támogatások</t>
  </si>
  <si>
    <t>Augusztusi módosított előirányzat         E Ft</t>
  </si>
  <si>
    <t>Tatai Református Egyházközségnek Hajnalcsillag Református Óvodában csoport megszűnése miatt</t>
  </si>
  <si>
    <t>Országgyűlési képviselő választás, Európai Parlamenti képviselő választás</t>
  </si>
  <si>
    <t>Országgyűlési és Európa Parlamenti képviselők választásához támogatás</t>
  </si>
  <si>
    <t>Központi támogatások</t>
  </si>
  <si>
    <t>2012-2013. évi normatíva és feladatmutatók miatti visszafizetési kötelezettség</t>
  </si>
  <si>
    <t>Szeptemberi módosított előirányzat         E Ft</t>
  </si>
  <si>
    <t>Mód.(IX.24.)</t>
  </si>
  <si>
    <t>Tata-Tóparti 
V. Társulat 
Mód. IX.24.</t>
  </si>
  <si>
    <t>Hosszú 
lejáratú fejlesztési 
Hitel 
Mód. IX.24.</t>
  </si>
  <si>
    <t>Kötvény-kibocsátás
Mód. IX.24.</t>
  </si>
  <si>
    <t>Hosszú 
lejáratú fejlesztési 
Hitel
Mód. IX.24.</t>
  </si>
  <si>
    <t>Mindösszesen
Mód. IX.24.</t>
  </si>
  <si>
    <t>Tatai Geszti Óvoda-Agostyáni Taginézménye</t>
  </si>
  <si>
    <t>Tatai Geszti Óvoda Összesen</t>
  </si>
  <si>
    <t>Tatai Kincseskert Óvoda-Szivárvány Tagintézménye</t>
  </si>
  <si>
    <t>Tatai Kincseskert Óvoda Összesen</t>
  </si>
  <si>
    <t>Tata-Agostyáni Bergengócia Óvoda</t>
  </si>
  <si>
    <t>Intézmények Gazdasági Hivatalához tartozó önállóan működő intézmények 2014. évi költségvetése</t>
  </si>
  <si>
    <t>Intézmények Gazdasági Hivatalához tartozó  önállóan működő intézmények 2014. évi költségvetése</t>
  </si>
  <si>
    <t>Költségvetési alcím megnevezése</t>
  </si>
  <si>
    <t>Feladat jellege</t>
  </si>
  <si>
    <t>Felhalmozási bevétel</t>
  </si>
  <si>
    <t>Saját bevételek</t>
  </si>
  <si>
    <t>Bevételek mindösszesen</t>
  </si>
  <si>
    <t>Szolgáltatások bevétele</t>
  </si>
  <si>
    <t>átvett működési célra</t>
  </si>
  <si>
    <t>támogatás értékű működési célra</t>
  </si>
  <si>
    <t>átvett felhalmozási célra</t>
  </si>
  <si>
    <t>támogatásértékű felhalmozási célra</t>
  </si>
  <si>
    <t>Pénzmar. átvét</t>
  </si>
  <si>
    <t>pénzforalom nélküli</t>
  </si>
  <si>
    <t>Finanszírozás</t>
  </si>
  <si>
    <t>Dologi</t>
  </si>
  <si>
    <t>Dologiból ellátottakra vonatkozó élelmiszer beszerzés és vásárolt élelmezés</t>
  </si>
  <si>
    <t>Pénzbeli juttatás</t>
  </si>
  <si>
    <t>Pénzmaradvány átadás</t>
  </si>
  <si>
    <t>össz</t>
  </si>
  <si>
    <t>V.hó mód.</t>
  </si>
  <si>
    <t>VIII.hó.mód</t>
  </si>
  <si>
    <t>IX.hó mód.</t>
  </si>
  <si>
    <t>Tatai Geszti Óvoda Agostyáni Tagintézménye</t>
  </si>
  <si>
    <t>Geszti összesen</t>
  </si>
  <si>
    <t>Bartók B. utcai Óvoda</t>
  </si>
  <si>
    <t>Tatai Kincseskert  Óvoda Szivárvány Tagintézménye</t>
  </si>
  <si>
    <t>Kincseskert összesen</t>
  </si>
  <si>
    <t>Bergengócia Óvoda</t>
  </si>
  <si>
    <t>Bölcsőde</t>
  </si>
  <si>
    <t>Vaszary J. Általános Iskola</t>
  </si>
  <si>
    <t>Vaszary - Logopédiai Intézet</t>
  </si>
  <si>
    <t>Vaszary - Jázmin Tagintézmény</t>
  </si>
  <si>
    <t>Vaszary összesen</t>
  </si>
  <si>
    <t>Kőkúti összesen</t>
  </si>
  <si>
    <t>Zeneiskola</t>
  </si>
  <si>
    <t>Diákotthon</t>
  </si>
  <si>
    <t>Intézmények Gazdasági Hivatala</t>
  </si>
  <si>
    <t>Önként</t>
  </si>
  <si>
    <t xml:space="preserve">Önként </t>
  </si>
  <si>
    <t>VIII.hó mód.</t>
  </si>
  <si>
    <t>Iskolák és IGH összesen</t>
  </si>
  <si>
    <t>Könyvtár</t>
  </si>
  <si>
    <t>Egészségügyi Alapellátó</t>
  </si>
  <si>
    <t>Kvi. Alcímek és szakf. Összesen:</t>
  </si>
  <si>
    <t>IGH feladatkörébe tartozó kötelező feladatok</t>
  </si>
  <si>
    <t>IGH feladatkörébe tartozó önként vállalt  feladatok</t>
  </si>
  <si>
    <t>Önként vállalt feladat összesen</t>
  </si>
  <si>
    <t>Mód.(XII.17.)</t>
  </si>
  <si>
    <t>XII. hó mód.</t>
  </si>
  <si>
    <t>Bölcsöde</t>
  </si>
  <si>
    <t>Vaszary-Jázmin Tagint.</t>
  </si>
  <si>
    <t>Kőkúti Általános Iskola - Fazekas U. Tagintézmény</t>
  </si>
  <si>
    <t>Egészségügyi Alapellátó Intézmény</t>
  </si>
  <si>
    <t>Kvi. alcímek és szakf. Összesen:</t>
  </si>
  <si>
    <t xml:space="preserve">IGH feladatkörébe tartozó önként vállalt  feladatok </t>
  </si>
  <si>
    <t>Tata-Tóparti 
V. Társulat 
Mód. XII.17.</t>
  </si>
  <si>
    <t>Mód. IX.24.
Összesen</t>
  </si>
  <si>
    <t>Mód. XII.17. Öszesen</t>
  </si>
  <si>
    <t>Kötvény-kibocsátás
Mód. XII.17.</t>
  </si>
  <si>
    <t>Hosszú 
lejáratú fejlesztési 
Hitel 
Mód. XII.17.</t>
  </si>
  <si>
    <t>Hosszú 
lejáratú fejlesztési 
Hitel
Mód. XII.17.</t>
  </si>
  <si>
    <t>Mindösszesen
Mód. XII.17.</t>
  </si>
  <si>
    <t>Decemberi módosított előirányzat    E Ft</t>
  </si>
  <si>
    <t>Átadott pénzeszköz</t>
  </si>
  <si>
    <t>A munka és a magánélet összehangolását segítő helyi kezdeményezések megvalósítása Tata városában TÁMOP-2.4.5-12/3-2012-0028, el nem számolható lift kiviteli terev</t>
  </si>
  <si>
    <t>1241, 1242 és 1243 hrsz.-ú ingatlanok elektromos közművel történő ellátásához 296/2014. (IX.1.) Tata Kt. határozat</t>
  </si>
  <si>
    <t>Egység u. 12. szám alatti, 3045 hrsz-ú ingatlan megvásárlásának 1. részlete 304/2014. (IX.1.) Tata Kt. határozat</t>
  </si>
  <si>
    <t>320/13 hrsz.-ú ingatlan (Naplókert utca mentén található terület) megvétele 308/2014. (IX.1.) Tata Kt. határozat</t>
  </si>
  <si>
    <t>3. számú fogorvosi körzet működéshez szükséges eszköz vásárlása 319/2014. (IX.1.) Tata Kt. határozat</t>
  </si>
  <si>
    <t>Tatai Távhőszolgáltató jegyzett tőke emelés 351/2014.(XI.27.) Tata Kt. határozat</t>
  </si>
  <si>
    <t>Május 1 út közvilágítás korszerűsítése (Oroszlányi út – Schell töltőállomás közötti szakasz)</t>
  </si>
  <si>
    <t>Tatai Városkapu Zrt. jegyzett tőke emelése</t>
  </si>
  <si>
    <t>Holokauszt megemlékezés emléktábla</t>
  </si>
  <si>
    <t>Tó-futáshoz dobogó</t>
  </si>
  <si>
    <t>Minimarathon rendezvényre kalapács</t>
  </si>
  <si>
    <t>Zászlók a Barokk Fesztiválra</t>
  </si>
  <si>
    <t>Kincseskert Óvodába térvilágítás</t>
  </si>
  <si>
    <t>Tatai Geszti Óvoda - villanytűzhely, udvari eszközök, mosógép</t>
  </si>
  <si>
    <t>Csillagsziget Bölcsőde - villanytűzhely, számítógép</t>
  </si>
  <si>
    <t>Tatai Kincseskert Óvoda Szivárvány Tagintézménye - udvari játékok</t>
  </si>
  <si>
    <t>Tatai Geszti Óvoda Agostyáni Tagintézménye - mosógép és játékok várálása, laptop, nyomtató</t>
  </si>
  <si>
    <t xml:space="preserve">Balatonfüredi üdülő víz- és szennyvízvezetékek cseréjével és az önálló vízóra (bekötési mérés) beszerelése, bejárati ajtó csere </t>
  </si>
  <si>
    <t>Fényes fürdőn a strand nyitáshoz szükséges felújításokra, medence felújítás</t>
  </si>
  <si>
    <t>Irattár külső falára a parkolók megvilágítása érdekében 3 db lámpatest</t>
  </si>
  <si>
    <t>Bacsó B. ltp-en az útfelújítást, Új úti garázssoron a pormentesítést, Juharfa utcai járda felújítás</t>
  </si>
  <si>
    <t>Hivatal épületében földszinten mozgáskorlátozott mosdó kialakítása, klíma</t>
  </si>
  <si>
    <t>Tatai Kincseskert Óvoda szivárvány Tagintézménye - Udvari csapadékvíz elvezetés</t>
  </si>
  <si>
    <t>Kőkúti Általános Iskola - Fazekas u. Tagintézménye</t>
  </si>
  <si>
    <t>Zeneiskola - tartós eszköz vásárlás</t>
  </si>
  <si>
    <t>Vaszary János Általános Iskola - eszközbeszerzés, fénymásoló vásárlás</t>
  </si>
  <si>
    <t>Vaszary János Általános Iskola Jázmin Tagintézménye - eszközbeszerzés, tároló eszköz vásárlás</t>
  </si>
  <si>
    <t>Kőkúti Általános Iskola - eszközvásárlás, tartós eszköz vásárlás</t>
  </si>
  <si>
    <t>Kőkúti Általános Iskola Fazekas u. Tagintézménye - eszközvásárlás, lap-top vásárlás</t>
  </si>
  <si>
    <t>Tatai Egészségügyi Alapellátó Intézmény - eszközbeszerzés, védőnői számítógép, fóliázó gép, tárgyi eszköz vásárlás</t>
  </si>
  <si>
    <t>Tatabányai Megyei Jogú Város Jászai Mari Színház, Népház bérlettámogatás</t>
  </si>
  <si>
    <t>Nemzeti Foglalkoztatási Alapnak támogatás visszafizetés</t>
  </si>
  <si>
    <t>Pécsre bejáró tanuló részére étkezési hozzájárulás</t>
  </si>
  <si>
    <t>Tatai Lengyel Nemzetiségi Önkormányzat támogatása</t>
  </si>
  <si>
    <t>Német Nemzetiségi Önkormányzat támogatása</t>
  </si>
  <si>
    <t>Vértes Volán Zrt. részére - helyi közösségi közlekedés támogatása</t>
  </si>
  <si>
    <t>Magyar Autóklub támogatása</t>
  </si>
  <si>
    <t>Pro Minoritate Alapítvány nyári szabadegyetem támogatása</t>
  </si>
  <si>
    <t>Agostyáni Önkéntes Tűzoltó Egyesület támogatása</t>
  </si>
  <si>
    <t>Rákóczi Szövetségnek beiratkozási ösztöndíj programhoz történő hozzájárulás</t>
  </si>
  <si>
    <t>Szőgyén Öröksége program támogatása</t>
  </si>
  <si>
    <t>"Tata Városáért" kitüntetés - 25. Klapka György Lövészdandár támogatása</t>
  </si>
  <si>
    <t xml:space="preserve"> - Agostyáni Country-Live Tánccsoport németországi utazásának támogatás</t>
  </si>
  <si>
    <t xml:space="preserve"> - Mozgáskorlátozottak KEM-i Egyesület támogatása</t>
  </si>
  <si>
    <t xml:space="preserve"> - „Kertvárosi Nap” megrendezésének támogatása</t>
  </si>
  <si>
    <t xml:space="preserve"> - Tatai Eötvös J. Tehetséggondozó Alapítvány ifjú fizikus megyei verseny megrend. támogatása</t>
  </si>
  <si>
    <t xml:space="preserve"> - Hernádi László autóversenyző részvételének támogatása</t>
  </si>
  <si>
    <t xml:space="preserve"> - Iskolai erkölcs- és etika oktatás támogatása</t>
  </si>
  <si>
    <t xml:space="preserve"> - Tatai Szt. Márton Kamarakórus támogatása</t>
  </si>
  <si>
    <t>Tata Város Önkormányzata és a Tatai Közös Önkormányzati Hivatal által nyújtott visszatérítendő és vissza nem térítendő támogatások 2014. évi alakulása (E Ft-ban)</t>
  </si>
  <si>
    <t>Mági-Med Kft. Részére háziorvosi rendelő-bútorbeszerzés</t>
  </si>
  <si>
    <t>Fellner Jakab Kulturális Alapítványnak - Kálvária kápolna felújítására</t>
  </si>
  <si>
    <t>Hajnalcsillag Óvoda felújításához támogatás</t>
  </si>
  <si>
    <t>Pötörke Népművészeti Egyesület</t>
  </si>
  <si>
    <t>Rendszeres gyermekvédelmi támogatáshoz Erzsébet utalvány</t>
  </si>
  <si>
    <t>Likvidítási célú hitel felvétel</t>
  </si>
  <si>
    <t>Holokauszt megemlékezéshez meléktábla készítése</t>
  </si>
  <si>
    <t>Tatai Távhőszolgáltató Kft. jegyzett tőke emelés</t>
  </si>
  <si>
    <t>Tatai Városkapu Zrt. jegyzett tőke emelés</t>
  </si>
  <si>
    <t>Tatai Városgazda Nonprofit Kft. jegyzett tőke emelése</t>
  </si>
  <si>
    <t>Közvetített szolgáltatások ellenértéke</t>
  </si>
  <si>
    <t>Likvidítási célú hitel felvétele</t>
  </si>
  <si>
    <t>Pötörke Népművészeti Egyesület Eredeti</t>
  </si>
  <si>
    <t>Pötörke Népművészeti Egyesület    Mód. IX.24.</t>
  </si>
  <si>
    <t>Pötörke Népművészeti Egyesület        Mód. XII.17.</t>
  </si>
  <si>
    <t xml:space="preserve">Betétlekötés céljából átvezetés fizetési számláról </t>
  </si>
  <si>
    <t>Betétlekötésből fizetési számlára visszérkező pénzösszeg</t>
  </si>
  <si>
    <t>Betétlekötésből fizetési számlára visszaérkező pénzösszeg</t>
  </si>
  <si>
    <t xml:space="preserve">Likvidhitel felvétel </t>
  </si>
  <si>
    <t>Betétlekötésből fieztési számlára visszaérkező pénzösszeg</t>
  </si>
  <si>
    <t>Likvid hitel igénybevétel</t>
  </si>
  <si>
    <t>Likvid hitel törlesztés</t>
  </si>
  <si>
    <t>Betétlekötés céljából átvezetés fizetési számláról</t>
  </si>
  <si>
    <t xml:space="preserve">Balatonfüredi üdülő bejárati ajtó csere </t>
  </si>
  <si>
    <t>1. Az 1. táblázatot módosította a 13/2014.(VI.2.) önkormányzati rendelet 1. §-a Hatályos: 2014. június 3. napjától</t>
  </si>
  <si>
    <t>2. Az 1. táblázatot módosította a 18/2014.(IX.1.) önkormányzati rendelet 1. §-a Hatályos: 2014. szeptember 5. napjától</t>
  </si>
  <si>
    <t>3. Az 1. táblázatot módosította a 19/2014.(IX.30.) önkormányzati rendelet 1. §-a Hatályos: 2014. október 1. napjától</t>
  </si>
  <si>
    <t>Tata Város Önkormányzatának Európai uniós támogatással megvalósuló projektjeinek tervezett bevételei, kiadásai a beadott kérelmek alapján (E Ft-ban)</t>
  </si>
  <si>
    <t>EU-s projekt neve</t>
  </si>
  <si>
    <t>Azonosítója</t>
  </si>
  <si>
    <t>Támogatási szerződés kötés időpontja</t>
  </si>
  <si>
    <t>Megvalósítás tervezett ideje</t>
  </si>
  <si>
    <t>Források</t>
  </si>
  <si>
    <t>Saját erő, az el nem számolható költségekkel együtt</t>
  </si>
  <si>
    <t>NFM EU Önerő-támogatás</t>
  </si>
  <si>
    <t>EU-s forrás a támogatási szerződés szerint</t>
  </si>
  <si>
    <t xml:space="preserve">Tatai Angolpark rehabilitációja </t>
  </si>
  <si>
    <t>KDOP -2.1.1/B-2f-2009-0002</t>
  </si>
  <si>
    <t>Öreg-tavi Ökoturisztikai Központ kialakítása a csatlakozó kerékpárutak felújításával Tatán és a tematikus aktív turisztikai fejlesztések a kistérségben</t>
  </si>
  <si>
    <t>KDOP–2.1.1/B–09-2010-0002</t>
  </si>
  <si>
    <t>Ökoturisztikai tanösvény kialakítása a tatai Fényes-Fürdő területén</t>
  </si>
  <si>
    <t>KDOP-2.1.1/B-12-2012-0046</t>
  </si>
  <si>
    <t>Tata, Kossuth tér városközpont értékmegőrző rehabilitációja</t>
  </si>
  <si>
    <t>KDOP–3.1.1/A–09-1f-2010-0001</t>
  </si>
  <si>
    <t>Természetes vizes élőhely kialakítása a tatai Réti 8-as tó  rehabilitációjával</t>
  </si>
  <si>
    <t>KEOP–7.3.1.2/09-11-2011-0023</t>
  </si>
  <si>
    <t>A tatai Réti 8-as számú tó vízi élőhellyé történő rehabilitációja</t>
  </si>
  <si>
    <t>KEOP – 3.1.2/2F/09-11-2013-0014</t>
  </si>
  <si>
    <t>Folyamatban</t>
  </si>
  <si>
    <t>Tatabánya-Vértesszőlős-Tata településeket összekötő közlekedési célú kerékpárút építése az Általér mentén</t>
  </si>
  <si>
    <t>KÖZOP–3.2.0/c-08-2010-0003</t>
  </si>
  <si>
    <t>A munka és a magánélet összehangolását segítő helyi kezdeményezések megvalósítása Tata városában</t>
  </si>
  <si>
    <t>TÁMOP-2.4.5-12/3-2012-0028</t>
  </si>
  <si>
    <t>Intermodális közösségi közlekedési központ létrehozása Tatán</t>
  </si>
  <si>
    <t>KÖZOP–5.5.0-09-11-2011-0010</t>
  </si>
  <si>
    <t>Tata, közvilágítás hálózat korszerűsítése</t>
  </si>
  <si>
    <t>KEOP– 5.5.0/A.-12-2013-0229</t>
  </si>
  <si>
    <t>Tata Város Önkormányzatának szervezetfejlesztése</t>
  </si>
  <si>
    <t>ÁROP – 1.A.5-2013-2013-0003</t>
  </si>
  <si>
    <t xml:space="preserve">Közigazgatási partnerség építése Tatán </t>
  </si>
  <si>
    <t>ÁROP – 1.A.6-2013-2013-0007</t>
  </si>
  <si>
    <t xml:space="preserve">A tatai Angolkert természeti és kulturális örökségének helyreállítása </t>
  </si>
  <si>
    <t>KEOP – 3.1.2/2F/09-11-2013-0043</t>
  </si>
  <si>
    <t>Óvodafejlesztés</t>
  </si>
  <si>
    <t>TÁMOP-3.1.11-12/1.2</t>
  </si>
  <si>
    <t>Tartaléklistán</t>
  </si>
  <si>
    <t>-</t>
  </si>
  <si>
    <t>A munka és a magánélet összehangolása a Tatai Polgármesteri Hivatalban</t>
  </si>
  <si>
    <t>TÁMOP-2.4.5-12/7-2012-0705</t>
  </si>
  <si>
    <t>Egészségre nevelő és szemléletformáló életmódprogramok a Tatai Kistérségben</t>
  </si>
  <si>
    <t>TÁMOP-6.1.2/11/3</t>
  </si>
  <si>
    <t>Vár a könyvt@r - Együtt a kultúráért Tata és környékén</t>
  </si>
  <si>
    <t>TÁMOP-3.213-12/1-2012-0173</t>
  </si>
  <si>
    <t>Befogadó élettér Tatán</t>
  </si>
  <si>
    <t>TÁMOP-3.4.2.A/11-2-2012-0004</t>
  </si>
  <si>
    <t>1. A 16. táblázatot módosította a 13/2014.(VI.2.) önkormányzati rendelet 1. §-a Hatályos: 2014. június 3. napjától</t>
  </si>
  <si>
    <t>2. A 16. táblázatot módosította a 18/2014.(IX.1.) önkormányzati rendelet 1. §-a Hatályos: 2014. szeptember 5. napjától</t>
  </si>
  <si>
    <t>3. A 16. táblázatot módosította a 19/2014.(IX.30.) önkormányzati rendelet 1. §-a Hatályos: 2014. október 1. napjától</t>
  </si>
  <si>
    <t>1. A 17. táblázatot módosította a 13/2014.(VI.2.) önkormányzati rendelet 1. §-a Hatályos: 2014. június 3. napjától</t>
  </si>
  <si>
    <t>2. A 17. táblázatot módosította a 18/2014.(IX.1.) önkormányzati rendelet 1. §-a Hatályos: 2014. szeptember 5. napjától</t>
  </si>
  <si>
    <t>3. A 17. táblázatot módosította a 19/2014.(IX.30.) önkormányzati rendelet 1. §-a Hatályos: 2014. október 1. napjától</t>
  </si>
  <si>
    <t>1. A 19. táblázatot módosította a 13/2014.(VI.2.) önkormányzati rendelet 1. §-a Hatályos: 2014. június 3. napjától</t>
  </si>
  <si>
    <t>2. A 19. táblázatot módosította a 18/2014.(IX.1.) önkormányzati rendelet 1. §-a Hatályos: 2014. szeptember 5. napjától</t>
  </si>
  <si>
    <t>3. A 19. táblázatot módosította a 19/2014.(IX.30.) önkormányzati rendelet 1. §-a Hatályos: 2014. október 1. napjától</t>
  </si>
  <si>
    <t>1. A 15. táblázatot módosította a 13/2014.(VI.2.) önkormányzati rendelet 1. §-a Hatályos: 2014. június 3. napjától</t>
  </si>
  <si>
    <t>2. A 15. táblázatot módosította a 18/2014.(IX.1.) önkormányzati rendelet 1. §-a Hatályos: 2014. szeptember 5. napjától</t>
  </si>
  <si>
    <t>3. A 15. táblázatot módosította a 19/2014.(IX.30.) önkormányzati rendelet 1. §-a Hatályos: 2014. október 1. napjától</t>
  </si>
  <si>
    <t>1. A 14. táblázatot módosította a 13/2014.(VI.2.) önkormányzati rendelet 1. §-a Hatályos: 2014. június 3. napjától</t>
  </si>
  <si>
    <t>2. A 14. táblázatot módosította a 18/2014.(IX.1.) önkormányzati rendelet 1. §-a Hatályos: 2014. szeptember 5. napjától</t>
  </si>
  <si>
    <t>3. A 14. táblázatot módosította a 19/2014.(IX.30.) önkormányzati rendelet 1. §-a Hatályos: 2014. október 1. napjától</t>
  </si>
  <si>
    <t>1. A 13. táblázatot módosította a 13/2014.(VI.2.) önkormányzati rendelet 1. §-a Hatályos: 2014. június 3. napjától</t>
  </si>
  <si>
    <t>2. A 13. táblázatot módosította a 18/2014.(IX.1.) önkormányzati rendelet 1. §-a Hatályos: 2014. szeptember 5. napjától</t>
  </si>
  <si>
    <t>3. A 13. táblázatot módosította a 19/2014.(IX.30.) önkormányzati rendelet 1. §-a Hatályos: 2014. október 1. napjától</t>
  </si>
  <si>
    <t>1. A 12. táblázatot módosította a 13/2014.(VI.2.) önkormányzati rendelet 1. §-a Hatályos: 2014. június 3. napjától</t>
  </si>
  <si>
    <t>2. A 12. táblázatot módosította a 18/2014.(IX.1.) önkormányzati rendelet 1. §-a Hatályos: 2014. szeptember 5. napjától</t>
  </si>
  <si>
    <t>3. A 12. táblázatot módosította a 19/2014.(IX.30.) önkormányzati rendelet 1. §-a Hatályos: 2014. október 1. napjától</t>
  </si>
  <si>
    <t>1. A 11. táblázatot módosította a 13/2014.(VI.2.) önkormányzati rendelet 1. §-a Hatályos: 2014. június 3. napjától</t>
  </si>
  <si>
    <t>2. A 11. táblázatot módosította a 18/2014.(IX.1.) önkormányzati rendelet 1. §-a Hatályos: 2014. szeptember 5. napjától</t>
  </si>
  <si>
    <t>3. A 11. táblázatot módosította a 19/2014.(IX.30.) önkormányzati rendelet 1. §-a Hatályos: 2014. október 1. napjától</t>
  </si>
  <si>
    <t>1. A 10. táblázatot módosította a 13/2014.(VI.2.) önkormányzati rendelet 1. §-a Hatályos: 2014. június 3. napjától</t>
  </si>
  <si>
    <t>2. A 10. táblázatot módosította a 18/2014.(IX.1.) önkormányzati rendelet 1. §-a Hatályos: 2014. szeptember 5. napjától</t>
  </si>
  <si>
    <t>3. A 10. táblázatot módosította a 19/2014.(IX.30.) önkormányzati rendelet 1. §-a Hatályos: 2014. október 1. napjától</t>
  </si>
  <si>
    <t>1. A 9. táblázatot módosította a 13/2014.(VI.2.) önkormányzati rendelet 1. §-a Hatályos: 2014. június 3. napjától</t>
  </si>
  <si>
    <t>2. A 9. táblázatot módosította a 18/2014.(IX.1.) önkormányzati rendelet 1. §-a Hatályos: 2014. szeptember 5. napjától</t>
  </si>
  <si>
    <t>3. A 9. táblázatot módosította a 19/2014.(IX.30.) önkormányzati rendelet 1. §-a Hatályos: 2014. október 1. napjától</t>
  </si>
  <si>
    <t>1. A 8. táblázatot módosította a 13/2014.(VI.2.) önkormányzati rendelet 1. §-a Hatályos: 2014. június 3. napjától</t>
  </si>
  <si>
    <t>2. A 8. táblázatot módosította a 18/2014.(IX.1.) önkormányzati rendelet 1. §-a Hatályos: 2014. szeptember 5. napjától</t>
  </si>
  <si>
    <t>3. A 8. táblázatot módosította a 19/2014.(IX.30.) önkormányzati rendelet 1. §-a Hatályos: 2014. október 1. napjától</t>
  </si>
  <si>
    <t>1. A 7. táblázatot módosította a 13/2014.(VI.2.) önkormányzati rendelet 1. §-a Hatályos: 2014. június 3. napjától</t>
  </si>
  <si>
    <t>2. A 7. táblázatot módosította a 18/2014.(IX.1.) önkormányzati rendelet 1. §-a Hatályos: 2014. szeptember 5. napjától</t>
  </si>
  <si>
    <t>3. A 7. táblázatot módosította a 19/2014.(IX.30.) önkormányzati rendelet 1. §-a Hatályos: 2014. október 1. napjától</t>
  </si>
  <si>
    <t>1. A 6. táblázatot módosította a 13/2014.(VI.2.) önkormányzati rendelet 1. §-a Hatályos: 2014. június 3. napjától</t>
  </si>
  <si>
    <t>2. A 6. táblázatot módosította a 18/2014.(IX.1.) önkormányzati rendelet 1. §-a Hatályos: 2014. szeptember 5. napjától</t>
  </si>
  <si>
    <t>3. A 6. táblázatot módosította a 19/2014.(IX.30.) önkormányzati rendelet 1. §-a Hatályos: 2014. október 1. napjától</t>
  </si>
  <si>
    <t>4. A 6. táblázatot módosította a 26/2014.(XII.18.) önkormányzati rendelet 1. §-a Hatályos: 2014. december 19. napjától</t>
  </si>
  <si>
    <t>4. A 3. táblázatot módosította a 26/2014.(XII.18.) önkormányzati rendelet 1. §-a Hatályos: 2014. december 19. napjától</t>
  </si>
  <si>
    <t>4. A 4. táblázatot módosította a 26/2014.(XII.18.) önkormányzati rendelet 1. §-a Hatályos: 2014. december 19. napjától</t>
  </si>
  <si>
    <t>4. Az 5. táblázatot módosította a 26/2014.(XII.18.) önkormányzati rendelet 1. §-a Hatályos: 2014. december 19. napjától</t>
  </si>
  <si>
    <t>3. Az 5. táblázatot módosította a 19/2014.(IX.30.) önkormányzati rendelet 1. §-a Hatályos: 2014. október 1. napjától</t>
  </si>
  <si>
    <t>2. Az 5. táblázatot módosította a 18/2014.(IX.1.) önkormányzati rendelet 1. §-a Hatályos: 2014. szeptember 5. napjától</t>
  </si>
  <si>
    <t>1. Az 5. táblázatot módosította a 13/2014.(VI.2.) önkormányzati rendelet 1. §-a Hatályos: 2014. június 3. napjától</t>
  </si>
  <si>
    <t>3. A 4. táblázatot módosította a 19/2014.(IX.30.) önkormányzati rendelet 1. §-a Hatályos: 2014. október 1. napjától</t>
  </si>
  <si>
    <t>2. A 4. táblázatot módosította a 18/2014.(IX.1.) önkormányzati rendelet 1. §-a Hatályos: 2014. szeptember 5. napjától</t>
  </si>
  <si>
    <t>1. A 4. táblázatot módosította a 13/2014.(VI.2.) önkormányzati rendelet 1. §-a Hatályos: 2014. június 3. napjától</t>
  </si>
  <si>
    <t>3. A 3. táblázatot módosította a 19/2014.(IX.30.) önkormányzati rendelet 1. §-a Hatályos: 2014. október 1. napjától</t>
  </si>
  <si>
    <t>2. A 3. táblázatot módosította a 18/2014.(IX.1.) önkormányzati rendelet 1. §-a Hatályos: 2014. szeptember 5. napjától</t>
  </si>
  <si>
    <t>1. A 3. táblázatot módosította a 13/2014.(VI.2.) önkormányzati rendelet 1. §-a Hatályos: 2014. június 3. napjától</t>
  </si>
  <si>
    <t>4. A 7. táblázatot módosította a 26/2014.(XII.18.) önkormányzati rendelet 1. §-a Hatályos: 2014. december 19. napjától</t>
  </si>
  <si>
    <t>4. A 8. táblázatot módosította a 26/2014.(XII.18.) önkormányzati rendelet 1. §-a Hatályos: 2014. december 19. napjától</t>
  </si>
  <si>
    <t>4. A 9. táblázatot módosította a 26/2014.(XII.18.) önkormányzati rendelet 1. §-a Hatályos: 2014. december 19. napjától</t>
  </si>
  <si>
    <t>4. A 10. táblázatot módosította a 26/2014.(XII.18.) önkormányzati rendelet 1. §-a Hatályos: 2014. december 19. napjától</t>
  </si>
  <si>
    <t>4. A 11. táblázatot módosította a 26/2014.(XII.18.) önkormányzati rendelet 1. §-a Hatályos: 2014. december 19. napjától</t>
  </si>
  <si>
    <t>4. A 12. táblázatot módosította a 26/2014.(XII.18.) önkormányzati rendelet 1. §-a Hatályos: 2014. december 19. napjától</t>
  </si>
  <si>
    <t>4. A 13. táblázatot módosította a 26/2014.(XII.18.) önkormányzati rendelet 1. §-a Hatályos: 2014. december 19. napjától</t>
  </si>
  <si>
    <t>4. A 14. táblázatot módosította a 26/2014.(XII.18.) önkormányzati rendelet 1. §-a Hatályos: 2014. december 19. napjától</t>
  </si>
  <si>
    <t>4. A 15. táblázatot módosította a 26/2014.(XII.18.) önkormányzati rendelet 1. §-a Hatályos: 2014. december 19. napjától</t>
  </si>
  <si>
    <t>4. A 16. táblázatot módosította a 26/2014.(XII.18.) önkormányzati rendelet 1. §-a Hatályos: 2014. december 19. napjától</t>
  </si>
  <si>
    <t>4. A 17. táblázatot módosította a 26/2014.(XII.18.) önkormányzati rendelet 1. §-a Hatályos: 2014. december 19. napjától</t>
  </si>
  <si>
    <t>4. A 19. táblázatot módosította a 26/2014.(XII.18.) önkormányzati rendelet 1. §-a Hatályos: 2014. december 19. napjától</t>
  </si>
  <si>
    <t>4. Az 1. táblázatot módosította a 26/2014.(XII.18.) önkormányzati rendelet 1. §-a Hatályos: 2014. december 19. napjától</t>
  </si>
  <si>
    <t>3. A 2. táblázatot módosította a 19/2014.(IX.30.) önkormányzati rendelet 1. §-a Hatályos: 2014. október 1. napjától</t>
  </si>
  <si>
    <t>2. A 2. táblázatot módosította a 18/2014.(IX.1.) önkormányzati rendelet 1. §-a Hatályos: 2014. szeptember 5. napjától</t>
  </si>
  <si>
    <t>1. A 2. táblázatot módosította a 13/2014.(VI.2.) önkormányzati rendelet 1. §-a Hatályos: 2014. június 3. napjától</t>
  </si>
  <si>
    <t>4. A 2. táblázatot módosította a 26/2014.(XII.18.) önkormányzati rendelet 1. §-a Hatályos: 2014. december 19. napjától</t>
  </si>
</sst>
</file>

<file path=xl/styles.xml><?xml version="1.0" encoding="utf-8"?>
<styleSheet xmlns="http://schemas.openxmlformats.org/spreadsheetml/2006/main">
  <numFmts count="5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_ ;\-#,##0\ "/>
    <numFmt numFmtId="165" formatCode="0.0"/>
    <numFmt numFmtId="166" formatCode="0.000"/>
    <numFmt numFmtId="167" formatCode="&quot;Igen&quot;;&quot;Igen&quot;;&quot;Nem&quot;"/>
    <numFmt numFmtId="168" formatCode="&quot;Igaz&quot;;&quot;Igaz&quot;;&quot;Hamis&quot;"/>
    <numFmt numFmtId="169" formatCode="&quot;Be&quot;;&quot;Be&quot;;&quot;Ki&quot;"/>
    <numFmt numFmtId="170" formatCode="#,##0.0000"/>
    <numFmt numFmtId="171" formatCode="yyyy/\ m/\ d\."/>
    <numFmt numFmtId="172" formatCode="#,##0.0"/>
    <numFmt numFmtId="173" formatCode="0&quot;.folyósítás&quot;"/>
    <numFmt numFmtId="174" formatCode="#,##0.000"/>
    <numFmt numFmtId="175" formatCode="#,##0,"/>
    <numFmt numFmtId="176" formatCode="#,##0;[Red]\-#,##0"/>
    <numFmt numFmtId="177" formatCode="0.0%"/>
    <numFmt numFmtId="178" formatCode="[$-40E]yyyy\.\ mmmm\ d\."/>
    <numFmt numFmtId="179" formatCode="[$-40E]yyyy/\ mmm/\ d\.;@"/>
    <numFmt numFmtId="180" formatCode="[$-F800]dddd\,\ mmmm\ dd\,\ yyyy"/>
    <numFmt numFmtId="181" formatCode="#,##0.0000000"/>
    <numFmt numFmtId="182" formatCode="#,##0.000000"/>
    <numFmt numFmtId="183" formatCode="#,##0;\-#,##0"/>
    <numFmt numFmtId="184" formatCode="dddd&quot;, &quot;mmmm\ dd&quot;, &quot;yyyy"/>
    <numFmt numFmtId="185" formatCode="_-* #,##0.00\ _F_t_-;\-* #,##0.00\ _F_t_-;_-* \-??\ _F_t_-;_-@_-"/>
    <numFmt numFmtId="186" formatCode="&quot;H-&quot;0000"/>
    <numFmt numFmtId="187" formatCode="#,##0.00\ [$EUR]"/>
    <numFmt numFmtId="188" formatCode="_-* #,##0.0\ _F_t_-;\-* #,##0.0\ _F_t_-;_-* &quot;-&quot;??\ _F_t_-;_-@_-"/>
    <numFmt numFmtId="189" formatCode="_-* #,##0.000\ _F_t_-;\-* #,##0.000\ _F_t_-;_-* &quot;-&quot;??\ _F_t_-;_-@_-"/>
    <numFmt numFmtId="190" formatCode="_-* #,##0\ _F_t_-;\-* #,##0\ _F_t_-;_-* &quot;-&quot;??\ _F_t_-;_-@_-"/>
    <numFmt numFmtId="191" formatCode="#,##0_ ;[Red]\-#,##0\ "/>
    <numFmt numFmtId="192" formatCode="0.0000"/>
    <numFmt numFmtId="193" formatCode="0.00000"/>
    <numFmt numFmtId="194" formatCode="0.0000000"/>
    <numFmt numFmtId="195" formatCode="0.000000"/>
    <numFmt numFmtId="196" formatCode="0.00000000"/>
    <numFmt numFmtId="197" formatCode="0.000000000"/>
    <numFmt numFmtId="198" formatCode="#,##0&quot; Ft&quot;"/>
    <numFmt numFmtId="199" formatCode="yyyy\-mm\-dd"/>
    <numFmt numFmtId="200" formatCode="yyyy/\ mmmm\ d\."/>
    <numFmt numFmtId="201" formatCode="yyyy/\ mmm/\ d\."/>
    <numFmt numFmtId="202" formatCode="yy/\ mmmm\ d\."/>
    <numFmt numFmtId="203" formatCode="#,##0.0000,"/>
    <numFmt numFmtId="204" formatCode="#,##0.00000,"/>
    <numFmt numFmtId="205" formatCode="[$¥€-2]\ #\ ##,000_);[Red]\([$€-2]\ #\ ##,000\)"/>
  </numFmts>
  <fonts count="67">
    <font>
      <sz val="10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E"/>
      <family val="0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Arial CE"/>
      <family val="0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b/>
      <sz val="10"/>
      <name val="Times New Roman CE"/>
      <family val="1"/>
    </font>
    <font>
      <sz val="12"/>
      <name val="Times New Roman CE"/>
      <family val="1"/>
    </font>
    <font>
      <sz val="10"/>
      <name val="Times New Roman CE"/>
      <family val="1"/>
    </font>
    <font>
      <sz val="10"/>
      <name val="Arial"/>
      <family val="2"/>
    </font>
    <font>
      <b/>
      <u val="single"/>
      <sz val="10"/>
      <name val="Arial"/>
      <family val="2"/>
    </font>
    <font>
      <sz val="10"/>
      <name val="Times New Roman"/>
      <family val="1"/>
    </font>
    <font>
      <b/>
      <u val="single"/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name val="Times New Roman"/>
      <family val="1"/>
    </font>
    <font>
      <b/>
      <sz val="12"/>
      <name val="Times New Roman CE"/>
      <family val="1"/>
    </font>
    <font>
      <b/>
      <i/>
      <sz val="12"/>
      <name val="Times New Roman CE"/>
      <family val="0"/>
    </font>
    <font>
      <i/>
      <sz val="12"/>
      <name val="Times New Roman CE"/>
      <family val="0"/>
    </font>
    <font>
      <b/>
      <sz val="12"/>
      <name val="Arial CE"/>
      <family val="0"/>
    </font>
    <font>
      <sz val="10"/>
      <name val="MS Sans Serif"/>
      <family val="2"/>
    </font>
    <font>
      <i/>
      <sz val="11"/>
      <name val="Times New Roman"/>
      <family val="1"/>
    </font>
    <font>
      <b/>
      <sz val="11"/>
      <name val="Times New Roman CE"/>
      <family val="0"/>
    </font>
    <font>
      <i/>
      <sz val="10"/>
      <name val="Times New Roman"/>
      <family val="1"/>
    </font>
    <font>
      <sz val="8"/>
      <name val="Arial CE"/>
      <family val="0"/>
    </font>
    <font>
      <b/>
      <sz val="11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sz val="9"/>
      <name val="Arial CE"/>
      <family val="0"/>
    </font>
    <font>
      <b/>
      <sz val="8"/>
      <name val="Times New Roman"/>
      <family val="1"/>
    </font>
    <font>
      <i/>
      <sz val="10"/>
      <name val="Times New Roman CE"/>
      <family val="0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12"/>
      <color indexed="12"/>
      <name val="Times New Roman CE"/>
      <family val="0"/>
    </font>
    <font>
      <b/>
      <u val="single"/>
      <sz val="11"/>
      <name val="Times New Roman"/>
      <family val="1"/>
    </font>
    <font>
      <sz val="8"/>
      <name val="Arial"/>
      <family val="2"/>
    </font>
    <font>
      <sz val="11"/>
      <name val="Arial CE"/>
      <family val="0"/>
    </font>
    <font>
      <b/>
      <sz val="10"/>
      <name val="Arial CE"/>
      <family val="0"/>
    </font>
    <font>
      <b/>
      <u val="single"/>
      <sz val="10"/>
      <name val="Times New Roman CE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12"/>
      <name val="Arial CE"/>
      <family val="0"/>
    </font>
    <font>
      <sz val="8"/>
      <name val="Times New Roman"/>
      <family val="1"/>
    </font>
    <font>
      <sz val="11"/>
      <color theme="0"/>
      <name val="Calibri"/>
      <family val="2"/>
    </font>
  </fonts>
  <fills count="54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medium">
        <color indexed="62"/>
      </bottom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/>
      <top style="medium"/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/>
      <top style="thin"/>
      <bottom style="thin"/>
    </border>
    <border>
      <left style="thin"/>
      <right style="medium">
        <color indexed="8"/>
      </right>
      <top style="thin"/>
      <bottom style="thin"/>
    </border>
    <border>
      <left style="medium">
        <color indexed="8"/>
      </left>
      <right style="thin"/>
      <top style="thin"/>
      <bottom style="medium">
        <color indexed="8"/>
      </bottom>
    </border>
    <border>
      <left style="thin"/>
      <right style="thin"/>
      <top style="thin"/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/>
      <right style="medium">
        <color indexed="8"/>
      </right>
      <top style="thin"/>
      <bottom style="medium">
        <color indexed="8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 style="medium"/>
      <right style="thin"/>
      <top style="medium"/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thin"/>
      <bottom>
        <color indexed="63"/>
      </bottom>
    </border>
  </borders>
  <cellStyleXfs count="12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6" fillId="2" borderId="0" applyNumberFormat="0" applyBorder="0" applyAlignment="0" applyProtection="0"/>
    <xf numFmtId="0" fontId="66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66" fillId="16" borderId="0" applyNumberFormat="0" applyBorder="0" applyAlignment="0" applyProtection="0"/>
    <xf numFmtId="0" fontId="6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" fillId="7" borderId="0" applyNumberFormat="0" applyBorder="0" applyAlignment="0" applyProtection="0"/>
    <xf numFmtId="0" fontId="1" fillId="18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" fillId="13" borderId="0" applyNumberFormat="0" applyBorder="0" applyAlignment="0" applyProtection="0"/>
    <xf numFmtId="0" fontId="1" fillId="22" borderId="0" applyNumberFormat="0" applyBorder="0" applyAlignment="0" applyProtection="0"/>
    <xf numFmtId="0" fontId="1" fillId="25" borderId="0" applyNumberFormat="0" applyBorder="0" applyAlignment="0" applyProtection="0"/>
    <xf numFmtId="0" fontId="66" fillId="26" borderId="0" applyNumberFormat="0" applyBorder="0" applyAlignment="0" applyProtection="0"/>
    <xf numFmtId="0" fontId="66" fillId="27" borderId="0" applyNumberFormat="0" applyBorder="0" applyAlignment="0" applyProtection="0"/>
    <xf numFmtId="0" fontId="2" fillId="2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2" fillId="32" borderId="0" applyNumberFormat="0" applyBorder="0" applyAlignment="0" applyProtection="0"/>
    <xf numFmtId="0" fontId="2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37" borderId="0" applyNumberFormat="0" applyBorder="0" applyAlignment="0" applyProtection="0"/>
    <xf numFmtId="0" fontId="2" fillId="38" borderId="0" applyNumberFormat="0" applyBorder="0" applyAlignment="0" applyProtection="0"/>
    <xf numFmtId="0" fontId="2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9" borderId="0" applyNumberFormat="0" applyBorder="0" applyAlignment="0" applyProtection="0"/>
    <xf numFmtId="0" fontId="3" fillId="11" borderId="0" applyNumberFormat="0" applyBorder="0" applyAlignment="0" applyProtection="0"/>
    <xf numFmtId="0" fontId="4" fillId="9" borderId="1" applyNumberFormat="0" applyAlignment="0" applyProtection="0"/>
    <xf numFmtId="0" fontId="5" fillId="40" borderId="1" applyNumberFormat="0" applyAlignment="0" applyProtection="0"/>
    <xf numFmtId="0" fontId="6" fillId="41" borderId="2" applyNumberFormat="0" applyAlignment="0" applyProtection="0"/>
    <xf numFmtId="0" fontId="7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6" fillId="42" borderId="2" applyNumberFormat="0" applyAlignment="0" applyProtection="0"/>
    <xf numFmtId="0" fontId="1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10" fillId="0" borderId="8" applyNumberFormat="0" applyFill="0" applyAlignment="0" applyProtection="0"/>
    <xf numFmtId="0" fontId="1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4" fillId="15" borderId="1" applyNumberFormat="0" applyAlignment="0" applyProtection="0"/>
    <xf numFmtId="0" fontId="0" fillId="43" borderId="10" applyNumberFormat="0" applyFont="0" applyAlignment="0" applyProtection="0"/>
    <xf numFmtId="0" fontId="2" fillId="44" borderId="0" applyNumberFormat="0" applyBorder="0" applyAlignment="0" applyProtection="0"/>
    <xf numFmtId="0" fontId="2" fillId="45" borderId="0" applyNumberFormat="0" applyBorder="0" applyAlignment="0" applyProtection="0"/>
    <xf numFmtId="0" fontId="2" fillId="46" borderId="0" applyNumberFormat="0" applyBorder="0" applyAlignment="0" applyProtection="0"/>
    <xf numFmtId="0" fontId="2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47" borderId="0" applyNumberFormat="0" applyBorder="0" applyAlignment="0" applyProtection="0"/>
    <xf numFmtId="0" fontId="13" fillId="6" borderId="0" applyNumberFormat="0" applyBorder="0" applyAlignment="0" applyProtection="0"/>
    <xf numFmtId="0" fontId="16" fillId="48" borderId="11" applyNumberFormat="0" applyAlignment="0" applyProtection="0"/>
    <xf numFmtId="0" fontId="17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18" fillId="4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0" borderId="0">
      <alignment/>
      <protection/>
    </xf>
    <xf numFmtId="0" fontId="0" fillId="50" borderId="10" applyNumberFormat="0" applyAlignment="0" applyProtection="0"/>
    <xf numFmtId="0" fontId="16" fillId="40" borderId="11" applyNumberFormat="0" applyAlignment="0" applyProtection="0"/>
    <xf numFmtId="0" fontId="19" fillId="0" borderId="12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5" borderId="0" applyNumberFormat="0" applyBorder="0" applyAlignment="0" applyProtection="0"/>
    <xf numFmtId="0" fontId="18" fillId="51" borderId="0" applyNumberFormat="0" applyBorder="0" applyAlignment="0" applyProtection="0"/>
    <xf numFmtId="0" fontId="5" fillId="48" borderId="1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12" fillId="0" borderId="0" applyNumberFormat="0" applyFill="0" applyBorder="0" applyAlignment="0" applyProtection="0"/>
  </cellStyleXfs>
  <cellXfs count="130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101">
      <alignment/>
      <protection/>
    </xf>
    <xf numFmtId="3" fontId="23" fillId="0" borderId="0" xfId="101" applyNumberFormat="1">
      <alignment/>
      <protection/>
    </xf>
    <xf numFmtId="0" fontId="25" fillId="0" borderId="13" xfId="101" applyFont="1" applyBorder="1" applyAlignment="1">
      <alignment wrapText="1"/>
      <protection/>
    </xf>
    <xf numFmtId="0" fontId="23" fillId="0" borderId="0" xfId="101" applyFont="1">
      <alignment/>
      <protection/>
    </xf>
    <xf numFmtId="0" fontId="25" fillId="0" borderId="0" xfId="101" applyFont="1">
      <alignment/>
      <protection/>
    </xf>
    <xf numFmtId="3" fontId="25" fillId="0" borderId="0" xfId="101" applyNumberFormat="1" applyFont="1">
      <alignment/>
      <protection/>
    </xf>
    <xf numFmtId="0" fontId="25" fillId="0" borderId="0" xfId="101" applyFont="1" applyBorder="1">
      <alignment/>
      <protection/>
    </xf>
    <xf numFmtId="0" fontId="30" fillId="0" borderId="0" xfId="101" applyFont="1">
      <alignment/>
      <protection/>
    </xf>
    <xf numFmtId="0" fontId="27" fillId="0" borderId="13" xfId="101" applyFont="1" applyBorder="1" applyAlignment="1">
      <alignment wrapText="1"/>
      <protection/>
    </xf>
    <xf numFmtId="3" fontId="30" fillId="0" borderId="0" xfId="101" applyNumberFormat="1" applyFont="1">
      <alignment/>
      <protection/>
    </xf>
    <xf numFmtId="0" fontId="23" fillId="0" borderId="0" xfId="101" applyAlignment="1">
      <alignment wrapText="1"/>
      <protection/>
    </xf>
    <xf numFmtId="0" fontId="27" fillId="0" borderId="14" xfId="101" applyFont="1" applyBorder="1" applyAlignment="1">
      <alignment wrapText="1"/>
      <protection/>
    </xf>
    <xf numFmtId="0" fontId="26" fillId="0" borderId="15" xfId="101" applyFont="1" applyBorder="1" applyAlignment="1">
      <alignment wrapText="1"/>
      <protection/>
    </xf>
    <xf numFmtId="0" fontId="25" fillId="0" borderId="0" xfId="101" applyFont="1" applyAlignment="1">
      <alignment wrapText="1"/>
      <protection/>
    </xf>
    <xf numFmtId="0" fontId="27" fillId="0" borderId="0" xfId="101" applyFont="1" applyBorder="1" applyAlignment="1">
      <alignment wrapText="1"/>
      <protection/>
    </xf>
    <xf numFmtId="0" fontId="32" fillId="0" borderId="13" xfId="101" applyFont="1" applyBorder="1" applyAlignment="1">
      <alignment wrapText="1"/>
      <protection/>
    </xf>
    <xf numFmtId="3" fontId="31" fillId="0" borderId="0" xfId="101" applyNumberFormat="1" applyFont="1">
      <alignment/>
      <protection/>
    </xf>
    <xf numFmtId="0" fontId="31" fillId="0" borderId="0" xfId="101" applyFont="1">
      <alignment/>
      <protection/>
    </xf>
    <xf numFmtId="0" fontId="26" fillId="0" borderId="13" xfId="101" applyFont="1" applyBorder="1" applyAlignment="1">
      <alignment wrapText="1"/>
      <protection/>
    </xf>
    <xf numFmtId="3" fontId="24" fillId="0" borderId="0" xfId="101" applyNumberFormat="1" applyFont="1">
      <alignment/>
      <protection/>
    </xf>
    <xf numFmtId="0" fontId="24" fillId="0" borderId="0" xfId="101" applyFont="1">
      <alignment/>
      <protection/>
    </xf>
    <xf numFmtId="3" fontId="23" fillId="0" borderId="0" xfId="101" applyNumberFormat="1" applyFont="1">
      <alignment/>
      <protection/>
    </xf>
    <xf numFmtId="0" fontId="27" fillId="0" borderId="0" xfId="100" applyFont="1" applyAlignment="1">
      <alignment horizontal="center"/>
      <protection/>
    </xf>
    <xf numFmtId="0" fontId="29" fillId="0" borderId="0" xfId="100" applyFont="1" applyAlignment="1">
      <alignment horizontal="center"/>
      <protection/>
    </xf>
    <xf numFmtId="0" fontId="25" fillId="0" borderId="0" xfId="100" applyFont="1" applyAlignment="1">
      <alignment/>
      <protection/>
    </xf>
    <xf numFmtId="3" fontId="25" fillId="0" borderId="16" xfId="100" applyNumberFormat="1" applyFont="1" applyBorder="1" applyAlignment="1">
      <alignment horizontal="right"/>
      <protection/>
    </xf>
    <xf numFmtId="0" fontId="25" fillId="0" borderId="17" xfId="100" applyFont="1" applyBorder="1">
      <alignment/>
      <protection/>
    </xf>
    <xf numFmtId="0" fontId="25" fillId="0" borderId="18" xfId="100" applyFont="1" applyBorder="1">
      <alignment/>
      <protection/>
    </xf>
    <xf numFmtId="3" fontId="25" fillId="0" borderId="18" xfId="100" applyNumberFormat="1" applyFont="1" applyBorder="1" applyAlignment="1">
      <alignment horizontal="right"/>
      <protection/>
    </xf>
    <xf numFmtId="0" fontId="25" fillId="0" borderId="19" xfId="100" applyFont="1" applyBorder="1">
      <alignment/>
      <protection/>
    </xf>
    <xf numFmtId="0" fontId="25" fillId="0" borderId="20" xfId="100" applyFont="1" applyBorder="1">
      <alignment/>
      <protection/>
    </xf>
    <xf numFmtId="3" fontId="25" fillId="0" borderId="20" xfId="100" applyNumberFormat="1" applyFont="1" applyBorder="1" applyAlignment="1">
      <alignment horizontal="right"/>
      <protection/>
    </xf>
    <xf numFmtId="3" fontId="25" fillId="0" borderId="21" xfId="100" applyNumberFormat="1" applyFont="1" applyBorder="1" applyAlignment="1">
      <alignment horizontal="right"/>
      <protection/>
    </xf>
    <xf numFmtId="0" fontId="25" fillId="0" borderId="19" xfId="100" applyFont="1" applyBorder="1" applyAlignment="1">
      <alignment horizontal="left"/>
      <protection/>
    </xf>
    <xf numFmtId="0" fontId="25" fillId="0" borderId="17" xfId="100" applyFont="1" applyBorder="1" applyAlignment="1">
      <alignment horizontal="left"/>
      <protection/>
    </xf>
    <xf numFmtId="0" fontId="25" fillId="0" borderId="0" xfId="100" applyFont="1">
      <alignment/>
      <protection/>
    </xf>
    <xf numFmtId="0" fontId="27" fillId="0" borderId="0" xfId="100" applyFont="1" applyBorder="1">
      <alignment/>
      <protection/>
    </xf>
    <xf numFmtId="3" fontId="22" fillId="0" borderId="0" xfId="0" applyNumberFormat="1" applyFont="1" applyAlignment="1">
      <alignment/>
    </xf>
    <xf numFmtId="0" fontId="25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25" fillId="0" borderId="22" xfId="0" applyFont="1" applyBorder="1" applyAlignment="1">
      <alignment horizontal="justify" vertical="top" wrapText="1"/>
    </xf>
    <xf numFmtId="0" fontId="25" fillId="0" borderId="13" xfId="0" applyFont="1" applyBorder="1" applyAlignment="1">
      <alignment horizontal="justify" vertical="top" wrapText="1"/>
    </xf>
    <xf numFmtId="0" fontId="32" fillId="0" borderId="22" xfId="0" applyFont="1" applyBorder="1" applyAlignment="1">
      <alignment horizontal="justify" vertical="top" wrapText="1"/>
    </xf>
    <xf numFmtId="0" fontId="27" fillId="0" borderId="22" xfId="0" applyFont="1" applyBorder="1" applyAlignment="1">
      <alignment horizontal="justify" vertical="top" wrapText="1"/>
    </xf>
    <xf numFmtId="0" fontId="25" fillId="0" borderId="22" xfId="0" applyFont="1" applyBorder="1" applyAlignment="1" quotePrefix="1">
      <alignment horizontal="justify" vertical="top" wrapText="1"/>
    </xf>
    <xf numFmtId="0" fontId="25" fillId="0" borderId="23" xfId="0" applyFont="1" applyBorder="1" applyAlignment="1">
      <alignment horizontal="justify" vertical="top" wrapText="1"/>
    </xf>
    <xf numFmtId="0" fontId="27" fillId="0" borderId="24" xfId="0" applyFont="1" applyBorder="1" applyAlignment="1">
      <alignment horizontal="justify" vertical="top" wrapText="1"/>
    </xf>
    <xf numFmtId="0" fontId="44" fillId="0" borderId="0" xfId="0" applyFont="1" applyAlignment="1">
      <alignment horizontal="justify"/>
    </xf>
    <xf numFmtId="165" fontId="25" fillId="0" borderId="0" xfId="0" applyNumberFormat="1" applyFont="1" applyAlignment="1">
      <alignment/>
    </xf>
    <xf numFmtId="0" fontId="28" fillId="0" borderId="0" xfId="0" applyFont="1" applyAlignment="1">
      <alignment horizontal="justify"/>
    </xf>
    <xf numFmtId="0" fontId="25" fillId="0" borderId="22" xfId="0" applyFont="1" applyBorder="1" applyAlignment="1">
      <alignment/>
    </xf>
    <xf numFmtId="0" fontId="25" fillId="0" borderId="15" xfId="0" applyFont="1" applyBorder="1" applyAlignment="1">
      <alignment/>
    </xf>
    <xf numFmtId="0" fontId="27" fillId="0" borderId="25" xfId="0" applyFont="1" applyBorder="1" applyAlignment="1">
      <alignment/>
    </xf>
    <xf numFmtId="0" fontId="27" fillId="0" borderId="0" xfId="0" applyFont="1" applyAlignment="1">
      <alignment/>
    </xf>
    <xf numFmtId="3" fontId="24" fillId="0" borderId="0" xfId="101" applyNumberFormat="1" applyFont="1" applyBorder="1">
      <alignment/>
      <protection/>
    </xf>
    <xf numFmtId="0" fontId="24" fillId="0" borderId="0" xfId="101" applyFont="1" applyBorder="1">
      <alignment/>
      <protection/>
    </xf>
    <xf numFmtId="0" fontId="27" fillId="0" borderId="15" xfId="101" applyFont="1" applyBorder="1" applyAlignment="1">
      <alignment wrapText="1"/>
      <protection/>
    </xf>
    <xf numFmtId="0" fontId="40" fillId="0" borderId="22" xfId="0" applyFont="1" applyBorder="1" applyAlignment="1">
      <alignment horizontal="justify" vertical="top" wrapText="1"/>
    </xf>
    <xf numFmtId="0" fontId="40" fillId="0" borderId="22" xfId="0" applyFont="1" applyBorder="1" applyAlignment="1">
      <alignment horizontal="left" vertical="center" wrapText="1"/>
    </xf>
    <xf numFmtId="0" fontId="25" fillId="0" borderId="0" xfId="99" applyFont="1" applyFill="1">
      <alignment/>
      <protection/>
    </xf>
    <xf numFmtId="0" fontId="45" fillId="0" borderId="0" xfId="99" applyFont="1" applyFill="1" applyAlignment="1">
      <alignment horizontal="center"/>
      <protection/>
    </xf>
    <xf numFmtId="0" fontId="25" fillId="0" borderId="0" xfId="99" applyFont="1" applyFill="1" applyAlignment="1">
      <alignment horizontal="center"/>
      <protection/>
    </xf>
    <xf numFmtId="3" fontId="25" fillId="0" borderId="0" xfId="99" applyNumberFormat="1" applyFont="1" applyFill="1">
      <alignment/>
      <protection/>
    </xf>
    <xf numFmtId="0" fontId="25" fillId="0" borderId="0" xfId="99" applyFont="1" applyFill="1" applyAlignment="1">
      <alignment horizontal="right"/>
      <protection/>
    </xf>
    <xf numFmtId="0" fontId="46" fillId="0" borderId="0" xfId="99" applyFont="1" applyFill="1" applyBorder="1" applyAlignment="1">
      <alignment horizontal="center"/>
      <protection/>
    </xf>
    <xf numFmtId="3" fontId="27" fillId="0" borderId="0" xfId="99" applyNumberFormat="1" applyFont="1" applyFill="1" applyAlignment="1">
      <alignment horizontal="right"/>
      <protection/>
    </xf>
    <xf numFmtId="3" fontId="25" fillId="0" borderId="18" xfId="99" applyNumberFormat="1" applyFont="1" applyFill="1" applyBorder="1">
      <alignment/>
      <protection/>
    </xf>
    <xf numFmtId="3" fontId="25" fillId="0" borderId="18" xfId="99" applyNumberFormat="1" applyFont="1" applyFill="1" applyBorder="1" applyAlignment="1">
      <alignment horizontal="right"/>
      <protection/>
    </xf>
    <xf numFmtId="0" fontId="25" fillId="0" borderId="0" xfId="99" applyFont="1" applyFill="1" applyBorder="1">
      <alignment/>
      <protection/>
    </xf>
    <xf numFmtId="3" fontId="27" fillId="0" borderId="18" xfId="99" applyNumberFormat="1" applyFont="1" applyFill="1" applyBorder="1">
      <alignment/>
      <protection/>
    </xf>
    <xf numFmtId="0" fontId="25" fillId="0" borderId="18" xfId="99" applyFont="1" applyFill="1" applyBorder="1" applyAlignment="1">
      <alignment horizontal="right"/>
      <protection/>
    </xf>
    <xf numFmtId="3" fontId="25" fillId="0" borderId="18" xfId="99" applyNumberFormat="1" applyFont="1" applyFill="1" applyBorder="1">
      <alignment/>
      <protection/>
    </xf>
    <xf numFmtId="3" fontId="27" fillId="0" borderId="18" xfId="99" applyNumberFormat="1" applyFont="1" applyFill="1" applyBorder="1" applyAlignment="1" quotePrefix="1">
      <alignment/>
      <protection/>
    </xf>
    <xf numFmtId="3" fontId="27" fillId="0" borderId="18" xfId="99" applyNumberFormat="1" applyFont="1" applyFill="1" applyBorder="1" applyAlignment="1">
      <alignment/>
      <protection/>
    </xf>
    <xf numFmtId="3" fontId="25" fillId="0" borderId="0" xfId="99" applyNumberFormat="1" applyFont="1" applyFill="1" applyAlignment="1">
      <alignment horizontal="right"/>
      <protection/>
    </xf>
    <xf numFmtId="0" fontId="25" fillId="0" borderId="24" xfId="0" applyFont="1" applyBorder="1" applyAlignment="1">
      <alignment/>
    </xf>
    <xf numFmtId="0" fontId="47" fillId="0" borderId="0" xfId="104" applyFont="1" applyFill="1" applyBorder="1" applyAlignment="1">
      <alignment horizontal="center" vertical="center"/>
      <protection/>
    </xf>
    <xf numFmtId="0" fontId="25" fillId="0" borderId="0" xfId="104" applyFont="1" applyFill="1">
      <alignment/>
      <protection/>
    </xf>
    <xf numFmtId="0" fontId="25" fillId="0" borderId="18" xfId="104" applyFont="1" applyFill="1" applyBorder="1" applyAlignment="1">
      <alignment vertical="center" wrapText="1"/>
      <protection/>
    </xf>
    <xf numFmtId="3" fontId="25" fillId="0" borderId="18" xfId="104" applyNumberFormat="1" applyFont="1" applyFill="1" applyBorder="1" applyAlignment="1">
      <alignment vertical="center"/>
      <protection/>
    </xf>
    <xf numFmtId="0" fontId="27" fillId="0" borderId="18" xfId="104" applyFont="1" applyFill="1" applyBorder="1" applyAlignment="1">
      <alignment vertical="center" wrapText="1"/>
      <protection/>
    </xf>
    <xf numFmtId="3" fontId="27" fillId="0" borderId="18" xfId="104" applyNumberFormat="1" applyFont="1" applyFill="1" applyBorder="1" applyAlignment="1">
      <alignment vertical="center"/>
      <protection/>
    </xf>
    <xf numFmtId="3" fontId="27" fillId="0" borderId="20" xfId="104" applyNumberFormat="1" applyFont="1" applyFill="1" applyBorder="1" applyAlignment="1">
      <alignment vertical="center"/>
      <protection/>
    </xf>
    <xf numFmtId="0" fontId="25" fillId="0" borderId="0" xfId="104" applyFont="1" applyFill="1" applyBorder="1">
      <alignment/>
      <protection/>
    </xf>
    <xf numFmtId="0" fontId="48" fillId="0" borderId="0" xfId="107" applyFont="1" applyFill="1" applyBorder="1" applyAlignment="1">
      <alignment horizontal="center" vertical="center"/>
      <protection/>
    </xf>
    <xf numFmtId="3" fontId="25" fillId="0" borderId="0" xfId="104" applyNumberFormat="1" applyFont="1" applyFill="1">
      <alignment/>
      <protection/>
    </xf>
    <xf numFmtId="0" fontId="49" fillId="0" borderId="18" xfId="104" applyFont="1" applyFill="1" applyBorder="1" applyAlignment="1">
      <alignment horizontal="center" vertical="center" wrapText="1"/>
      <protection/>
    </xf>
    <xf numFmtId="0" fontId="49" fillId="0" borderId="21" xfId="104" applyFont="1" applyFill="1" applyBorder="1" applyAlignment="1">
      <alignment horizontal="center" vertical="center"/>
      <protection/>
    </xf>
    <xf numFmtId="0" fontId="20" fillId="0" borderId="0" xfId="0" applyFont="1" applyAlignment="1">
      <alignment/>
    </xf>
    <xf numFmtId="0" fontId="20" fillId="0" borderId="13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0" fillId="0" borderId="26" xfId="0" applyFont="1" applyBorder="1" applyAlignment="1">
      <alignment/>
    </xf>
    <xf numFmtId="0" fontId="22" fillId="0" borderId="13" xfId="0" applyFont="1" applyBorder="1" applyAlignment="1">
      <alignment/>
    </xf>
    <xf numFmtId="0" fontId="22" fillId="0" borderId="26" xfId="0" applyFont="1" applyBorder="1" applyAlignment="1">
      <alignment/>
    </xf>
    <xf numFmtId="0" fontId="22" fillId="0" borderId="13" xfId="0" applyFont="1" applyBorder="1" applyAlignment="1">
      <alignment/>
    </xf>
    <xf numFmtId="0" fontId="20" fillId="0" borderId="26" xfId="0" applyFont="1" applyBorder="1" applyAlignment="1">
      <alignment/>
    </xf>
    <xf numFmtId="3" fontId="22" fillId="0" borderId="26" xfId="0" applyNumberFormat="1" applyFont="1" applyBorder="1" applyAlignment="1">
      <alignment/>
    </xf>
    <xf numFmtId="0" fontId="22" fillId="0" borderId="13" xfId="0" applyFont="1" applyBorder="1" applyAlignment="1">
      <alignment vertical="center"/>
    </xf>
    <xf numFmtId="0" fontId="22" fillId="0" borderId="26" xfId="0" applyFont="1" applyBorder="1" applyAlignment="1">
      <alignment vertical="center"/>
    </xf>
    <xf numFmtId="0" fontId="20" fillId="0" borderId="13" xfId="0" applyFont="1" applyBorder="1" applyAlignment="1">
      <alignment horizontal="left"/>
    </xf>
    <xf numFmtId="0" fontId="20" fillId="0" borderId="26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0" fontId="22" fillId="0" borderId="26" xfId="0" applyFont="1" applyBorder="1" applyAlignment="1">
      <alignment horizontal="left"/>
    </xf>
    <xf numFmtId="0" fontId="22" fillId="0" borderId="26" xfId="0" applyFont="1" applyBorder="1" applyAlignment="1">
      <alignment/>
    </xf>
    <xf numFmtId="49" fontId="22" fillId="0" borderId="26" xfId="0" applyNumberFormat="1" applyFont="1" applyBorder="1" applyAlignment="1">
      <alignment/>
    </xf>
    <xf numFmtId="0" fontId="21" fillId="0" borderId="26" xfId="0" applyFont="1" applyBorder="1" applyAlignment="1">
      <alignment/>
    </xf>
    <xf numFmtId="0" fontId="39" fillId="0" borderId="13" xfId="0" applyFont="1" applyBorder="1" applyAlignment="1">
      <alignment horizontal="left"/>
    </xf>
    <xf numFmtId="0" fontId="50" fillId="0" borderId="26" xfId="0" applyFont="1" applyBorder="1" applyAlignment="1">
      <alignment/>
    </xf>
    <xf numFmtId="49" fontId="22" fillId="0" borderId="13" xfId="0" applyNumberFormat="1" applyFont="1" applyBorder="1" applyAlignment="1">
      <alignment horizontal="left" wrapText="1"/>
    </xf>
    <xf numFmtId="49" fontId="22" fillId="0" borderId="26" xfId="0" applyNumberFormat="1" applyFont="1" applyBorder="1" applyAlignment="1">
      <alignment horizontal="left" wrapText="1"/>
    </xf>
    <xf numFmtId="3" fontId="20" fillId="0" borderId="26" xfId="0" applyNumberFormat="1" applyFont="1" applyBorder="1" applyAlignment="1">
      <alignment/>
    </xf>
    <xf numFmtId="0" fontId="20" fillId="0" borderId="15" xfId="0" applyFont="1" applyBorder="1" applyAlignment="1">
      <alignment/>
    </xf>
    <xf numFmtId="3" fontId="20" fillId="0" borderId="27" xfId="0" applyNumberFormat="1" applyFont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Border="1" applyAlignment="1">
      <alignment/>
    </xf>
    <xf numFmtId="3" fontId="20" fillId="0" borderId="0" xfId="0" applyNumberFormat="1" applyFont="1" applyAlignment="1">
      <alignment/>
    </xf>
    <xf numFmtId="3" fontId="21" fillId="0" borderId="26" xfId="0" applyNumberFormat="1" applyFont="1" applyBorder="1" applyAlignment="1">
      <alignment horizontal="center"/>
    </xf>
    <xf numFmtId="3" fontId="21" fillId="0" borderId="26" xfId="0" applyNumberFormat="1" applyFont="1" applyBorder="1" applyAlignment="1">
      <alignment horizontal="right"/>
    </xf>
    <xf numFmtId="172" fontId="21" fillId="0" borderId="26" xfId="0" applyNumberFormat="1" applyFont="1" applyBorder="1" applyAlignment="1">
      <alignment horizontal="right"/>
    </xf>
    <xf numFmtId="3" fontId="21" fillId="0" borderId="26" xfId="0" applyNumberFormat="1" applyFont="1" applyFill="1" applyBorder="1" applyAlignment="1">
      <alignment/>
    </xf>
    <xf numFmtId="0" fontId="53" fillId="0" borderId="0" xfId="0" applyFont="1" applyFill="1" applyAlignment="1">
      <alignment/>
    </xf>
    <xf numFmtId="0" fontId="43" fillId="0" borderId="0" xfId="110" applyFont="1">
      <alignment/>
      <protection/>
    </xf>
    <xf numFmtId="0" fontId="42" fillId="0" borderId="14" xfId="110" applyFont="1" applyBorder="1" applyAlignment="1">
      <alignment horizontal="center" wrapText="1"/>
      <protection/>
    </xf>
    <xf numFmtId="0" fontId="54" fillId="0" borderId="13" xfId="110" applyFont="1" applyBorder="1" applyAlignment="1">
      <alignment wrapText="1"/>
      <protection/>
    </xf>
    <xf numFmtId="0" fontId="54" fillId="0" borderId="0" xfId="110" applyFont="1">
      <alignment/>
      <protection/>
    </xf>
    <xf numFmtId="0" fontId="42" fillId="0" borderId="13" xfId="110" applyFont="1" applyBorder="1" applyAlignment="1">
      <alignment wrapText="1"/>
      <protection/>
    </xf>
    <xf numFmtId="0" fontId="42" fillId="0" borderId="0" xfId="110" applyFont="1">
      <alignment/>
      <protection/>
    </xf>
    <xf numFmtId="0" fontId="43" fillId="0" borderId="13" xfId="110" applyFont="1" applyBorder="1" applyAlignment="1">
      <alignment wrapText="1"/>
      <protection/>
    </xf>
    <xf numFmtId="0" fontId="42" fillId="0" borderId="15" xfId="110" applyFont="1" applyBorder="1" applyAlignment="1">
      <alignment wrapText="1"/>
      <protection/>
    </xf>
    <xf numFmtId="0" fontId="43" fillId="0" borderId="0" xfId="110" applyFont="1" applyAlignment="1">
      <alignment wrapText="1"/>
      <protection/>
    </xf>
    <xf numFmtId="3" fontId="43" fillId="0" borderId="0" xfId="110" applyNumberFormat="1" applyFont="1">
      <alignment/>
      <protection/>
    </xf>
    <xf numFmtId="49" fontId="25" fillId="0" borderId="22" xfId="0" applyNumberFormat="1" applyFont="1" applyBorder="1" applyAlignment="1">
      <alignment horizontal="justify" vertical="top" wrapText="1"/>
    </xf>
    <xf numFmtId="0" fontId="22" fillId="0" borderId="13" xfId="0" applyFont="1" applyBorder="1" applyAlignment="1">
      <alignment horizontal="left"/>
    </xf>
    <xf numFmtId="0" fontId="22" fillId="0" borderId="13" xfId="0" applyFont="1" applyBorder="1" applyAlignment="1">
      <alignment/>
    </xf>
    <xf numFmtId="0" fontId="23" fillId="0" borderId="0" xfId="105">
      <alignment/>
      <protection/>
    </xf>
    <xf numFmtId="3" fontId="25" fillId="0" borderId="18" xfId="99" applyNumberFormat="1" applyFont="1" applyFill="1" applyBorder="1" applyAlignment="1">
      <alignment vertical="center"/>
      <protection/>
    </xf>
    <xf numFmtId="0" fontId="23" fillId="0" borderId="0" xfId="105" applyAlignment="1">
      <alignment vertical="center"/>
      <protection/>
    </xf>
    <xf numFmtId="3" fontId="27" fillId="0" borderId="18" xfId="99" applyNumberFormat="1" applyFont="1" applyFill="1" applyBorder="1" applyAlignment="1">
      <alignment/>
      <protection/>
    </xf>
    <xf numFmtId="3" fontId="27" fillId="0" borderId="28" xfId="99" applyNumberFormat="1" applyFont="1" applyFill="1" applyBorder="1" applyAlignment="1">
      <alignment/>
      <protection/>
    </xf>
    <xf numFmtId="49" fontId="22" fillId="0" borderId="26" xfId="0" applyNumberFormat="1" applyFont="1" applyBorder="1" applyAlignment="1">
      <alignment/>
    </xf>
    <xf numFmtId="0" fontId="50" fillId="0" borderId="26" xfId="0" applyFont="1" applyBorder="1" applyAlignment="1">
      <alignment/>
    </xf>
    <xf numFmtId="49" fontId="20" fillId="0" borderId="13" xfId="0" applyNumberFormat="1" applyFont="1" applyBorder="1" applyAlignment="1">
      <alignment/>
    </xf>
    <xf numFmtId="0" fontId="20" fillId="0" borderId="14" xfId="0" applyFont="1" applyBorder="1" applyAlignment="1">
      <alignment/>
    </xf>
    <xf numFmtId="0" fontId="20" fillId="0" borderId="29" xfId="0" applyFont="1" applyBorder="1" applyAlignment="1">
      <alignment/>
    </xf>
    <xf numFmtId="49" fontId="22" fillId="0" borderId="26" xfId="0" applyNumberFormat="1" applyFont="1" applyBorder="1" applyAlignment="1">
      <alignment horizontal="left" wrapText="1"/>
    </xf>
    <xf numFmtId="0" fontId="40" fillId="0" borderId="26" xfId="0" applyFont="1" applyBorder="1" applyAlignment="1">
      <alignment horizontal="left" wrapText="1"/>
    </xf>
    <xf numFmtId="0" fontId="22" fillId="0" borderId="13" xfId="0" applyFont="1" applyBorder="1" applyAlignment="1">
      <alignment horizontal="left" wrapText="1"/>
    </xf>
    <xf numFmtId="0" fontId="27" fillId="0" borderId="18" xfId="99" applyFont="1" applyFill="1" applyBorder="1" applyAlignment="1">
      <alignment horizontal="left"/>
      <protection/>
    </xf>
    <xf numFmtId="0" fontId="26" fillId="0" borderId="0" xfId="101" applyFont="1" applyBorder="1" applyAlignment="1">
      <alignment wrapText="1"/>
      <protection/>
    </xf>
    <xf numFmtId="3" fontId="27" fillId="0" borderId="0" xfId="101" applyNumberFormat="1" applyFont="1" applyBorder="1">
      <alignment/>
      <protection/>
    </xf>
    <xf numFmtId="0" fontId="45" fillId="0" borderId="17" xfId="99" applyFont="1" applyFill="1" applyBorder="1">
      <alignment/>
      <protection/>
    </xf>
    <xf numFmtId="49" fontId="25" fillId="0" borderId="18" xfId="99" applyNumberFormat="1" applyFont="1" applyFill="1" applyBorder="1" applyAlignment="1">
      <alignment horizontal="center"/>
      <protection/>
    </xf>
    <xf numFmtId="0" fontId="25" fillId="0" borderId="18" xfId="99" applyFont="1" applyFill="1" applyBorder="1" applyAlignment="1">
      <alignment/>
      <protection/>
    </xf>
    <xf numFmtId="0" fontId="45" fillId="0" borderId="18" xfId="99" applyFont="1" applyFill="1" applyBorder="1" applyAlignment="1">
      <alignment horizontal="left"/>
      <protection/>
    </xf>
    <xf numFmtId="0" fontId="45" fillId="0" borderId="28" xfId="99" applyFont="1" applyFill="1" applyBorder="1">
      <alignment/>
      <protection/>
    </xf>
    <xf numFmtId="3" fontId="45" fillId="0" borderId="28" xfId="99" applyNumberFormat="1" applyFont="1" applyFill="1" applyBorder="1">
      <alignment/>
      <protection/>
    </xf>
    <xf numFmtId="0" fontId="25" fillId="0" borderId="17" xfId="99" applyFont="1" applyFill="1" applyBorder="1">
      <alignment/>
      <protection/>
    </xf>
    <xf numFmtId="0" fontId="25" fillId="0" borderId="28" xfId="99" applyFont="1" applyFill="1" applyBorder="1">
      <alignment/>
      <protection/>
    </xf>
    <xf numFmtId="0" fontId="25" fillId="0" borderId="18" xfId="99" applyFont="1" applyFill="1" applyBorder="1" applyAlignment="1">
      <alignment wrapText="1"/>
      <protection/>
    </xf>
    <xf numFmtId="0" fontId="25" fillId="0" borderId="18" xfId="99" applyFont="1" applyFill="1" applyBorder="1" applyAlignment="1">
      <alignment horizontal="left"/>
      <protection/>
    </xf>
    <xf numFmtId="49" fontId="25" fillId="0" borderId="18" xfId="98" applyNumberFormat="1" applyFont="1" applyFill="1" applyBorder="1" applyAlignment="1">
      <alignment horizontal="center" vertical="center"/>
      <protection/>
    </xf>
    <xf numFmtId="0" fontId="25" fillId="0" borderId="18" xfId="98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/>
      <protection/>
    </xf>
    <xf numFmtId="0" fontId="27" fillId="0" borderId="18" xfId="99" applyFont="1" applyFill="1" applyBorder="1" applyAlignment="1">
      <alignment horizontal="left"/>
      <protection/>
    </xf>
    <xf numFmtId="0" fontId="25" fillId="0" borderId="19" xfId="99" applyFont="1" applyFill="1" applyBorder="1">
      <alignment/>
      <protection/>
    </xf>
    <xf numFmtId="0" fontId="45" fillId="0" borderId="17" xfId="99" applyFont="1" applyFill="1" applyBorder="1" applyAlignment="1">
      <alignment vertical="center"/>
      <protection/>
    </xf>
    <xf numFmtId="49" fontId="25" fillId="0" borderId="18" xfId="99" applyNumberFormat="1" applyFont="1" applyFill="1" applyBorder="1" applyAlignment="1">
      <alignment horizontal="center" vertical="center"/>
      <protection/>
    </xf>
    <xf numFmtId="0" fontId="25" fillId="0" borderId="18" xfId="99" applyFont="1" applyFill="1" applyBorder="1" applyAlignment="1">
      <alignment vertical="center" wrapText="1"/>
      <protection/>
    </xf>
    <xf numFmtId="0" fontId="45" fillId="0" borderId="18" xfId="99" applyFont="1" applyFill="1" applyBorder="1" applyAlignment="1">
      <alignment horizontal="left" vertical="center"/>
      <protection/>
    </xf>
    <xf numFmtId="3" fontId="27" fillId="0" borderId="18" xfId="99" applyNumberFormat="1" applyFont="1" applyFill="1" applyBorder="1" applyAlignment="1">
      <alignment vertical="center"/>
      <protection/>
    </xf>
    <xf numFmtId="0" fontId="45" fillId="0" borderId="28" xfId="99" applyFont="1" applyFill="1" applyBorder="1" applyAlignment="1">
      <alignment vertical="center"/>
      <protection/>
    </xf>
    <xf numFmtId="3" fontId="27" fillId="0" borderId="28" xfId="99" applyNumberFormat="1" applyFont="1" applyFill="1" applyBorder="1">
      <alignment/>
      <protection/>
    </xf>
    <xf numFmtId="0" fontId="43" fillId="0" borderId="13" xfId="110" applyFont="1" applyBorder="1" applyAlignment="1">
      <alignment vertical="center" wrapText="1"/>
      <protection/>
    </xf>
    <xf numFmtId="3" fontId="43" fillId="0" borderId="26" xfId="110" applyNumberFormat="1" applyFont="1" applyBorder="1" applyAlignment="1">
      <alignment vertical="center"/>
      <protection/>
    </xf>
    <xf numFmtId="0" fontId="25" fillId="0" borderId="0" xfId="102" applyFont="1">
      <alignment/>
      <protection/>
    </xf>
    <xf numFmtId="0" fontId="26" fillId="0" borderId="0" xfId="102" applyFont="1">
      <alignment/>
      <protection/>
    </xf>
    <xf numFmtId="0" fontId="27" fillId="0" borderId="30" xfId="102" applyFont="1" applyBorder="1" applyAlignment="1">
      <alignment horizontal="center" vertical="center"/>
      <protection/>
    </xf>
    <xf numFmtId="0" fontId="25" fillId="0" borderId="13" xfId="102" applyFont="1" applyBorder="1" applyAlignment="1">
      <alignment horizontal="left" vertical="center" wrapText="1"/>
      <protection/>
    </xf>
    <xf numFmtId="0" fontId="23" fillId="0" borderId="0" xfId="102" applyFont="1">
      <alignment/>
      <protection/>
    </xf>
    <xf numFmtId="0" fontId="27" fillId="0" borderId="24" xfId="102" applyFont="1" applyBorder="1">
      <alignment/>
      <protection/>
    </xf>
    <xf numFmtId="0" fontId="25" fillId="0" borderId="13" xfId="102" applyFont="1" applyBorder="1">
      <alignment/>
      <protection/>
    </xf>
    <xf numFmtId="0" fontId="27" fillId="0" borderId="24" xfId="102" applyFont="1" applyBorder="1" applyAlignment="1">
      <alignment horizontal="left" vertical="center"/>
      <protection/>
    </xf>
    <xf numFmtId="0" fontId="25" fillId="0" borderId="13" xfId="102" applyFont="1" applyBorder="1" applyAlignment="1">
      <alignment wrapText="1"/>
      <protection/>
    </xf>
    <xf numFmtId="0" fontId="43" fillId="0" borderId="0" xfId="110" applyFont="1" applyBorder="1" applyAlignment="1">
      <alignment wrapText="1"/>
      <protection/>
    </xf>
    <xf numFmtId="3" fontId="43" fillId="0" borderId="0" xfId="110" applyNumberFormat="1" applyFont="1" applyBorder="1">
      <alignment/>
      <protection/>
    </xf>
    <xf numFmtId="2" fontId="21" fillId="0" borderId="26" xfId="0" applyNumberFormat="1" applyFont="1" applyFill="1" applyBorder="1" applyAlignment="1">
      <alignment/>
    </xf>
    <xf numFmtId="0" fontId="27" fillId="0" borderId="14" xfId="102" applyFont="1" applyBorder="1" applyAlignment="1">
      <alignment horizontal="left" vertical="center"/>
      <protection/>
    </xf>
    <xf numFmtId="0" fontId="27" fillId="0" borderId="22" xfId="102" applyFont="1" applyBorder="1">
      <alignment/>
      <protection/>
    </xf>
    <xf numFmtId="0" fontId="46" fillId="0" borderId="13" xfId="110" applyFont="1" applyBorder="1" applyAlignment="1">
      <alignment wrapText="1"/>
      <protection/>
    </xf>
    <xf numFmtId="0" fontId="46" fillId="0" borderId="0" xfId="110" applyFont="1">
      <alignment/>
      <protection/>
    </xf>
    <xf numFmtId="0" fontId="46" fillId="0" borderId="13" xfId="110" applyFont="1" applyBorder="1" applyAlignment="1">
      <alignment vertical="center" wrapText="1"/>
      <protection/>
    </xf>
    <xf numFmtId="3" fontId="46" fillId="0" borderId="26" xfId="110" applyNumberFormat="1" applyFont="1" applyBorder="1" applyAlignment="1">
      <alignment vertical="center"/>
      <protection/>
    </xf>
    <xf numFmtId="0" fontId="43" fillId="0" borderId="0" xfId="109" applyFont="1">
      <alignment/>
      <protection/>
    </xf>
    <xf numFmtId="0" fontId="43" fillId="0" borderId="0" xfId="109" applyFont="1" applyAlignment="1">
      <alignment wrapText="1"/>
      <protection/>
    </xf>
    <xf numFmtId="0" fontId="42" fillId="0" borderId="27" xfId="109" applyFont="1" applyBorder="1" applyAlignment="1">
      <alignment horizontal="center" vertical="center" wrapText="1"/>
      <protection/>
    </xf>
    <xf numFmtId="0" fontId="42" fillId="0" borderId="31" xfId="109" applyFont="1" applyBorder="1" applyAlignment="1">
      <alignment horizontal="center" vertical="center" wrapText="1"/>
      <protection/>
    </xf>
    <xf numFmtId="3" fontId="43" fillId="0" borderId="26" xfId="109" applyNumberFormat="1" applyFont="1" applyBorder="1" applyAlignment="1">
      <alignment vertical="center"/>
      <protection/>
    </xf>
    <xf numFmtId="3" fontId="43" fillId="0" borderId="32" xfId="109" applyNumberFormat="1" applyFont="1" applyBorder="1" applyAlignment="1">
      <alignment vertical="center"/>
      <protection/>
    </xf>
    <xf numFmtId="3" fontId="46" fillId="0" borderId="26" xfId="109" applyNumberFormat="1" applyFont="1" applyBorder="1" applyAlignment="1">
      <alignment vertical="center"/>
      <protection/>
    </xf>
    <xf numFmtId="3" fontId="46" fillId="0" borderId="32" xfId="109" applyNumberFormat="1" applyFont="1" applyBorder="1" applyAlignment="1">
      <alignment vertical="center"/>
      <protection/>
    </xf>
    <xf numFmtId="0" fontId="46" fillId="0" borderId="0" xfId="109" applyFont="1">
      <alignment/>
      <protection/>
    </xf>
    <xf numFmtId="0" fontId="42" fillId="0" borderId="15" xfId="109" applyFont="1" applyBorder="1" applyAlignment="1">
      <alignment vertical="center"/>
      <protection/>
    </xf>
    <xf numFmtId="3" fontId="42" fillId="0" borderId="27" xfId="109" applyNumberFormat="1" applyFont="1" applyBorder="1" applyAlignment="1">
      <alignment vertical="center"/>
      <protection/>
    </xf>
    <xf numFmtId="3" fontId="42" fillId="0" borderId="31" xfId="109" applyNumberFormat="1" applyFont="1" applyBorder="1" applyAlignment="1">
      <alignment vertical="center"/>
      <protection/>
    </xf>
    <xf numFmtId="3" fontId="43" fillId="0" borderId="0" xfId="109" applyNumberFormat="1" applyFont="1">
      <alignment/>
      <protection/>
    </xf>
    <xf numFmtId="0" fontId="46" fillId="0" borderId="22" xfId="109" applyFont="1" applyBorder="1" applyAlignment="1">
      <alignment horizontal="left" vertical="center" wrapText="1"/>
      <protection/>
    </xf>
    <xf numFmtId="3" fontId="46" fillId="0" borderId="33" xfId="109" applyNumberFormat="1" applyFont="1" applyBorder="1" applyAlignment="1">
      <alignment horizontal="right" vertical="center" wrapText="1"/>
      <protection/>
    </xf>
    <xf numFmtId="3" fontId="46" fillId="0" borderId="34" xfId="109" applyNumberFormat="1" applyFont="1" applyBorder="1" applyAlignment="1">
      <alignment horizontal="right" vertical="center" wrapText="1"/>
      <protection/>
    </xf>
    <xf numFmtId="0" fontId="38" fillId="0" borderId="0" xfId="109" applyFont="1" applyAlignment="1">
      <alignment wrapText="1"/>
      <protection/>
    </xf>
    <xf numFmtId="0" fontId="33" fillId="0" borderId="0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49" fontId="33" fillId="0" borderId="0" xfId="0" applyNumberFormat="1" applyFont="1" applyFill="1" applyBorder="1" applyAlignment="1">
      <alignment horizontal="center"/>
    </xf>
    <xf numFmtId="0" fontId="36" fillId="0" borderId="0" xfId="0" applyFont="1" applyFill="1" applyBorder="1" applyAlignment="1">
      <alignment horizontal="center"/>
    </xf>
    <xf numFmtId="3" fontId="36" fillId="0" borderId="0" xfId="0" applyNumberFormat="1" applyFont="1" applyFill="1" applyBorder="1" applyAlignment="1">
      <alignment horizontal="center"/>
    </xf>
    <xf numFmtId="3" fontId="33" fillId="0" borderId="0" xfId="0" applyNumberFormat="1" applyFont="1" applyFill="1" applyAlignment="1">
      <alignment horizontal="center"/>
    </xf>
    <xf numFmtId="3" fontId="21" fillId="0" borderId="0" xfId="0" applyNumberFormat="1" applyFont="1" applyFill="1" applyAlignment="1">
      <alignment/>
    </xf>
    <xf numFmtId="3" fontId="21" fillId="0" borderId="0" xfId="0" applyNumberFormat="1" applyFont="1" applyFill="1" applyAlignment="1">
      <alignment/>
    </xf>
    <xf numFmtId="3" fontId="53" fillId="0" borderId="0" xfId="0" applyNumberFormat="1" applyFont="1" applyFill="1" applyAlignment="1">
      <alignment/>
    </xf>
    <xf numFmtId="49" fontId="21" fillId="0" borderId="0" xfId="0" applyNumberFormat="1" applyFont="1" applyFill="1" applyAlignment="1">
      <alignment/>
    </xf>
    <xf numFmtId="49" fontId="33" fillId="0" borderId="0" xfId="0" applyNumberFormat="1" applyFont="1" applyFill="1" applyAlignment="1">
      <alignment/>
    </xf>
    <xf numFmtId="3" fontId="33" fillId="0" borderId="0" xfId="0" applyNumberFormat="1" applyFont="1" applyFill="1" applyAlignment="1">
      <alignment/>
    </xf>
    <xf numFmtId="0" fontId="33" fillId="0" borderId="0" xfId="0" applyFont="1" applyFill="1" applyAlignment="1">
      <alignment/>
    </xf>
    <xf numFmtId="49" fontId="33" fillId="0" borderId="0" xfId="0" applyNumberFormat="1" applyFont="1" applyFill="1" applyAlignment="1">
      <alignment/>
    </xf>
    <xf numFmtId="3" fontId="20" fillId="0" borderId="27" xfId="0" applyNumberFormat="1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35" xfId="0" applyFont="1" applyBorder="1" applyAlignment="1">
      <alignment horizontal="center" vertical="center" wrapText="1"/>
    </xf>
    <xf numFmtId="0" fontId="29" fillId="0" borderId="32" xfId="0" applyFont="1" applyBorder="1" applyAlignment="1">
      <alignment horizontal="center" vertical="center"/>
    </xf>
    <xf numFmtId="0" fontId="25" fillId="0" borderId="20" xfId="99" applyFont="1" applyFill="1" applyBorder="1" applyAlignment="1">
      <alignment horizontal="right"/>
      <protection/>
    </xf>
    <xf numFmtId="0" fontId="25" fillId="0" borderId="20" xfId="99" applyFont="1" applyFill="1" applyBorder="1">
      <alignment/>
      <protection/>
    </xf>
    <xf numFmtId="0" fontId="47" fillId="0" borderId="19" xfId="104" applyFont="1" applyFill="1" applyBorder="1" applyAlignment="1">
      <alignment horizontal="center" vertical="center"/>
      <protection/>
    </xf>
    <xf numFmtId="0" fontId="25" fillId="0" borderId="19" xfId="104" applyFont="1" applyFill="1" applyBorder="1">
      <alignment/>
      <protection/>
    </xf>
    <xf numFmtId="0" fontId="27" fillId="0" borderId="0" xfId="101" applyFont="1">
      <alignment/>
      <protection/>
    </xf>
    <xf numFmtId="0" fontId="26" fillId="0" borderId="0" xfId="101" applyFont="1">
      <alignment/>
      <protection/>
    </xf>
    <xf numFmtId="3" fontId="27" fillId="0" borderId="36" xfId="101" applyNumberFormat="1" applyFont="1" applyBorder="1" applyAlignment="1">
      <alignment horizontal="center"/>
      <protection/>
    </xf>
    <xf numFmtId="3" fontId="25" fillId="0" borderId="35" xfId="101" applyNumberFormat="1" applyFont="1" applyBorder="1">
      <alignment/>
      <protection/>
    </xf>
    <xf numFmtId="3" fontId="27" fillId="0" borderId="35" xfId="101" applyNumberFormat="1" applyFont="1" applyBorder="1">
      <alignment/>
      <protection/>
    </xf>
    <xf numFmtId="0" fontId="25" fillId="0" borderId="0" xfId="0" applyFont="1" applyAlignment="1">
      <alignment/>
    </xf>
    <xf numFmtId="0" fontId="28" fillId="0" borderId="0" xfId="0" applyFont="1" applyAlignment="1">
      <alignment/>
    </xf>
    <xf numFmtId="0" fontId="27" fillId="0" borderId="14" xfId="0" applyFont="1" applyBorder="1" applyAlignment="1">
      <alignment horizontal="center" vertical="center" wrapText="1"/>
    </xf>
    <xf numFmtId="0" fontId="27" fillId="0" borderId="29" xfId="0" applyFont="1" applyBorder="1" applyAlignment="1">
      <alignment horizontal="center" vertical="center"/>
    </xf>
    <xf numFmtId="3" fontId="27" fillId="0" borderId="37" xfId="0" applyNumberFormat="1" applyFont="1" applyBorder="1" applyAlignment="1">
      <alignment horizontal="center" vertical="center" wrapText="1"/>
    </xf>
    <xf numFmtId="0" fontId="25" fillId="0" borderId="13" xfId="0" applyFont="1" applyBorder="1" applyAlignment="1">
      <alignment vertical="top" wrapText="1"/>
    </xf>
    <xf numFmtId="3" fontId="25" fillId="0" borderId="26" xfId="0" applyNumberFormat="1" applyFont="1" applyBorder="1" applyAlignment="1">
      <alignment horizontal="right"/>
    </xf>
    <xf numFmtId="0" fontId="25" fillId="0" borderId="13" xfId="0" applyFont="1" applyBorder="1" applyAlignment="1">
      <alignment horizontal="left" vertical="center" wrapText="1"/>
    </xf>
    <xf numFmtId="0" fontId="27" fillId="0" borderId="13" xfId="0" applyFont="1" applyBorder="1" applyAlignment="1">
      <alignment vertical="top" wrapText="1"/>
    </xf>
    <xf numFmtId="3" fontId="27" fillId="0" borderId="26" xfId="0" applyNumberFormat="1" applyFont="1" applyBorder="1" applyAlignment="1">
      <alignment horizontal="right"/>
    </xf>
    <xf numFmtId="3" fontId="27" fillId="0" borderId="32" xfId="0" applyNumberFormat="1" applyFont="1" applyBorder="1" applyAlignment="1">
      <alignment horizontal="right"/>
    </xf>
    <xf numFmtId="0" fontId="32" fillId="0" borderId="13" xfId="0" applyFont="1" applyBorder="1" applyAlignment="1">
      <alignment vertical="top" wrapText="1"/>
    </xf>
    <xf numFmtId="3" fontId="32" fillId="0" borderId="26" xfId="0" applyNumberFormat="1" applyFont="1" applyBorder="1" applyAlignment="1">
      <alignment horizontal="right"/>
    </xf>
    <xf numFmtId="0" fontId="27" fillId="0" borderId="15" xfId="0" applyFont="1" applyBorder="1" applyAlignment="1">
      <alignment vertical="top" wrapText="1"/>
    </xf>
    <xf numFmtId="3" fontId="27" fillId="0" borderId="27" xfId="0" applyNumberFormat="1" applyFont="1" applyBorder="1" applyAlignment="1">
      <alignment horizontal="right"/>
    </xf>
    <xf numFmtId="3" fontId="27" fillId="0" borderId="31" xfId="0" applyNumberFormat="1" applyFont="1" applyBorder="1" applyAlignment="1">
      <alignment horizontal="right"/>
    </xf>
    <xf numFmtId="0" fontId="27" fillId="0" borderId="13" xfId="0" applyFont="1" applyBorder="1" applyAlignment="1">
      <alignment horizontal="left" vertical="center" wrapText="1"/>
    </xf>
    <xf numFmtId="0" fontId="27" fillId="0" borderId="26" xfId="0" applyFont="1" applyBorder="1" applyAlignment="1">
      <alignment horizontal="center" vertical="center"/>
    </xf>
    <xf numFmtId="3" fontId="25" fillId="0" borderId="26" xfId="0" applyNumberFormat="1" applyFont="1" applyBorder="1" applyAlignment="1">
      <alignment horizontal="right" vertical="center"/>
    </xf>
    <xf numFmtId="0" fontId="25" fillId="0" borderId="26" xfId="0" applyFont="1" applyBorder="1" applyAlignment="1">
      <alignment/>
    </xf>
    <xf numFmtId="0" fontId="25" fillId="0" borderId="32" xfId="0" applyFont="1" applyBorder="1" applyAlignment="1">
      <alignment/>
    </xf>
    <xf numFmtId="0" fontId="27" fillId="0" borderId="26" xfId="0" applyFont="1" applyBorder="1" applyAlignment="1">
      <alignment/>
    </xf>
    <xf numFmtId="0" fontId="27" fillId="0" borderId="32" xfId="0" applyFont="1" applyBorder="1" applyAlignment="1">
      <alignment/>
    </xf>
    <xf numFmtId="3" fontId="25" fillId="0" borderId="0" xfId="101" applyNumberFormat="1" applyFont="1" applyBorder="1">
      <alignment/>
      <protection/>
    </xf>
    <xf numFmtId="0" fontId="27" fillId="0" borderId="38" xfId="0" applyFont="1" applyBorder="1" applyAlignment="1">
      <alignment horizontal="center" vertical="center" wrapText="1"/>
    </xf>
    <xf numFmtId="0" fontId="27" fillId="0" borderId="39" xfId="0" applyFont="1" applyBorder="1" applyAlignment="1">
      <alignment horizontal="center" vertical="center" wrapText="1"/>
    </xf>
    <xf numFmtId="2" fontId="25" fillId="0" borderId="40" xfId="0" applyNumberFormat="1" applyFont="1" applyBorder="1" applyAlignment="1">
      <alignment horizontal="center" vertical="top" wrapText="1"/>
    </xf>
    <xf numFmtId="2" fontId="25" fillId="0" borderId="35" xfId="0" applyNumberFormat="1" applyFont="1" applyBorder="1" applyAlignment="1">
      <alignment horizontal="center" vertical="top" wrapText="1"/>
    </xf>
    <xf numFmtId="2" fontId="25" fillId="0" borderId="41" xfId="0" applyNumberFormat="1" applyFont="1" applyBorder="1" applyAlignment="1">
      <alignment horizontal="center"/>
    </xf>
    <xf numFmtId="2" fontId="27" fillId="0" borderId="42" xfId="0" applyNumberFormat="1" applyFont="1" applyBorder="1" applyAlignment="1">
      <alignment horizontal="center" vertical="top" wrapText="1"/>
    </xf>
    <xf numFmtId="2" fontId="25" fillId="0" borderId="42" xfId="0" applyNumberFormat="1" applyFont="1" applyBorder="1" applyAlignment="1">
      <alignment horizontal="center" vertical="top" wrapText="1"/>
    </xf>
    <xf numFmtId="2" fontId="27" fillId="0" borderId="35" xfId="0" applyNumberFormat="1" applyFont="1" applyBorder="1" applyAlignment="1">
      <alignment horizontal="center" vertical="top" wrapText="1"/>
    </xf>
    <xf numFmtId="2" fontId="27" fillId="0" borderId="43" xfId="0" applyNumberFormat="1" applyFont="1" applyBorder="1" applyAlignment="1">
      <alignment horizontal="center" vertical="top" wrapText="1"/>
    </xf>
    <xf numFmtId="0" fontId="27" fillId="0" borderId="44" xfId="0" applyFont="1" applyBorder="1" applyAlignment="1">
      <alignment horizontal="center" vertical="center" wrapText="1"/>
    </xf>
    <xf numFmtId="0" fontId="27" fillId="0" borderId="45" xfId="0" applyFont="1" applyBorder="1" applyAlignment="1">
      <alignment horizontal="center"/>
    </xf>
    <xf numFmtId="0" fontId="27" fillId="0" borderId="46" xfId="0" applyFont="1" applyBorder="1" applyAlignment="1">
      <alignment horizontal="center" vertical="center" wrapText="1"/>
    </xf>
    <xf numFmtId="0" fontId="27" fillId="0" borderId="27" xfId="0" applyFont="1" applyBorder="1" applyAlignment="1">
      <alignment horizontal="center" vertical="center" wrapText="1"/>
    </xf>
    <xf numFmtId="2" fontId="25" fillId="0" borderId="33" xfId="0" applyNumberFormat="1" applyFont="1" applyBorder="1" applyAlignment="1">
      <alignment horizontal="center"/>
    </xf>
    <xf numFmtId="2" fontId="27" fillId="0" borderId="47" xfId="0" applyNumberFormat="1" applyFont="1" applyBorder="1" applyAlignment="1">
      <alignment horizontal="center"/>
    </xf>
    <xf numFmtId="0" fontId="27" fillId="0" borderId="48" xfId="0" applyFont="1" applyBorder="1" applyAlignment="1">
      <alignment horizontal="center"/>
    </xf>
    <xf numFmtId="2" fontId="25" fillId="0" borderId="49" xfId="0" applyNumberFormat="1" applyFont="1" applyBorder="1" applyAlignment="1">
      <alignment horizontal="center"/>
    </xf>
    <xf numFmtId="3" fontId="25" fillId="0" borderId="0" xfId="101" applyNumberFormat="1" applyFont="1" applyAlignment="1">
      <alignment/>
      <protection/>
    </xf>
    <xf numFmtId="0" fontId="25" fillId="0" borderId="50" xfId="101" applyFont="1" applyBorder="1" applyAlignment="1">
      <alignment wrapText="1"/>
      <protection/>
    </xf>
    <xf numFmtId="3" fontId="25" fillId="0" borderId="50" xfId="101" applyNumberFormat="1" applyFont="1" applyBorder="1">
      <alignment/>
      <protection/>
    </xf>
    <xf numFmtId="2" fontId="21" fillId="52" borderId="26" xfId="0" applyNumberFormat="1" applyFont="1" applyFill="1" applyBorder="1" applyAlignment="1">
      <alignment/>
    </xf>
    <xf numFmtId="3" fontId="21" fillId="52" borderId="26" xfId="0" applyNumberFormat="1" applyFont="1" applyFill="1" applyBorder="1" applyAlignment="1">
      <alignment horizontal="center"/>
    </xf>
    <xf numFmtId="3" fontId="21" fillId="52" borderId="26" xfId="0" applyNumberFormat="1" applyFont="1" applyFill="1" applyBorder="1" applyAlignment="1">
      <alignment horizontal="right"/>
    </xf>
    <xf numFmtId="172" fontId="21" fillId="52" borderId="26" xfId="0" applyNumberFormat="1" applyFont="1" applyFill="1" applyBorder="1" applyAlignment="1">
      <alignment horizontal="right"/>
    </xf>
    <xf numFmtId="0" fontId="28" fillId="52" borderId="26" xfId="0" applyFont="1" applyFill="1" applyBorder="1" applyAlignment="1">
      <alignment/>
    </xf>
    <xf numFmtId="3" fontId="28" fillId="52" borderId="26" xfId="0" applyNumberFormat="1" applyFont="1" applyFill="1" applyBorder="1" applyAlignment="1">
      <alignment horizontal="center"/>
    </xf>
    <xf numFmtId="3" fontId="28" fillId="52" borderId="26" xfId="0" applyNumberFormat="1" applyFont="1" applyFill="1" applyBorder="1" applyAlignment="1">
      <alignment horizontal="right"/>
    </xf>
    <xf numFmtId="0" fontId="35" fillId="52" borderId="26" xfId="0" applyFont="1" applyFill="1" applyBorder="1" applyAlignment="1">
      <alignment/>
    </xf>
    <xf numFmtId="3" fontId="35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/>
    </xf>
    <xf numFmtId="49" fontId="28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 horizontal="center"/>
    </xf>
    <xf numFmtId="0" fontId="33" fillId="52" borderId="26" xfId="0" applyFont="1" applyFill="1" applyBorder="1" applyAlignment="1">
      <alignment/>
    </xf>
    <xf numFmtId="3" fontId="33" fillId="52" borderId="26" xfId="0" applyNumberFormat="1" applyFont="1" applyFill="1" applyBorder="1" applyAlignment="1">
      <alignment horizontal="center"/>
    </xf>
    <xf numFmtId="0" fontId="33" fillId="52" borderId="26" xfId="0" applyFont="1" applyFill="1" applyBorder="1" applyAlignment="1">
      <alignment horizontal="right" vertical="center" wrapText="1"/>
    </xf>
    <xf numFmtId="3" fontId="28" fillId="52" borderId="26" xfId="0" applyNumberFormat="1" applyFont="1" applyFill="1" applyBorder="1" applyAlignment="1">
      <alignment/>
    </xf>
    <xf numFmtId="172" fontId="28" fillId="52" borderId="26" xfId="0" applyNumberFormat="1" applyFont="1" applyFill="1" applyBorder="1" applyAlignment="1">
      <alignment/>
    </xf>
    <xf numFmtId="0" fontId="21" fillId="52" borderId="26" xfId="0" applyFont="1" applyFill="1" applyBorder="1" applyAlignment="1">
      <alignment/>
    </xf>
    <xf numFmtId="0" fontId="21" fillId="52" borderId="26" xfId="0" applyFont="1" applyFill="1" applyBorder="1" applyAlignment="1">
      <alignment horizontal="right"/>
    </xf>
    <xf numFmtId="49" fontId="33" fillId="52" borderId="13" xfId="0" applyNumberFormat="1" applyFont="1" applyFill="1" applyBorder="1" applyAlignment="1">
      <alignment/>
    </xf>
    <xf numFmtId="172" fontId="21" fillId="52" borderId="26" xfId="0" applyNumberFormat="1" applyFont="1" applyFill="1" applyBorder="1" applyAlignment="1">
      <alignment horizontal="right"/>
    </xf>
    <xf numFmtId="3" fontId="21" fillId="52" borderId="26" xfId="0" applyNumberFormat="1" applyFont="1" applyFill="1" applyBorder="1" applyAlignment="1">
      <alignment/>
    </xf>
    <xf numFmtId="49" fontId="21" fillId="52" borderId="26" xfId="0" applyNumberFormat="1" applyFont="1" applyFill="1" applyBorder="1" applyAlignment="1">
      <alignment horizontal="right"/>
    </xf>
    <xf numFmtId="3" fontId="34" fillId="0" borderId="26" xfId="0" applyNumberFormat="1" applyFont="1" applyBorder="1" applyAlignment="1">
      <alignment horizontal="right"/>
    </xf>
    <xf numFmtId="0" fontId="21" fillId="0" borderId="26" xfId="0" applyFont="1" applyBorder="1" applyAlignment="1">
      <alignment horizontal="center" vertical="center" wrapText="1"/>
    </xf>
    <xf numFmtId="2" fontId="25" fillId="0" borderId="40" xfId="0" applyNumberFormat="1" applyFont="1" applyBorder="1" applyAlignment="1">
      <alignment horizontal="center" vertical="center" wrapText="1"/>
    </xf>
    <xf numFmtId="2" fontId="25" fillId="0" borderId="35" xfId="0" applyNumberFormat="1" applyFont="1" applyBorder="1" applyAlignment="1">
      <alignment horizontal="center" vertical="center" wrapText="1"/>
    </xf>
    <xf numFmtId="2" fontId="40" fillId="0" borderId="40" xfId="0" applyNumberFormat="1" applyFont="1" applyBorder="1" applyAlignment="1">
      <alignment horizontal="center" vertical="center" wrapText="1"/>
    </xf>
    <xf numFmtId="2" fontId="40" fillId="0" borderId="35" xfId="0" applyNumberFormat="1" applyFont="1" applyBorder="1" applyAlignment="1">
      <alignment horizontal="center" vertical="center" wrapText="1"/>
    </xf>
    <xf numFmtId="2" fontId="32" fillId="0" borderId="40" xfId="0" applyNumberFormat="1" applyFont="1" applyBorder="1" applyAlignment="1">
      <alignment horizontal="center" vertical="center" wrapText="1"/>
    </xf>
    <xf numFmtId="0" fontId="27" fillId="0" borderId="0" xfId="100" applyFont="1" applyBorder="1" applyAlignment="1">
      <alignment horizontal="center" vertical="center"/>
      <protection/>
    </xf>
    <xf numFmtId="3" fontId="27" fillId="0" borderId="33" xfId="102" applyNumberFormat="1" applyFont="1" applyBorder="1">
      <alignment/>
      <protection/>
    </xf>
    <xf numFmtId="3" fontId="25" fillId="0" borderId="33" xfId="102" applyNumberFormat="1" applyFont="1" applyBorder="1">
      <alignment/>
      <protection/>
    </xf>
    <xf numFmtId="3" fontId="25" fillId="0" borderId="26" xfId="102" applyNumberFormat="1" applyFont="1" applyBorder="1">
      <alignment/>
      <protection/>
    </xf>
    <xf numFmtId="3" fontId="27" fillId="0" borderId="47" xfId="102" applyNumberFormat="1" applyFont="1" applyBorder="1">
      <alignment/>
      <protection/>
    </xf>
    <xf numFmtId="3" fontId="27" fillId="0" borderId="29" xfId="102" applyNumberFormat="1" applyFont="1" applyBorder="1" applyAlignment="1">
      <alignment horizontal="right" vertical="center"/>
      <protection/>
    </xf>
    <xf numFmtId="3" fontId="27" fillId="0" borderId="47" xfId="102" applyNumberFormat="1" applyFont="1" applyBorder="1" applyAlignment="1">
      <alignment horizontal="right" vertical="center"/>
      <protection/>
    </xf>
    <xf numFmtId="3" fontId="25" fillId="0" borderId="26" xfId="102" applyNumberFormat="1" applyFont="1" applyBorder="1" applyAlignment="1">
      <alignment horizontal="right" vertical="center"/>
      <protection/>
    </xf>
    <xf numFmtId="3" fontId="26" fillId="0" borderId="0" xfId="102" applyNumberFormat="1" applyFont="1">
      <alignment/>
      <protection/>
    </xf>
    <xf numFmtId="3" fontId="27" fillId="0" borderId="40" xfId="102" applyNumberFormat="1" applyFont="1" applyBorder="1">
      <alignment/>
      <protection/>
    </xf>
    <xf numFmtId="3" fontId="25" fillId="0" borderId="35" xfId="102" applyNumberFormat="1" applyFont="1" applyBorder="1">
      <alignment/>
      <protection/>
    </xf>
    <xf numFmtId="3" fontId="27" fillId="0" borderId="43" xfId="102" applyNumberFormat="1" applyFont="1" applyBorder="1">
      <alignment/>
      <protection/>
    </xf>
    <xf numFmtId="3" fontId="27" fillId="0" borderId="36" xfId="102" applyNumberFormat="1" applyFont="1" applyBorder="1" applyAlignment="1">
      <alignment horizontal="right" vertical="center"/>
      <protection/>
    </xf>
    <xf numFmtId="3" fontId="25" fillId="0" borderId="35" xfId="102" applyNumberFormat="1" applyFont="1" applyBorder="1" applyAlignment="1">
      <alignment horizontal="right" vertical="center"/>
      <protection/>
    </xf>
    <xf numFmtId="3" fontId="27" fillId="0" borderId="43" xfId="102" applyNumberFormat="1" applyFont="1" applyBorder="1" applyAlignment="1">
      <alignment horizontal="right" vertical="center"/>
      <protection/>
    </xf>
    <xf numFmtId="0" fontId="29" fillId="0" borderId="0" xfId="0" applyFont="1" applyAlignment="1">
      <alignment/>
    </xf>
    <xf numFmtId="0" fontId="29" fillId="0" borderId="13" xfId="0" applyFont="1" applyBorder="1" applyAlignment="1">
      <alignment horizontal="left" vertical="center"/>
    </xf>
    <xf numFmtId="3" fontId="29" fillId="0" borderId="26" xfId="0" applyNumberFormat="1" applyFont="1" applyBorder="1" applyAlignment="1">
      <alignment horizontal="right" vertical="center" wrapText="1"/>
    </xf>
    <xf numFmtId="3" fontId="29" fillId="0" borderId="3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 horizontal="left" vertical="center"/>
    </xf>
    <xf numFmtId="3" fontId="28" fillId="0" borderId="26" xfId="0" applyNumberFormat="1" applyFont="1" applyBorder="1" applyAlignment="1">
      <alignment horizontal="right" vertical="center" wrapText="1"/>
    </xf>
    <xf numFmtId="3" fontId="28" fillId="0" borderId="35" xfId="0" applyNumberFormat="1" applyFont="1" applyBorder="1" applyAlignment="1">
      <alignment horizontal="right" vertical="center" wrapText="1"/>
    </xf>
    <xf numFmtId="0" fontId="28" fillId="0" borderId="13" xfId="0" applyFont="1" applyBorder="1" applyAlignment="1">
      <alignment/>
    </xf>
    <xf numFmtId="3" fontId="52" fillId="0" borderId="26" xfId="0" applyNumberFormat="1" applyFont="1" applyBorder="1" applyAlignment="1">
      <alignment horizontal="right" vertical="center" wrapText="1"/>
    </xf>
    <xf numFmtId="3" fontId="52" fillId="0" borderId="35" xfId="0" applyNumberFormat="1" applyFont="1" applyBorder="1" applyAlignment="1">
      <alignment horizontal="right" vertical="center" wrapText="1"/>
    </xf>
    <xf numFmtId="0" fontId="52" fillId="0" borderId="0" xfId="0" applyFont="1" applyAlignment="1">
      <alignment/>
    </xf>
    <xf numFmtId="0" fontId="29" fillId="0" borderId="13" xfId="0" applyFont="1" applyBorder="1" applyAlignment="1">
      <alignment wrapText="1"/>
    </xf>
    <xf numFmtId="0" fontId="29" fillId="0" borderId="13" xfId="0" applyFont="1" applyBorder="1" applyAlignment="1">
      <alignment/>
    </xf>
    <xf numFmtId="3" fontId="51" fillId="0" borderId="26" xfId="0" applyNumberFormat="1" applyFont="1" applyBorder="1" applyAlignment="1">
      <alignment horizontal="right" vertical="center" wrapText="1"/>
    </xf>
    <xf numFmtId="3" fontId="51" fillId="0" borderId="35" xfId="0" applyNumberFormat="1" applyFont="1" applyBorder="1" applyAlignment="1">
      <alignment horizontal="right" vertical="center" wrapText="1"/>
    </xf>
    <xf numFmtId="0" fontId="51" fillId="0" borderId="0" xfId="0" applyFont="1" applyAlignment="1">
      <alignment/>
    </xf>
    <xf numFmtId="0" fontId="51" fillId="0" borderId="13" xfId="0" applyFont="1" applyBorder="1" applyAlignment="1">
      <alignment/>
    </xf>
    <xf numFmtId="3" fontId="51" fillId="0" borderId="26" xfId="0" applyNumberFormat="1" applyFont="1" applyBorder="1" applyAlignment="1">
      <alignment/>
    </xf>
    <xf numFmtId="3" fontId="51" fillId="0" borderId="35" xfId="0" applyNumberFormat="1" applyFont="1" applyBorder="1" applyAlignment="1">
      <alignment/>
    </xf>
    <xf numFmtId="0" fontId="51" fillId="0" borderId="13" xfId="0" applyFont="1" applyBorder="1" applyAlignment="1">
      <alignment horizontal="left" vertical="center" wrapText="1"/>
    </xf>
    <xf numFmtId="3" fontId="28" fillId="0" borderId="26" xfId="0" applyNumberFormat="1" applyFont="1" applyBorder="1" applyAlignment="1">
      <alignment/>
    </xf>
    <xf numFmtId="3" fontId="28" fillId="0" borderId="35" xfId="0" applyNumberFormat="1" applyFont="1" applyBorder="1" applyAlignment="1">
      <alignment/>
    </xf>
    <xf numFmtId="0" fontId="28" fillId="0" borderId="13" xfId="0" applyFont="1" applyBorder="1" applyAlignment="1">
      <alignment wrapText="1"/>
    </xf>
    <xf numFmtId="3" fontId="29" fillId="0" borderId="26" xfId="0" applyNumberFormat="1" applyFont="1" applyBorder="1" applyAlignment="1">
      <alignment/>
    </xf>
    <xf numFmtId="0" fontId="28" fillId="0" borderId="13" xfId="0" applyFont="1" applyBorder="1" applyAlignment="1">
      <alignment shrinkToFit="1"/>
    </xf>
    <xf numFmtId="3" fontId="29" fillId="0" borderId="35" xfId="0" applyNumberFormat="1" applyFont="1" applyBorder="1" applyAlignment="1">
      <alignment/>
    </xf>
    <xf numFmtId="0" fontId="29" fillId="0" borderId="13" xfId="0" applyFont="1" applyBorder="1" applyAlignment="1">
      <alignment shrinkToFit="1"/>
    </xf>
    <xf numFmtId="3" fontId="52" fillId="0" borderId="26" xfId="0" applyNumberFormat="1" applyFont="1" applyBorder="1" applyAlignment="1">
      <alignment/>
    </xf>
    <xf numFmtId="0" fontId="29" fillId="0" borderId="13" xfId="0" applyFont="1" applyBorder="1" applyAlignment="1">
      <alignment vertical="center" wrapText="1"/>
    </xf>
    <xf numFmtId="3" fontId="29" fillId="0" borderId="26" xfId="0" applyNumberFormat="1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5" xfId="0" applyFont="1" applyBorder="1" applyAlignment="1">
      <alignment shrinkToFit="1"/>
    </xf>
    <xf numFmtId="3" fontId="29" fillId="0" borderId="27" xfId="0" applyNumberFormat="1" applyFont="1" applyBorder="1" applyAlignment="1">
      <alignment/>
    </xf>
    <xf numFmtId="3" fontId="29" fillId="0" borderId="39" xfId="0" applyNumberFormat="1" applyFont="1" applyBorder="1" applyAlignment="1">
      <alignment horizontal="right" vertical="center" wrapText="1"/>
    </xf>
    <xf numFmtId="3" fontId="29" fillId="0" borderId="39" xfId="0" applyNumberFormat="1" applyFont="1" applyBorder="1" applyAlignment="1">
      <alignment/>
    </xf>
    <xf numFmtId="0" fontId="27" fillId="0" borderId="43" xfId="102" applyFont="1" applyBorder="1" applyAlignment="1">
      <alignment horizontal="center"/>
      <protection/>
    </xf>
    <xf numFmtId="0" fontId="25" fillId="0" borderId="23" xfId="102" applyFont="1" applyBorder="1">
      <alignment/>
      <protection/>
    </xf>
    <xf numFmtId="3" fontId="25" fillId="0" borderId="41" xfId="102" applyNumberFormat="1" applyFont="1" applyBorder="1">
      <alignment/>
      <protection/>
    </xf>
    <xf numFmtId="3" fontId="25" fillId="0" borderId="51" xfId="102" applyNumberFormat="1" applyFont="1" applyBorder="1">
      <alignment/>
      <protection/>
    </xf>
    <xf numFmtId="0" fontId="27" fillId="0" borderId="13" xfId="102" applyFont="1" applyBorder="1">
      <alignment/>
      <protection/>
    </xf>
    <xf numFmtId="3" fontId="20" fillId="0" borderId="29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 horizontal="right" wrapText="1"/>
    </xf>
    <xf numFmtId="3" fontId="20" fillId="0" borderId="26" xfId="0" applyNumberFormat="1" applyFont="1" applyBorder="1" applyAlignment="1">
      <alignment horizontal="right" wrapText="1"/>
    </xf>
    <xf numFmtId="3" fontId="27" fillId="0" borderId="28" xfId="104" applyNumberFormat="1" applyFont="1" applyFill="1" applyBorder="1" applyAlignment="1">
      <alignment vertical="center"/>
      <protection/>
    </xf>
    <xf numFmtId="3" fontId="27" fillId="0" borderId="52" xfId="104" applyNumberFormat="1" applyFont="1" applyFill="1" applyBorder="1" applyAlignment="1">
      <alignment vertical="center"/>
      <protection/>
    </xf>
    <xf numFmtId="3" fontId="25" fillId="0" borderId="32" xfId="0" applyNumberFormat="1" applyFont="1" applyBorder="1" applyAlignment="1">
      <alignment/>
    </xf>
    <xf numFmtId="2" fontId="27" fillId="0" borderId="53" xfId="0" applyNumberFormat="1" applyFont="1" applyBorder="1" applyAlignment="1">
      <alignment horizontal="center"/>
    </xf>
    <xf numFmtId="3" fontId="27" fillId="0" borderId="0" xfId="0" applyNumberFormat="1" applyFont="1" applyAlignment="1">
      <alignment/>
    </xf>
    <xf numFmtId="0" fontId="0" fillId="0" borderId="0" xfId="0" applyAlignment="1">
      <alignment horizontal="center" vertical="center"/>
    </xf>
    <xf numFmtId="0" fontId="27" fillId="0" borderId="0" xfId="100" applyFont="1" applyBorder="1" applyAlignment="1">
      <alignment vertical="center"/>
      <protection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18" xfId="0" applyFont="1" applyBorder="1" applyAlignment="1">
      <alignment horizontal="center" vertical="center" wrapText="1"/>
    </xf>
    <xf numFmtId="0" fontId="27" fillId="0" borderId="28" xfId="100" applyFont="1" applyBorder="1" applyAlignment="1">
      <alignment horizontal="center" vertical="center" wrapText="1"/>
      <protection/>
    </xf>
    <xf numFmtId="3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0" fontId="25" fillId="0" borderId="17" xfId="0" applyFont="1" applyBorder="1" applyAlignment="1">
      <alignment horizontal="left"/>
    </xf>
    <xf numFmtId="0" fontId="25" fillId="0" borderId="18" xfId="100" applyFont="1" applyBorder="1" applyAlignment="1">
      <alignment horizontal="center" vertical="center"/>
      <protection/>
    </xf>
    <xf numFmtId="0" fontId="0" fillId="0" borderId="18" xfId="0" applyBorder="1" applyAlignment="1">
      <alignment/>
    </xf>
    <xf numFmtId="0" fontId="25" fillId="0" borderId="28" xfId="100" applyFont="1" applyBorder="1">
      <alignment/>
      <protection/>
    </xf>
    <xf numFmtId="3" fontId="25" fillId="0" borderId="18" xfId="100" applyNumberFormat="1" applyFont="1" applyBorder="1" applyAlignment="1">
      <alignment horizontal="right" vertical="center"/>
      <protection/>
    </xf>
    <xf numFmtId="3" fontId="25" fillId="0" borderId="18" xfId="100" applyNumberFormat="1" applyFont="1" applyBorder="1" applyAlignment="1">
      <alignment horizontal="right"/>
      <protection/>
    </xf>
    <xf numFmtId="3" fontId="27" fillId="0" borderId="28" xfId="100" applyNumberFormat="1" applyFont="1" applyBorder="1" applyAlignment="1">
      <alignment horizontal="right"/>
      <protection/>
    </xf>
    <xf numFmtId="0" fontId="25" fillId="0" borderId="19" xfId="0" applyFont="1" applyBorder="1" applyAlignment="1">
      <alignment horizontal="left"/>
    </xf>
    <xf numFmtId="3" fontId="25" fillId="0" borderId="20" xfId="100" applyNumberFormat="1" applyFont="1" applyBorder="1" applyAlignment="1">
      <alignment horizontal="right" vertical="center"/>
      <protection/>
    </xf>
    <xf numFmtId="3" fontId="25" fillId="0" borderId="20" xfId="100" applyNumberFormat="1" applyFont="1" applyBorder="1" applyAlignment="1">
      <alignment horizontal="right"/>
      <protection/>
    </xf>
    <xf numFmtId="3" fontId="27" fillId="0" borderId="52" xfId="100" applyNumberFormat="1" applyFont="1" applyBorder="1" applyAlignment="1">
      <alignment horizontal="right"/>
      <protection/>
    </xf>
    <xf numFmtId="3" fontId="27" fillId="0" borderId="0" xfId="0" applyNumberFormat="1" applyFont="1" applyBorder="1" applyAlignment="1">
      <alignment/>
    </xf>
    <xf numFmtId="0" fontId="32" fillId="0" borderId="0" xfId="101" applyFont="1">
      <alignment/>
      <protection/>
    </xf>
    <xf numFmtId="3" fontId="26" fillId="0" borderId="0" xfId="101" applyNumberFormat="1" applyFont="1" applyBorder="1" applyAlignment="1">
      <alignment/>
      <protection/>
    </xf>
    <xf numFmtId="0" fontId="26" fillId="0" borderId="0" xfId="101" applyFont="1" applyBorder="1">
      <alignment/>
      <protection/>
    </xf>
    <xf numFmtId="3" fontId="34" fillId="0" borderId="26" xfId="0" applyNumberFormat="1" applyFont="1" applyFill="1" applyBorder="1" applyAlignment="1">
      <alignment/>
    </xf>
    <xf numFmtId="3" fontId="34" fillId="0" borderId="26" xfId="0" applyNumberFormat="1" applyFont="1" applyBorder="1" applyAlignment="1">
      <alignment horizontal="center"/>
    </xf>
    <xf numFmtId="172" fontId="34" fillId="0" borderId="26" xfId="0" applyNumberFormat="1" applyFont="1" applyBorder="1" applyAlignment="1">
      <alignment horizontal="right"/>
    </xf>
    <xf numFmtId="0" fontId="52" fillId="0" borderId="27" xfId="0" applyFont="1" applyBorder="1" applyAlignment="1">
      <alignment/>
    </xf>
    <xf numFmtId="3" fontId="34" fillId="0" borderId="27" xfId="0" applyNumberFormat="1" applyFont="1" applyBorder="1" applyAlignment="1">
      <alignment horizontal="center"/>
    </xf>
    <xf numFmtId="3" fontId="34" fillId="0" borderId="27" xfId="0" applyNumberFormat="1" applyFont="1" applyBorder="1" applyAlignment="1">
      <alignment/>
    </xf>
    <xf numFmtId="3" fontId="33" fillId="0" borderId="27" xfId="0" applyNumberFormat="1" applyFont="1" applyFill="1" applyBorder="1" applyAlignment="1">
      <alignment/>
    </xf>
    <xf numFmtId="0" fontId="25" fillId="52" borderId="13" xfId="101" applyFont="1" applyFill="1" applyBorder="1" applyAlignment="1">
      <alignment wrapText="1"/>
      <protection/>
    </xf>
    <xf numFmtId="0" fontId="20" fillId="0" borderId="0" xfId="106" applyFont="1">
      <alignment/>
      <protection/>
    </xf>
    <xf numFmtId="0" fontId="22" fillId="0" borderId="0" xfId="106" applyFont="1" applyAlignment="1">
      <alignment wrapText="1"/>
      <protection/>
    </xf>
    <xf numFmtId="0" fontId="22" fillId="0" borderId="0" xfId="106" applyFont="1">
      <alignment/>
      <protection/>
    </xf>
    <xf numFmtId="0" fontId="20" fillId="0" borderId="54" xfId="106" applyFont="1" applyBorder="1" applyAlignment="1">
      <alignment horizontal="center" wrapText="1"/>
      <protection/>
    </xf>
    <xf numFmtId="0" fontId="20" fillId="0" borderId="54" xfId="106" applyFont="1" applyBorder="1" applyAlignment="1">
      <alignment horizontal="center"/>
      <protection/>
    </xf>
    <xf numFmtId="0" fontId="20" fillId="0" borderId="55" xfId="106" applyFont="1" applyBorder="1" applyAlignment="1">
      <alignment horizontal="center"/>
      <protection/>
    </xf>
    <xf numFmtId="49" fontId="20" fillId="0" borderId="56" xfId="106" applyNumberFormat="1" applyFont="1" applyBorder="1" applyAlignment="1">
      <alignment wrapText="1"/>
      <protection/>
    </xf>
    <xf numFmtId="3" fontId="20" fillId="0" borderId="56" xfId="106" applyNumberFormat="1" applyFont="1" applyBorder="1">
      <alignment/>
      <protection/>
    </xf>
    <xf numFmtId="3" fontId="20" fillId="0" borderId="57" xfId="106" applyNumberFormat="1" applyFont="1" applyBorder="1">
      <alignment/>
      <protection/>
    </xf>
    <xf numFmtId="3" fontId="20" fillId="0" borderId="58" xfId="106" applyNumberFormat="1" applyFont="1" applyBorder="1">
      <alignment/>
      <protection/>
    </xf>
    <xf numFmtId="49" fontId="22" fillId="0" borderId="58" xfId="106" applyNumberFormat="1" applyFont="1" applyBorder="1" applyAlignment="1">
      <alignment wrapText="1"/>
      <protection/>
    </xf>
    <xf numFmtId="3" fontId="22" fillId="0" borderId="58" xfId="106" applyNumberFormat="1" applyFont="1" applyBorder="1">
      <alignment/>
      <protection/>
    </xf>
    <xf numFmtId="3" fontId="20" fillId="0" borderId="59" xfId="106" applyNumberFormat="1" applyFont="1" applyBorder="1">
      <alignment/>
      <protection/>
    </xf>
    <xf numFmtId="3" fontId="20" fillId="0" borderId="60" xfId="106" applyNumberFormat="1" applyFont="1" applyBorder="1">
      <alignment/>
      <protection/>
    </xf>
    <xf numFmtId="49" fontId="22" fillId="0" borderId="60" xfId="106" applyNumberFormat="1" applyFont="1" applyBorder="1" applyAlignment="1">
      <alignment wrapText="1"/>
      <protection/>
    </xf>
    <xf numFmtId="3" fontId="22" fillId="0" borderId="60" xfId="106" applyNumberFormat="1" applyFont="1" applyBorder="1">
      <alignment/>
      <protection/>
    </xf>
    <xf numFmtId="49" fontId="20" fillId="0" borderId="60" xfId="106" applyNumberFormat="1" applyFont="1" applyBorder="1" applyAlignment="1">
      <alignment wrapText="1"/>
      <protection/>
    </xf>
    <xf numFmtId="3" fontId="20" fillId="0" borderId="60" xfId="106" applyNumberFormat="1" applyFont="1" applyBorder="1">
      <alignment/>
      <protection/>
    </xf>
    <xf numFmtId="3" fontId="22" fillId="0" borderId="60" xfId="106" applyNumberFormat="1" applyFont="1" applyBorder="1">
      <alignment/>
      <protection/>
    </xf>
    <xf numFmtId="3" fontId="22" fillId="0" borderId="59" xfId="106" applyNumberFormat="1" applyFont="1" applyBorder="1">
      <alignment/>
      <protection/>
    </xf>
    <xf numFmtId="3" fontId="40" fillId="0" borderId="59" xfId="108" applyNumberFormat="1" applyFont="1" applyBorder="1">
      <alignment/>
      <protection/>
    </xf>
    <xf numFmtId="49" fontId="22" fillId="0" borderId="60" xfId="106" applyNumberFormat="1" applyFont="1" applyBorder="1" applyAlignment="1">
      <alignment wrapText="1"/>
      <protection/>
    </xf>
    <xf numFmtId="3" fontId="50" fillId="0" borderId="59" xfId="106" applyNumberFormat="1" applyFont="1" applyBorder="1">
      <alignment/>
      <protection/>
    </xf>
    <xf numFmtId="3" fontId="22" fillId="0" borderId="61" xfId="106" applyNumberFormat="1" applyFont="1" applyBorder="1">
      <alignment/>
      <protection/>
    </xf>
    <xf numFmtId="3" fontId="50" fillId="0" borderId="62" xfId="106" applyNumberFormat="1" applyFont="1" applyBorder="1">
      <alignment/>
      <protection/>
    </xf>
    <xf numFmtId="3" fontId="22" fillId="0" borderId="63" xfId="106" applyNumberFormat="1" applyFont="1" applyBorder="1">
      <alignment/>
      <protection/>
    </xf>
    <xf numFmtId="49" fontId="22" fillId="0" borderId="59" xfId="106" applyNumberFormat="1" applyFont="1" applyBorder="1" applyAlignment="1">
      <alignment wrapText="1"/>
      <protection/>
    </xf>
    <xf numFmtId="0" fontId="22" fillId="0" borderId="0" xfId="106" applyFont="1" applyBorder="1">
      <alignment/>
      <protection/>
    </xf>
    <xf numFmtId="49" fontId="20" fillId="0" borderId="59" xfId="106" applyNumberFormat="1" applyFont="1" applyBorder="1" applyAlignment="1">
      <alignment wrapText="1"/>
      <protection/>
    </xf>
    <xf numFmtId="49" fontId="22" fillId="0" borderId="55" xfId="106" applyNumberFormat="1" applyFont="1" applyBorder="1" applyAlignment="1">
      <alignment wrapText="1"/>
      <protection/>
    </xf>
    <xf numFmtId="3" fontId="22" fillId="0" borderId="54" xfId="106" applyNumberFormat="1" applyFont="1" applyBorder="1">
      <alignment/>
      <protection/>
    </xf>
    <xf numFmtId="3" fontId="22" fillId="0" borderId="55" xfId="106" applyNumberFormat="1" applyFont="1" applyBorder="1">
      <alignment/>
      <protection/>
    </xf>
    <xf numFmtId="3" fontId="22" fillId="0" borderId="61" xfId="106" applyNumberFormat="1" applyFont="1" applyBorder="1">
      <alignment/>
      <protection/>
    </xf>
    <xf numFmtId="0" fontId="20" fillId="0" borderId="64" xfId="106" applyFont="1" applyBorder="1" applyAlignment="1">
      <alignment wrapText="1"/>
      <protection/>
    </xf>
    <xf numFmtId="3" fontId="20" fillId="0" borderId="64" xfId="106" applyNumberFormat="1" applyFont="1" applyBorder="1">
      <alignment/>
      <protection/>
    </xf>
    <xf numFmtId="3" fontId="20" fillId="0" borderId="65" xfId="106" applyNumberFormat="1" applyFont="1" applyBorder="1">
      <alignment/>
      <protection/>
    </xf>
    <xf numFmtId="0" fontId="20" fillId="0" borderId="56" xfId="106" applyFont="1" applyBorder="1" applyAlignment="1">
      <alignment wrapText="1"/>
      <protection/>
    </xf>
    <xf numFmtId="3" fontId="22" fillId="0" borderId="65" xfId="106" applyNumberFormat="1" applyFont="1" applyBorder="1">
      <alignment/>
      <protection/>
    </xf>
    <xf numFmtId="0" fontId="20" fillId="0" borderId="58" xfId="106" applyFont="1" applyBorder="1" applyAlignment="1">
      <alignment wrapText="1"/>
      <protection/>
    </xf>
    <xf numFmtId="3" fontId="20" fillId="0" borderId="66" xfId="106" applyNumberFormat="1" applyFont="1" applyBorder="1">
      <alignment/>
      <protection/>
    </xf>
    <xf numFmtId="3" fontId="20" fillId="0" borderId="67" xfId="106" applyNumberFormat="1" applyFont="1" applyBorder="1">
      <alignment/>
      <protection/>
    </xf>
    <xf numFmtId="0" fontId="20" fillId="0" borderId="65" xfId="106" applyFont="1" applyBorder="1" applyAlignment="1">
      <alignment wrapText="1"/>
      <protection/>
    </xf>
    <xf numFmtId="3" fontId="20" fillId="0" borderId="68" xfId="106" applyNumberFormat="1" applyFont="1" applyBorder="1">
      <alignment/>
      <protection/>
    </xf>
    <xf numFmtId="3" fontId="20" fillId="0" borderId="65" xfId="106" applyNumberFormat="1" applyFont="1" applyBorder="1">
      <alignment/>
      <protection/>
    </xf>
    <xf numFmtId="0" fontId="20" fillId="0" borderId="65" xfId="111" applyFont="1" applyBorder="1" applyAlignment="1">
      <alignment wrapText="1"/>
      <protection/>
    </xf>
    <xf numFmtId="3" fontId="20" fillId="0" borderId="65" xfId="111" applyNumberFormat="1" applyFont="1" applyBorder="1">
      <alignment/>
      <protection/>
    </xf>
    <xf numFmtId="0" fontId="22" fillId="0" borderId="0" xfId="111" applyFont="1" applyAlignment="1">
      <alignment wrapText="1"/>
      <protection/>
    </xf>
    <xf numFmtId="0" fontId="22" fillId="0" borderId="0" xfId="111" applyFont="1">
      <alignment/>
      <protection/>
    </xf>
    <xf numFmtId="0" fontId="20" fillId="0" borderId="0" xfId="106" applyFont="1" applyAlignment="1">
      <alignment horizontal="center" wrapText="1"/>
      <protection/>
    </xf>
    <xf numFmtId="0" fontId="20" fillId="0" borderId="69" xfId="106" applyFont="1" applyBorder="1" applyAlignment="1">
      <alignment horizontal="center" wrapText="1"/>
      <protection/>
    </xf>
    <xf numFmtId="0" fontId="20" fillId="0" borderId="64" xfId="106" applyFont="1" applyBorder="1" applyAlignment="1">
      <alignment horizontal="center" wrapText="1"/>
      <protection/>
    </xf>
    <xf numFmtId="3" fontId="22" fillId="0" borderId="59" xfId="106" applyNumberFormat="1" applyFont="1" applyBorder="1">
      <alignment/>
      <protection/>
    </xf>
    <xf numFmtId="0" fontId="20" fillId="0" borderId="60" xfId="106" applyFont="1" applyBorder="1" applyAlignment="1">
      <alignment wrapText="1"/>
      <protection/>
    </xf>
    <xf numFmtId="49" fontId="22" fillId="0" borderId="58" xfId="106" applyNumberFormat="1" applyFont="1" applyBorder="1" applyAlignment="1">
      <alignment wrapText="1"/>
      <protection/>
    </xf>
    <xf numFmtId="3" fontId="22" fillId="0" borderId="66" xfId="106" applyNumberFormat="1" applyFont="1" applyBorder="1">
      <alignment/>
      <protection/>
    </xf>
    <xf numFmtId="0" fontId="20" fillId="0" borderId="60" xfId="106" applyFont="1" applyBorder="1" applyAlignment="1">
      <alignment horizontal="left" wrapText="1"/>
      <protection/>
    </xf>
    <xf numFmtId="3" fontId="22" fillId="0" borderId="67" xfId="106" applyNumberFormat="1" applyFont="1" applyBorder="1">
      <alignment/>
      <protection/>
    </xf>
    <xf numFmtId="0" fontId="22" fillId="0" borderId="61" xfId="106" applyFont="1" applyBorder="1" applyAlignment="1">
      <alignment wrapText="1"/>
      <protection/>
    </xf>
    <xf numFmtId="3" fontId="20" fillId="0" borderId="59" xfId="106" applyNumberFormat="1" applyFont="1" applyBorder="1">
      <alignment/>
      <protection/>
    </xf>
    <xf numFmtId="0" fontId="22" fillId="0" borderId="60" xfId="106" applyFont="1" applyBorder="1" applyAlignment="1">
      <alignment wrapText="1"/>
      <protection/>
    </xf>
    <xf numFmtId="0" fontId="50" fillId="0" borderId="60" xfId="106" applyFont="1" applyBorder="1" applyAlignment="1">
      <alignment wrapText="1"/>
      <protection/>
    </xf>
    <xf numFmtId="3" fontId="50" fillId="0" borderId="60" xfId="106" applyNumberFormat="1" applyFont="1" applyBorder="1">
      <alignment/>
      <protection/>
    </xf>
    <xf numFmtId="3" fontId="50" fillId="0" borderId="70" xfId="106" applyNumberFormat="1" applyFont="1" applyBorder="1">
      <alignment/>
      <protection/>
    </xf>
    <xf numFmtId="49" fontId="22" fillId="0" borderId="69" xfId="106" applyNumberFormat="1" applyFont="1" applyBorder="1" applyAlignment="1">
      <alignment wrapText="1"/>
      <protection/>
    </xf>
    <xf numFmtId="3" fontId="22" fillId="0" borderId="64" xfId="106" applyNumberFormat="1" applyFont="1" applyBorder="1">
      <alignment/>
      <protection/>
    </xf>
    <xf numFmtId="0" fontId="50" fillId="0" borderId="64" xfId="106" applyFont="1" applyBorder="1" applyAlignment="1">
      <alignment wrapText="1"/>
      <protection/>
    </xf>
    <xf numFmtId="3" fontId="50" fillId="0" borderId="71" xfId="106" applyNumberFormat="1" applyFont="1" applyBorder="1">
      <alignment/>
      <protection/>
    </xf>
    <xf numFmtId="49" fontId="20" fillId="0" borderId="65" xfId="106" applyNumberFormat="1" applyFont="1" applyBorder="1" applyAlignment="1">
      <alignment wrapText="1"/>
      <protection/>
    </xf>
    <xf numFmtId="3" fontId="20" fillId="0" borderId="72" xfId="106" applyNumberFormat="1" applyFont="1" applyBorder="1">
      <alignment/>
      <protection/>
    </xf>
    <xf numFmtId="3" fontId="20" fillId="0" borderId="73" xfId="106" applyNumberFormat="1" applyFont="1" applyBorder="1">
      <alignment/>
      <protection/>
    </xf>
    <xf numFmtId="49" fontId="20" fillId="0" borderId="60" xfId="106" applyNumberFormat="1" applyFont="1" applyBorder="1" applyAlignment="1">
      <alignment wrapText="1"/>
      <protection/>
    </xf>
    <xf numFmtId="49" fontId="22" fillId="0" borderId="61" xfId="106" applyNumberFormat="1" applyFont="1" applyBorder="1" applyAlignment="1">
      <alignment wrapText="1"/>
      <protection/>
    </xf>
    <xf numFmtId="3" fontId="22" fillId="0" borderId="62" xfId="106" applyNumberFormat="1" applyFont="1" applyBorder="1">
      <alignment/>
      <protection/>
    </xf>
    <xf numFmtId="0" fontId="20" fillId="0" borderId="61" xfId="106" applyFont="1" applyBorder="1" applyAlignment="1">
      <alignment wrapText="1"/>
      <protection/>
    </xf>
    <xf numFmtId="3" fontId="20" fillId="0" borderId="61" xfId="106" applyNumberFormat="1" applyFont="1" applyBorder="1">
      <alignment/>
      <protection/>
    </xf>
    <xf numFmtId="3" fontId="20" fillId="0" borderId="69" xfId="106" applyNumberFormat="1" applyFont="1" applyBorder="1">
      <alignment/>
      <protection/>
    </xf>
    <xf numFmtId="0" fontId="20" fillId="0" borderId="0" xfId="106" applyFont="1" applyBorder="1" applyAlignment="1">
      <alignment wrapText="1"/>
      <protection/>
    </xf>
    <xf numFmtId="3" fontId="20" fillId="0" borderId="0" xfId="106" applyNumberFormat="1" applyFont="1" applyBorder="1">
      <alignment/>
      <protection/>
    </xf>
    <xf numFmtId="0" fontId="58" fillId="0" borderId="0" xfId="106" applyFont="1" applyAlignment="1">
      <alignment wrapText="1"/>
      <protection/>
    </xf>
    <xf numFmtId="3" fontId="58" fillId="0" borderId="0" xfId="106" applyNumberFormat="1" applyFont="1" applyAlignment="1">
      <alignment/>
      <protection/>
    </xf>
    <xf numFmtId="3" fontId="58" fillId="0" borderId="0" xfId="106" applyNumberFormat="1" applyFont="1">
      <alignment/>
      <protection/>
    </xf>
    <xf numFmtId="0" fontId="29" fillId="0" borderId="35" xfId="0" applyFont="1" applyBorder="1" applyAlignment="1">
      <alignment horizontal="center" vertical="center"/>
    </xf>
    <xf numFmtId="0" fontId="43" fillId="0" borderId="0" xfId="0" applyFont="1" applyBorder="1" applyAlignment="1">
      <alignment/>
    </xf>
    <xf numFmtId="0" fontId="42" fillId="0" borderId="0" xfId="0" applyFont="1" applyAlignment="1">
      <alignment horizontal="center"/>
    </xf>
    <xf numFmtId="0" fontId="43" fillId="0" borderId="74" xfId="0" applyFont="1" applyBorder="1" applyAlignment="1">
      <alignment/>
    </xf>
    <xf numFmtId="0" fontId="43" fillId="0" borderId="0" xfId="0" applyFont="1" applyAlignment="1">
      <alignment/>
    </xf>
    <xf numFmtId="0" fontId="43" fillId="0" borderId="33" xfId="0" applyFont="1" applyBorder="1" applyAlignment="1">
      <alignment/>
    </xf>
    <xf numFmtId="0" fontId="43" fillId="0" borderId="40" xfId="0" applyFont="1" applyBorder="1" applyAlignment="1">
      <alignment/>
    </xf>
    <xf numFmtId="3" fontId="42" fillId="0" borderId="26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vertical="center" wrapText="1"/>
    </xf>
    <xf numFmtId="3" fontId="42" fillId="0" borderId="35" xfId="0" applyNumberFormat="1" applyFont="1" applyBorder="1" applyAlignment="1">
      <alignment horizontal="center" wrapText="1"/>
    </xf>
    <xf numFmtId="0" fontId="42" fillId="0" borderId="35" xfId="0" applyFont="1" applyBorder="1" applyAlignment="1">
      <alignment horizontal="center" vertical="center"/>
    </xf>
    <xf numFmtId="0" fontId="42" fillId="0" borderId="32" xfId="0" applyFont="1" applyBorder="1" applyAlignment="1">
      <alignment horizontal="center" vertical="center"/>
    </xf>
    <xf numFmtId="0" fontId="42" fillId="0" borderId="74" xfId="0" applyFont="1" applyBorder="1" applyAlignment="1">
      <alignment/>
    </xf>
    <xf numFmtId="0" fontId="42" fillId="0" borderId="0" xfId="0" applyFont="1" applyBorder="1" applyAlignment="1">
      <alignment/>
    </xf>
    <xf numFmtId="0" fontId="42" fillId="0" borderId="13" xfId="0" applyFont="1" applyBorder="1" applyAlignment="1">
      <alignment/>
    </xf>
    <xf numFmtId="3" fontId="42" fillId="0" borderId="26" xfId="0" applyNumberFormat="1" applyFont="1" applyBorder="1" applyAlignment="1">
      <alignment wrapText="1"/>
    </xf>
    <xf numFmtId="3" fontId="42" fillId="0" borderId="40" xfId="0" applyNumberFormat="1" applyFont="1" applyBorder="1" applyAlignment="1">
      <alignment wrapText="1"/>
    </xf>
    <xf numFmtId="3" fontId="42" fillId="0" borderId="35" xfId="0" applyNumberFormat="1" applyFont="1" applyBorder="1" applyAlignment="1">
      <alignment/>
    </xf>
    <xf numFmtId="0" fontId="42" fillId="0" borderId="0" xfId="0" applyFont="1" applyAlignment="1">
      <alignment/>
    </xf>
    <xf numFmtId="3" fontId="42" fillId="0" borderId="35" xfId="0" applyNumberFormat="1" applyFont="1" applyBorder="1" applyAlignment="1">
      <alignment wrapText="1"/>
    </xf>
    <xf numFmtId="37" fontId="42" fillId="0" borderId="26" xfId="0" applyNumberFormat="1" applyFont="1" applyBorder="1" applyAlignment="1">
      <alignment wrapText="1"/>
    </xf>
    <xf numFmtId="37" fontId="42" fillId="0" borderId="75" xfId="0" applyNumberFormat="1" applyFont="1" applyBorder="1" applyAlignment="1">
      <alignment wrapText="1"/>
    </xf>
    <xf numFmtId="0" fontId="43" fillId="0" borderId="13" xfId="0" applyFont="1" applyBorder="1" applyAlignment="1">
      <alignment horizontal="left" wrapText="1"/>
    </xf>
    <xf numFmtId="3" fontId="43" fillId="0" borderId="26" xfId="0" applyNumberFormat="1" applyFont="1" applyBorder="1" applyAlignment="1">
      <alignment wrapText="1"/>
    </xf>
    <xf numFmtId="3" fontId="43" fillId="0" borderId="35" xfId="0" applyNumberFormat="1" applyFont="1" applyBorder="1" applyAlignment="1">
      <alignment wrapText="1"/>
    </xf>
    <xf numFmtId="0" fontId="43" fillId="0" borderId="13" xfId="0" applyFont="1" applyBorder="1" applyAlignment="1">
      <alignment/>
    </xf>
    <xf numFmtId="0" fontId="46" fillId="0" borderId="74" xfId="0" applyFont="1" applyBorder="1" applyAlignment="1">
      <alignment/>
    </xf>
    <xf numFmtId="0" fontId="46" fillId="0" borderId="0" xfId="0" applyFont="1" applyBorder="1" applyAlignment="1">
      <alignment/>
    </xf>
    <xf numFmtId="0" fontId="38" fillId="0" borderId="13" xfId="0" applyFont="1" applyBorder="1" applyAlignment="1">
      <alignment/>
    </xf>
    <xf numFmtId="3" fontId="38" fillId="0" borderId="26" xfId="0" applyNumberFormat="1" applyFont="1" applyBorder="1" applyAlignment="1">
      <alignment wrapText="1"/>
    </xf>
    <xf numFmtId="3" fontId="38" fillId="0" borderId="35" xfId="0" applyNumberFormat="1" applyFont="1" applyBorder="1" applyAlignment="1">
      <alignment wrapText="1"/>
    </xf>
    <xf numFmtId="0" fontId="46" fillId="0" borderId="0" xfId="0" applyFont="1" applyAlignment="1">
      <alignment/>
    </xf>
    <xf numFmtId="0" fontId="42" fillId="0" borderId="76" xfId="0" applyFont="1" applyBorder="1" applyAlignment="1">
      <alignment/>
    </xf>
    <xf numFmtId="0" fontId="42" fillId="0" borderId="50" xfId="0" applyFont="1" applyBorder="1" applyAlignment="1">
      <alignment/>
    </xf>
    <xf numFmtId="0" fontId="38" fillId="0" borderId="0" xfId="0" applyFont="1" applyBorder="1" applyAlignment="1">
      <alignment/>
    </xf>
    <xf numFmtId="0" fontId="38" fillId="0" borderId="13" xfId="0" applyFont="1" applyBorder="1" applyAlignment="1">
      <alignment wrapText="1"/>
    </xf>
    <xf numFmtId="0" fontId="38" fillId="0" borderId="0" xfId="0" applyFont="1" applyAlignment="1">
      <alignment/>
    </xf>
    <xf numFmtId="3" fontId="42" fillId="0" borderId="42" xfId="0" applyNumberFormat="1" applyFont="1" applyBorder="1" applyAlignment="1">
      <alignment wrapText="1"/>
    </xf>
    <xf numFmtId="0" fontId="42" fillId="0" borderId="15" xfId="0" applyFont="1" applyBorder="1" applyAlignment="1">
      <alignment wrapText="1"/>
    </xf>
    <xf numFmtId="37" fontId="42" fillId="0" borderId="27" xfId="0" applyNumberFormat="1" applyFont="1" applyBorder="1" applyAlignment="1">
      <alignment vertical="center" wrapText="1"/>
    </xf>
    <xf numFmtId="3" fontId="42" fillId="0" borderId="39" xfId="0" applyNumberFormat="1" applyFont="1" applyBorder="1" applyAlignment="1">
      <alignment/>
    </xf>
    <xf numFmtId="3" fontId="27" fillId="0" borderId="29" xfId="0" applyNumberFormat="1" applyFont="1" applyBorder="1" applyAlignment="1">
      <alignment horizontal="center" vertical="center" wrapText="1"/>
    </xf>
    <xf numFmtId="3" fontId="27" fillId="0" borderId="26" xfId="0" applyNumberFormat="1" applyFont="1" applyBorder="1" applyAlignment="1">
      <alignment horizontal="center" vertical="center" wrapText="1"/>
    </xf>
    <xf numFmtId="3" fontId="25" fillId="0" borderId="26" xfId="0" applyNumberFormat="1" applyFont="1" applyBorder="1" applyAlignment="1">
      <alignment/>
    </xf>
    <xf numFmtId="0" fontId="26" fillId="0" borderId="77" xfId="101" applyFont="1" applyBorder="1" applyAlignment="1">
      <alignment wrapText="1"/>
      <protection/>
    </xf>
    <xf numFmtId="3" fontId="27" fillId="0" borderId="77" xfId="101" applyNumberFormat="1" applyFont="1" applyBorder="1">
      <alignment/>
      <protection/>
    </xf>
    <xf numFmtId="3" fontId="27" fillId="0" borderId="29" xfId="101" applyNumberFormat="1" applyFont="1" applyBorder="1" applyAlignment="1">
      <alignment horizontal="center" vertical="center"/>
      <protection/>
    </xf>
    <xf numFmtId="3" fontId="25" fillId="0" borderId="26" xfId="101" applyNumberFormat="1" applyFont="1" applyBorder="1">
      <alignment/>
      <protection/>
    </xf>
    <xf numFmtId="3" fontId="27" fillId="0" borderId="26" xfId="101" applyNumberFormat="1" applyFont="1" applyBorder="1">
      <alignment/>
      <protection/>
    </xf>
    <xf numFmtId="3" fontId="27" fillId="0" borderId="27" xfId="101" applyNumberFormat="1" applyFont="1" applyBorder="1">
      <alignment/>
      <protection/>
    </xf>
    <xf numFmtId="3" fontId="27" fillId="0" borderId="29" xfId="101" applyNumberFormat="1" applyFont="1" applyBorder="1" applyAlignment="1">
      <alignment horizontal="center"/>
      <protection/>
    </xf>
    <xf numFmtId="3" fontId="26" fillId="0" borderId="26" xfId="101" applyNumberFormat="1" applyFont="1" applyBorder="1">
      <alignment/>
      <protection/>
    </xf>
    <xf numFmtId="3" fontId="32" fillId="0" borderId="26" xfId="101" applyNumberFormat="1" applyFont="1" applyBorder="1">
      <alignment/>
      <protection/>
    </xf>
    <xf numFmtId="0" fontId="23" fillId="0" borderId="0" xfId="101" applyBorder="1" applyAlignment="1">
      <alignment wrapText="1"/>
      <protection/>
    </xf>
    <xf numFmtId="3" fontId="23" fillId="0" borderId="0" xfId="101" applyNumberFormat="1" applyBorder="1">
      <alignment/>
      <protection/>
    </xf>
    <xf numFmtId="2" fontId="32" fillId="0" borderId="78" xfId="0" applyNumberFormat="1" applyFont="1" applyBorder="1" applyAlignment="1">
      <alignment horizontal="center" vertical="center" wrapText="1"/>
    </xf>
    <xf numFmtId="0" fontId="25" fillId="0" borderId="79" xfId="0" applyFont="1" applyBorder="1" applyAlignment="1">
      <alignment/>
    </xf>
    <xf numFmtId="2" fontId="25" fillId="0" borderId="79" xfId="0" applyNumberFormat="1" applyFont="1" applyBorder="1" applyAlignment="1">
      <alignment horizontal="center"/>
    </xf>
    <xf numFmtId="2" fontId="27" fillId="0" borderId="45" xfId="0" applyNumberFormat="1" applyFont="1" applyBorder="1" applyAlignment="1">
      <alignment horizontal="center" vertical="top" wrapText="1"/>
    </xf>
    <xf numFmtId="2" fontId="27" fillId="0" borderId="53" xfId="0" applyNumberFormat="1" applyFont="1" applyBorder="1" applyAlignment="1">
      <alignment horizontal="center" vertical="top" wrapText="1"/>
    </xf>
    <xf numFmtId="0" fontId="27" fillId="0" borderId="27" xfId="0" applyFont="1" applyBorder="1" applyAlignment="1">
      <alignment horizontal="center"/>
    </xf>
    <xf numFmtId="2" fontId="25" fillId="0" borderId="33" xfId="0" applyNumberFormat="1" applyFont="1" applyBorder="1" applyAlignment="1">
      <alignment horizontal="center" vertical="center"/>
    </xf>
    <xf numFmtId="2" fontId="25" fillId="0" borderId="26" xfId="0" applyNumberFormat="1" applyFont="1" applyBorder="1" applyAlignment="1">
      <alignment horizontal="center" vertical="center"/>
    </xf>
    <xf numFmtId="2" fontId="40" fillId="0" borderId="33" xfId="0" applyNumberFormat="1" applyFont="1" applyBorder="1" applyAlignment="1">
      <alignment horizontal="center" vertical="center" wrapText="1"/>
    </xf>
    <xf numFmtId="2" fontId="25" fillId="52" borderId="26" xfId="0" applyNumberFormat="1" applyFont="1" applyFill="1" applyBorder="1" applyAlignment="1">
      <alignment horizontal="center" vertical="center"/>
    </xf>
    <xf numFmtId="2" fontId="32" fillId="0" borderId="33" xfId="0" applyNumberFormat="1" applyFont="1" applyBorder="1" applyAlignment="1">
      <alignment horizontal="center" vertical="center" wrapText="1"/>
    </xf>
    <xf numFmtId="0" fontId="25" fillId="0" borderId="26" xfId="0" applyFont="1" applyBorder="1" applyAlignment="1">
      <alignment/>
    </xf>
    <xf numFmtId="2" fontId="25" fillId="0" borderId="26" xfId="0" applyNumberFormat="1" applyFont="1" applyBorder="1" applyAlignment="1">
      <alignment horizontal="center"/>
    </xf>
    <xf numFmtId="2" fontId="27" fillId="0" borderId="49" xfId="0" applyNumberFormat="1" applyFont="1" applyBorder="1" applyAlignment="1">
      <alignment horizontal="center" vertical="top" wrapText="1"/>
    </xf>
    <xf numFmtId="2" fontId="27" fillId="0" borderId="47" xfId="0" applyNumberFormat="1" applyFont="1" applyBorder="1" applyAlignment="1">
      <alignment horizontal="center" vertical="top" wrapText="1"/>
    </xf>
    <xf numFmtId="2" fontId="25" fillId="0" borderId="27" xfId="0" applyNumberFormat="1" applyFont="1" applyBorder="1" applyAlignment="1">
      <alignment horizontal="center"/>
    </xf>
    <xf numFmtId="2" fontId="25" fillId="0" borderId="47" xfId="0" applyNumberFormat="1" applyFont="1" applyBorder="1" applyAlignment="1">
      <alignment horizontal="center"/>
    </xf>
    <xf numFmtId="3" fontId="25" fillId="0" borderId="80" xfId="100" applyNumberFormat="1" applyFont="1" applyBorder="1" applyAlignment="1">
      <alignment horizontal="right"/>
      <protection/>
    </xf>
    <xf numFmtId="3" fontId="27" fillId="0" borderId="18" xfId="100" applyNumberFormat="1" applyFont="1" applyBorder="1" applyAlignment="1">
      <alignment horizontal="right"/>
      <protection/>
    </xf>
    <xf numFmtId="3" fontId="27" fillId="0" borderId="20" xfId="100" applyNumberFormat="1" applyFont="1" applyBorder="1" applyAlignment="1">
      <alignment horizontal="right"/>
      <protection/>
    </xf>
    <xf numFmtId="3" fontId="25" fillId="0" borderId="81" xfId="100" applyNumberFormat="1" applyFont="1" applyBorder="1" applyAlignment="1">
      <alignment horizontal="right"/>
      <protection/>
    </xf>
    <xf numFmtId="3" fontId="27" fillId="0" borderId="82" xfId="100" applyNumberFormat="1" applyFont="1" applyBorder="1" applyAlignment="1">
      <alignment horizontal="right"/>
      <protection/>
    </xf>
    <xf numFmtId="0" fontId="27" fillId="0" borderId="83" xfId="100" applyFont="1" applyBorder="1" applyAlignment="1">
      <alignment horizontal="center" vertical="center" wrapText="1"/>
      <protection/>
    </xf>
    <xf numFmtId="0" fontId="25" fillId="0" borderId="83" xfId="100" applyFont="1" applyBorder="1">
      <alignment/>
      <protection/>
    </xf>
    <xf numFmtId="3" fontId="27" fillId="0" borderId="18" xfId="0" applyNumberFormat="1" applyFont="1" applyBorder="1" applyAlignment="1">
      <alignment horizontal="right"/>
    </xf>
    <xf numFmtId="3" fontId="27" fillId="0" borderId="20" xfId="0" applyNumberFormat="1" applyFont="1" applyBorder="1" applyAlignment="1">
      <alignment horizontal="right"/>
    </xf>
    <xf numFmtId="0" fontId="27" fillId="0" borderId="47" xfId="102" applyFont="1" applyBorder="1" applyAlignment="1">
      <alignment horizontal="center"/>
      <protection/>
    </xf>
    <xf numFmtId="3" fontId="27" fillId="0" borderId="26" xfId="102" applyNumberFormat="1" applyFont="1" applyBorder="1">
      <alignment/>
      <protection/>
    </xf>
    <xf numFmtId="0" fontId="27" fillId="0" borderId="84" xfId="102" applyFont="1" applyBorder="1" applyAlignment="1">
      <alignment horizontal="left" vertical="center" wrapText="1"/>
      <protection/>
    </xf>
    <xf numFmtId="3" fontId="27" fillId="0" borderId="42" xfId="102" applyNumberFormat="1" applyFont="1" applyBorder="1" applyAlignment="1">
      <alignment horizontal="right" vertical="center"/>
      <protection/>
    </xf>
    <xf numFmtId="3" fontId="25" fillId="0" borderId="49" xfId="102" applyNumberFormat="1" applyFont="1" applyBorder="1" applyAlignment="1">
      <alignment horizontal="right" vertical="center"/>
      <protection/>
    </xf>
    <xf numFmtId="0" fontId="33" fillId="52" borderId="85" xfId="0" applyFont="1" applyFill="1" applyBorder="1" applyAlignment="1">
      <alignment horizontal="center" vertical="center" wrapText="1"/>
    </xf>
    <xf numFmtId="0" fontId="34" fillId="52" borderId="86" xfId="0" applyFont="1" applyFill="1" applyBorder="1" applyAlignment="1">
      <alignment/>
    </xf>
    <xf numFmtId="0" fontId="21" fillId="52" borderId="87" xfId="0" applyFont="1" applyFill="1" applyBorder="1" applyAlignment="1">
      <alignment/>
    </xf>
    <xf numFmtId="0" fontId="35" fillId="52" borderId="87" xfId="0" applyFont="1" applyFill="1" applyBorder="1" applyAlignment="1">
      <alignment/>
    </xf>
    <xf numFmtId="0" fontId="34" fillId="52" borderId="87" xfId="0" applyFont="1" applyFill="1" applyBorder="1" applyAlignment="1">
      <alignment/>
    </xf>
    <xf numFmtId="0" fontId="33" fillId="52" borderId="87" xfId="0" applyFont="1" applyFill="1" applyBorder="1" applyAlignment="1">
      <alignment/>
    </xf>
    <xf numFmtId="0" fontId="21" fillId="52" borderId="87" xfId="0" applyFont="1" applyFill="1" applyBorder="1" applyAlignment="1">
      <alignment/>
    </xf>
    <xf numFmtId="49" fontId="33" fillId="52" borderId="87" xfId="0" applyNumberFormat="1" applyFont="1" applyFill="1" applyBorder="1" applyAlignment="1">
      <alignment vertical="center" wrapText="1"/>
    </xf>
    <xf numFmtId="49" fontId="33" fillId="52" borderId="86" xfId="0" applyNumberFormat="1" applyFont="1" applyFill="1" applyBorder="1" applyAlignment="1">
      <alignment vertical="center" wrapText="1"/>
    </xf>
    <xf numFmtId="49" fontId="33" fillId="52" borderId="87" xfId="0" applyNumberFormat="1" applyFont="1" applyFill="1" applyBorder="1" applyAlignment="1">
      <alignment horizontal="left" wrapText="1"/>
    </xf>
    <xf numFmtId="0" fontId="34" fillId="0" borderId="87" xfId="0" applyFont="1" applyFill="1" applyBorder="1" applyAlignment="1">
      <alignment horizontal="center"/>
    </xf>
    <xf numFmtId="0" fontId="34" fillId="0" borderId="86" xfId="0" applyFont="1" applyFill="1" applyBorder="1" applyAlignment="1">
      <alignment horizontal="center"/>
    </xf>
    <xf numFmtId="0" fontId="33" fillId="0" borderId="86" xfId="0" applyFont="1" applyBorder="1" applyAlignment="1">
      <alignment horizontal="center" vertical="center" wrapText="1"/>
    </xf>
    <xf numFmtId="0" fontId="33" fillId="0" borderId="87" xfId="0" applyFont="1" applyBorder="1" applyAlignment="1">
      <alignment horizontal="center" vertical="center" wrapText="1"/>
    </xf>
    <xf numFmtId="0" fontId="33" fillId="0" borderId="87" xfId="0" applyFont="1" applyFill="1" applyBorder="1" applyAlignment="1">
      <alignment horizontal="center"/>
    </xf>
    <xf numFmtId="0" fontId="33" fillId="0" borderId="88" xfId="0" applyFont="1" applyFill="1" applyBorder="1" applyAlignment="1">
      <alignment horizontal="center"/>
    </xf>
    <xf numFmtId="0" fontId="34" fillId="0" borderId="89" xfId="0" applyFont="1" applyBorder="1" applyAlignment="1">
      <alignment horizontal="center"/>
    </xf>
    <xf numFmtId="49" fontId="34" fillId="52" borderId="13" xfId="0" applyNumberFormat="1" applyFont="1" applyFill="1" applyBorder="1" applyAlignment="1">
      <alignment/>
    </xf>
    <xf numFmtId="3" fontId="34" fillId="52" borderId="26" xfId="0" applyNumberFormat="1" applyFont="1" applyFill="1" applyBorder="1" applyAlignment="1">
      <alignment horizontal="right"/>
    </xf>
    <xf numFmtId="49" fontId="21" fillId="52" borderId="13" xfId="0" applyNumberFormat="1" applyFont="1" applyFill="1" applyBorder="1" applyAlignment="1">
      <alignment/>
    </xf>
    <xf numFmtId="49" fontId="35" fillId="52" borderId="13" xfId="0" applyNumberFormat="1" applyFont="1" applyFill="1" applyBorder="1" applyAlignment="1">
      <alignment/>
    </xf>
    <xf numFmtId="49" fontId="51" fillId="52" borderId="13" xfId="0" applyNumberFormat="1" applyFont="1" applyFill="1" applyBorder="1" applyAlignment="1">
      <alignment/>
    </xf>
    <xf numFmtId="49" fontId="35" fillId="52" borderId="13" xfId="0" applyNumberFormat="1" applyFont="1" applyFill="1" applyBorder="1" applyAlignment="1">
      <alignment/>
    </xf>
    <xf numFmtId="49" fontId="33" fillId="52" borderId="13" xfId="0" applyNumberFormat="1" applyFont="1" applyFill="1" applyBorder="1" applyAlignment="1">
      <alignment/>
    </xf>
    <xf numFmtId="3" fontId="33" fillId="52" borderId="26" xfId="0" applyNumberFormat="1" applyFont="1" applyFill="1" applyBorder="1" applyAlignment="1">
      <alignment horizontal="right"/>
    </xf>
    <xf numFmtId="49" fontId="21" fillId="52" borderId="13" xfId="0" applyNumberFormat="1" applyFont="1" applyFill="1" applyBorder="1" applyAlignment="1">
      <alignment vertical="center" wrapText="1"/>
    </xf>
    <xf numFmtId="49" fontId="33" fillId="52" borderId="13" xfId="0" applyNumberFormat="1" applyFont="1" applyFill="1" applyBorder="1" applyAlignment="1">
      <alignment vertical="center" wrapText="1"/>
    </xf>
    <xf numFmtId="49" fontId="21" fillId="52" borderId="13" xfId="0" applyNumberFormat="1" applyFont="1" applyFill="1" applyBorder="1" applyAlignment="1">
      <alignment/>
    </xf>
    <xf numFmtId="3" fontId="33" fillId="53" borderId="26" xfId="0" applyNumberFormat="1" applyFont="1" applyFill="1" applyBorder="1" applyAlignment="1">
      <alignment horizontal="right"/>
    </xf>
    <xf numFmtId="49" fontId="34" fillId="0" borderId="13" xfId="0" applyNumberFormat="1" applyFont="1" applyFill="1" applyBorder="1" applyAlignment="1">
      <alignment/>
    </xf>
    <xf numFmtId="49" fontId="21" fillId="0" borderId="13" xfId="0" applyNumberFormat="1" applyFont="1" applyBorder="1" applyAlignment="1">
      <alignment horizontal="left" vertical="center"/>
    </xf>
    <xf numFmtId="3" fontId="21" fillId="0" borderId="26" xfId="0" applyNumberFormat="1" applyFont="1" applyBorder="1" applyAlignment="1">
      <alignment/>
    </xf>
    <xf numFmtId="49" fontId="33" fillId="0" borderId="13" xfId="0" applyNumberFormat="1" applyFont="1" applyFill="1" applyBorder="1" applyAlignment="1">
      <alignment/>
    </xf>
    <xf numFmtId="49" fontId="21" fillId="0" borderId="13" xfId="0" applyNumberFormat="1" applyFont="1" applyFill="1" applyBorder="1" applyAlignment="1">
      <alignment/>
    </xf>
    <xf numFmtId="49" fontId="33" fillId="0" borderId="13" xfId="0" applyNumberFormat="1" applyFont="1" applyBorder="1" applyAlignment="1">
      <alignment horizontal="left" vertical="center"/>
    </xf>
    <xf numFmtId="49" fontId="52" fillId="0" borderId="15" xfId="0" applyNumberFormat="1" applyFont="1" applyFill="1" applyBorder="1" applyAlignment="1">
      <alignment/>
    </xf>
    <xf numFmtId="3" fontId="42" fillId="0" borderId="29" xfId="110" applyNumberFormat="1" applyFont="1" applyBorder="1" applyAlignment="1">
      <alignment horizontal="center"/>
      <protection/>
    </xf>
    <xf numFmtId="0" fontId="42" fillId="0" borderId="29" xfId="110" applyFont="1" applyBorder="1" applyAlignment="1">
      <alignment horizontal="center"/>
      <protection/>
    </xf>
    <xf numFmtId="3" fontId="42" fillId="0" borderId="26" xfId="110" applyNumberFormat="1" applyFont="1" applyBorder="1">
      <alignment/>
      <protection/>
    </xf>
    <xf numFmtId="3" fontId="54" fillId="0" borderId="26" xfId="110" applyNumberFormat="1" applyFont="1" applyBorder="1">
      <alignment/>
      <protection/>
    </xf>
    <xf numFmtId="3" fontId="43" fillId="0" borderId="26" xfId="110" applyNumberFormat="1" applyFont="1" applyBorder="1">
      <alignment/>
      <protection/>
    </xf>
    <xf numFmtId="3" fontId="46" fillId="0" borderId="26" xfId="110" applyNumberFormat="1" applyFont="1" applyBorder="1">
      <alignment/>
      <protection/>
    </xf>
    <xf numFmtId="3" fontId="42" fillId="0" borderId="27" xfId="110" applyNumberFormat="1" applyFont="1" applyBorder="1">
      <alignment/>
      <protection/>
    </xf>
    <xf numFmtId="0" fontId="27" fillId="0" borderId="18" xfId="104" applyFont="1" applyFill="1" applyBorder="1" applyAlignment="1">
      <alignment vertical="center" wrapText="1"/>
      <protection/>
    </xf>
    <xf numFmtId="0" fontId="27" fillId="0" borderId="20" xfId="104" applyFont="1" applyFill="1" applyBorder="1" applyAlignment="1">
      <alignment vertical="center" wrapText="1"/>
      <protection/>
    </xf>
    <xf numFmtId="0" fontId="27" fillId="0" borderId="76" xfId="102" applyFont="1" applyBorder="1" applyAlignment="1">
      <alignment horizontal="center" vertical="center"/>
      <protection/>
    </xf>
    <xf numFmtId="3" fontId="27" fillId="0" borderId="90" xfId="102" applyNumberFormat="1" applyFont="1" applyBorder="1">
      <alignment/>
      <protection/>
    </xf>
    <xf numFmtId="0" fontId="25" fillId="0" borderId="84" xfId="102" applyFont="1" applyBorder="1" applyAlignment="1">
      <alignment horizontal="left" vertical="center" wrapText="1"/>
      <protection/>
    </xf>
    <xf numFmtId="3" fontId="27" fillId="0" borderId="53" xfId="102" applyNumberFormat="1" applyFont="1" applyBorder="1" applyAlignment="1">
      <alignment horizontal="right" vertical="center"/>
      <protection/>
    </xf>
    <xf numFmtId="0" fontId="27" fillId="0" borderId="22" xfId="102" applyFont="1" applyBorder="1" applyAlignment="1">
      <alignment wrapText="1"/>
      <protection/>
    </xf>
    <xf numFmtId="0" fontId="25" fillId="0" borderId="22" xfId="102" applyFont="1" applyBorder="1" applyAlignment="1">
      <alignment wrapText="1"/>
      <protection/>
    </xf>
    <xf numFmtId="0" fontId="25" fillId="0" borderId="23" xfId="102" applyFont="1" applyBorder="1" applyAlignment="1">
      <alignment wrapText="1"/>
      <protection/>
    </xf>
    <xf numFmtId="3" fontId="27" fillId="0" borderId="53" xfId="102" applyNumberFormat="1" applyFont="1" applyBorder="1">
      <alignment/>
      <protection/>
    </xf>
    <xf numFmtId="3" fontId="27" fillId="0" borderId="29" xfId="102" applyNumberFormat="1" applyFont="1" applyBorder="1">
      <alignment/>
      <protection/>
    </xf>
    <xf numFmtId="3" fontId="27" fillId="0" borderId="91" xfId="100" applyNumberFormat="1" applyFont="1" applyBorder="1" applyAlignment="1">
      <alignment horizontal="right"/>
      <protection/>
    </xf>
    <xf numFmtId="3" fontId="27" fillId="0" borderId="21" xfId="100" applyNumberFormat="1" applyFont="1" applyBorder="1" applyAlignment="1">
      <alignment horizontal="right"/>
      <protection/>
    </xf>
    <xf numFmtId="0" fontId="27" fillId="0" borderId="0" xfId="101" applyFont="1" applyBorder="1" applyAlignment="1">
      <alignment wrapText="1"/>
      <protection/>
    </xf>
    <xf numFmtId="3" fontId="42" fillId="0" borderId="32" xfId="0" applyNumberFormat="1" applyFont="1" applyBorder="1" applyAlignment="1">
      <alignment/>
    </xf>
    <xf numFmtId="3" fontId="42" fillId="0" borderId="31" xfId="0" applyNumberFormat="1" applyFont="1" applyBorder="1" applyAlignment="1">
      <alignment/>
    </xf>
    <xf numFmtId="3" fontId="29" fillId="0" borderId="32" xfId="0" applyNumberFormat="1" applyFont="1" applyBorder="1" applyAlignment="1">
      <alignment/>
    </xf>
    <xf numFmtId="3" fontId="29" fillId="0" borderId="0" xfId="0" applyNumberFormat="1" applyFont="1" applyBorder="1" applyAlignment="1">
      <alignment/>
    </xf>
    <xf numFmtId="3" fontId="29" fillId="0" borderId="31" xfId="0" applyNumberFormat="1" applyFont="1" applyBorder="1" applyAlignment="1">
      <alignment/>
    </xf>
    <xf numFmtId="0" fontId="25" fillId="0" borderId="0" xfId="101" applyFont="1" applyBorder="1">
      <alignment/>
      <protection/>
    </xf>
    <xf numFmtId="0" fontId="27" fillId="0" borderId="84" xfId="101" applyFont="1" applyBorder="1" applyAlignment="1">
      <alignment wrapText="1"/>
      <protection/>
    </xf>
    <xf numFmtId="0" fontId="32" fillId="0" borderId="84" xfId="101" applyFont="1" applyBorder="1" applyAlignment="1">
      <alignment wrapText="1"/>
      <protection/>
    </xf>
    <xf numFmtId="0" fontId="25" fillId="0" borderId="84" xfId="101" applyFont="1" applyBorder="1" applyAlignment="1">
      <alignment wrapText="1"/>
      <protection/>
    </xf>
    <xf numFmtId="3" fontId="64" fillId="0" borderId="0" xfId="0" applyNumberFormat="1" applyFont="1" applyFill="1" applyBorder="1" applyAlignment="1">
      <alignment horizontal="center"/>
    </xf>
    <xf numFmtId="49" fontId="21" fillId="52" borderId="13" xfId="0" applyNumberFormat="1" applyFont="1" applyFill="1" applyBorder="1" applyAlignment="1">
      <alignment horizontal="left" vertical="center"/>
    </xf>
    <xf numFmtId="0" fontId="21" fillId="52" borderId="26" xfId="0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34" fillId="0" borderId="0" xfId="0" applyFont="1" applyFill="1" applyAlignment="1">
      <alignment/>
    </xf>
    <xf numFmtId="0" fontId="32" fillId="0" borderId="0" xfId="99" applyFont="1" applyFill="1" applyBorder="1" applyAlignment="1">
      <alignment horizontal="center"/>
      <protection/>
    </xf>
    <xf numFmtId="3" fontId="25" fillId="0" borderId="28" xfId="99" applyNumberFormat="1" applyFont="1" applyFill="1" applyBorder="1">
      <alignment/>
      <protection/>
    </xf>
    <xf numFmtId="3" fontId="2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50" fillId="0" borderId="26" xfId="0" applyNumberFormat="1" applyFont="1" applyBorder="1" applyAlignment="1">
      <alignment/>
    </xf>
    <xf numFmtId="3" fontId="22" fillId="0" borderId="26" xfId="0" applyNumberFormat="1" applyFont="1" applyBorder="1" applyAlignment="1">
      <alignment/>
    </xf>
    <xf numFmtId="3" fontId="20" fillId="0" borderId="48" xfId="0" applyNumberFormat="1" applyFont="1" applyBorder="1" applyAlignment="1">
      <alignment horizontal="center" vertical="center" wrapText="1"/>
    </xf>
    <xf numFmtId="3" fontId="22" fillId="0" borderId="79" xfId="0" applyNumberFormat="1" applyFont="1" applyBorder="1" applyAlignment="1">
      <alignment/>
    </xf>
    <xf numFmtId="3" fontId="22" fillId="0" borderId="79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2" fillId="0" borderId="79" xfId="0" applyNumberFormat="1" applyFont="1" applyBorder="1" applyAlignment="1">
      <alignment horizontal="right" wrapText="1"/>
    </xf>
    <xf numFmtId="3" fontId="20" fillId="0" borderId="79" xfId="0" applyNumberFormat="1" applyFont="1" applyBorder="1" applyAlignment="1">
      <alignment horizontal="right" wrapText="1"/>
    </xf>
    <xf numFmtId="0" fontId="20" fillId="0" borderId="58" xfId="106" applyFont="1" applyBorder="1" applyAlignment="1">
      <alignment wrapText="1"/>
      <protection/>
    </xf>
    <xf numFmtId="0" fontId="20" fillId="0" borderId="57" xfId="106" applyFont="1" applyBorder="1" applyAlignment="1">
      <alignment horizontal="left" wrapText="1"/>
      <protection/>
    </xf>
    <xf numFmtId="0" fontId="20" fillId="0" borderId="59" xfId="106" applyFont="1" applyBorder="1" applyAlignment="1">
      <alignment wrapText="1"/>
      <protection/>
    </xf>
    <xf numFmtId="0" fontId="22" fillId="0" borderId="59" xfId="106" applyFont="1" applyBorder="1" applyAlignment="1">
      <alignment wrapText="1"/>
      <protection/>
    </xf>
    <xf numFmtId="0" fontId="40" fillId="0" borderId="59" xfId="108" applyFont="1" applyBorder="1" applyAlignment="1">
      <alignment wrapText="1"/>
      <protection/>
    </xf>
    <xf numFmtId="49" fontId="40" fillId="0" borderId="59" xfId="108" applyNumberFormat="1" applyFont="1" applyBorder="1" applyAlignment="1">
      <alignment wrapText="1"/>
      <protection/>
    </xf>
    <xf numFmtId="0" fontId="22" fillId="0" borderId="59" xfId="111" applyFont="1" applyBorder="1" applyAlignment="1">
      <alignment wrapText="1" shrinkToFit="1"/>
      <protection/>
    </xf>
    <xf numFmtId="0" fontId="50" fillId="0" borderId="59" xfId="111" applyFont="1" applyBorder="1" applyAlignment="1">
      <alignment wrapText="1" shrinkToFit="1"/>
      <protection/>
    </xf>
    <xf numFmtId="49" fontId="22" fillId="0" borderId="59" xfId="106" applyNumberFormat="1" applyFont="1" applyBorder="1" applyAlignment="1">
      <alignment wrapText="1"/>
      <protection/>
    </xf>
    <xf numFmtId="0" fontId="50" fillId="0" borderId="59" xfId="106" applyFont="1" applyBorder="1" applyAlignment="1">
      <alignment wrapText="1"/>
      <protection/>
    </xf>
    <xf numFmtId="0" fontId="50" fillId="0" borderId="62" xfId="106" applyFont="1" applyBorder="1" applyAlignment="1">
      <alignment wrapText="1"/>
      <protection/>
    </xf>
    <xf numFmtId="0" fontId="22" fillId="0" borderId="55" xfId="106" applyFont="1" applyBorder="1" applyAlignment="1">
      <alignment wrapText="1"/>
      <protection/>
    </xf>
    <xf numFmtId="0" fontId="20" fillId="0" borderId="92" xfId="106" applyFont="1" applyBorder="1" applyAlignment="1">
      <alignment wrapText="1"/>
      <protection/>
    </xf>
    <xf numFmtId="3" fontId="20" fillId="0" borderId="93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20" fillId="0" borderId="48" xfId="0" applyNumberFormat="1" applyFont="1" applyBorder="1" applyAlignment="1">
      <alignment/>
    </xf>
    <xf numFmtId="3" fontId="20" fillId="0" borderId="79" xfId="0" applyNumberFormat="1" applyFont="1" applyBorder="1" applyAlignment="1">
      <alignment/>
    </xf>
    <xf numFmtId="3" fontId="50" fillId="0" borderId="79" xfId="0" applyNumberFormat="1" applyFont="1" applyBorder="1" applyAlignment="1">
      <alignment/>
    </xf>
    <xf numFmtId="3" fontId="20" fillId="0" borderId="58" xfId="106" applyNumberFormat="1" applyFont="1" applyBorder="1">
      <alignment/>
      <protection/>
    </xf>
    <xf numFmtId="3" fontId="27" fillId="0" borderId="93" xfId="101" applyNumberFormat="1" applyFont="1" applyBorder="1" applyAlignment="1">
      <alignment horizontal="center" vertical="center"/>
      <protection/>
    </xf>
    <xf numFmtId="3" fontId="25" fillId="0" borderId="79" xfId="101" applyNumberFormat="1" applyFont="1" applyBorder="1">
      <alignment/>
      <protection/>
    </xf>
    <xf numFmtId="3" fontId="27" fillId="0" borderId="79" xfId="101" applyNumberFormat="1" applyFont="1" applyBorder="1">
      <alignment/>
      <protection/>
    </xf>
    <xf numFmtId="3" fontId="32" fillId="0" borderId="79" xfId="101" applyNumberFormat="1" applyFont="1" applyBorder="1">
      <alignment/>
      <protection/>
    </xf>
    <xf numFmtId="3" fontId="27" fillId="0" borderId="48" xfId="101" applyNumberFormat="1" applyFont="1" applyBorder="1">
      <alignment/>
      <protection/>
    </xf>
    <xf numFmtId="0" fontId="27" fillId="0" borderId="94" xfId="0" applyFont="1" applyBorder="1" applyAlignment="1">
      <alignment horizontal="center" vertical="center"/>
    </xf>
    <xf numFmtId="3" fontId="25" fillId="0" borderId="75" xfId="0" applyNumberFormat="1" applyFont="1" applyBorder="1" applyAlignment="1">
      <alignment/>
    </xf>
    <xf numFmtId="3" fontId="27" fillId="0" borderId="75" xfId="0" applyNumberFormat="1" applyFont="1" applyBorder="1" applyAlignment="1">
      <alignment horizontal="right"/>
    </xf>
    <xf numFmtId="3" fontId="27" fillId="0" borderId="95" xfId="0" applyNumberFormat="1" applyFont="1" applyBorder="1" applyAlignment="1">
      <alignment horizontal="right"/>
    </xf>
    <xf numFmtId="0" fontId="25" fillId="0" borderId="75" xfId="0" applyFont="1" applyBorder="1" applyAlignment="1">
      <alignment/>
    </xf>
    <xf numFmtId="0" fontId="27" fillId="0" borderId="75" xfId="0" applyFont="1" applyBorder="1" applyAlignment="1">
      <alignment/>
    </xf>
    <xf numFmtId="3" fontId="25" fillId="0" borderId="79" xfId="101" applyNumberFormat="1" applyFont="1" applyBorder="1" applyAlignment="1">
      <alignment/>
      <protection/>
    </xf>
    <xf numFmtId="3" fontId="26" fillId="0" borderId="79" xfId="101" applyNumberFormat="1" applyFont="1" applyBorder="1">
      <alignment/>
      <protection/>
    </xf>
    <xf numFmtId="3" fontId="25" fillId="0" borderId="26" xfId="101" applyNumberFormat="1" applyFont="1" applyBorder="1" applyAlignment="1">
      <alignment/>
      <protection/>
    </xf>
    <xf numFmtId="3" fontId="32" fillId="0" borderId="79" xfId="101" applyNumberFormat="1" applyFont="1" applyBorder="1" applyAlignment="1">
      <alignment/>
      <protection/>
    </xf>
    <xf numFmtId="3" fontId="27" fillId="0" borderId="79" xfId="101" applyNumberFormat="1" applyFont="1" applyBorder="1" applyAlignment="1">
      <alignment/>
      <protection/>
    </xf>
    <xf numFmtId="3" fontId="32" fillId="0" borderId="26" xfId="101" applyNumberFormat="1" applyFont="1" applyBorder="1" applyAlignment="1">
      <alignment/>
      <protection/>
    </xf>
    <xf numFmtId="3" fontId="27" fillId="0" borderId="26" xfId="101" applyNumberFormat="1" applyFont="1" applyBorder="1" applyAlignment="1">
      <alignment/>
      <protection/>
    </xf>
    <xf numFmtId="2" fontId="25" fillId="0" borderId="78" xfId="0" applyNumberFormat="1" applyFont="1" applyBorder="1" applyAlignment="1">
      <alignment horizontal="center" vertical="center"/>
    </xf>
    <xf numFmtId="2" fontId="25" fillId="0" borderId="79" xfId="0" applyNumberFormat="1" applyFont="1" applyBorder="1" applyAlignment="1">
      <alignment horizontal="center" vertical="center"/>
    </xf>
    <xf numFmtId="0" fontId="27" fillId="0" borderId="53" xfId="102" applyFont="1" applyBorder="1" applyAlignment="1">
      <alignment horizontal="center"/>
      <protection/>
    </xf>
    <xf numFmtId="3" fontId="27" fillId="0" borderId="51" xfId="102" applyNumberFormat="1" applyFont="1" applyBorder="1">
      <alignment/>
      <protection/>
    </xf>
    <xf numFmtId="3" fontId="27" fillId="0" borderId="93" xfId="102" applyNumberFormat="1" applyFont="1" applyBorder="1" applyAlignment="1">
      <alignment horizontal="right" vertical="center"/>
      <protection/>
    </xf>
    <xf numFmtId="3" fontId="27" fillId="0" borderId="45" xfId="102" applyNumberFormat="1" applyFont="1" applyBorder="1" applyAlignment="1">
      <alignment horizontal="right" vertical="center"/>
      <protection/>
    </xf>
    <xf numFmtId="0" fontId="21" fillId="0" borderId="26" xfId="0" applyFont="1" applyFill="1" applyBorder="1" applyAlignment="1">
      <alignment/>
    </xf>
    <xf numFmtId="3" fontId="28" fillId="0" borderId="26" xfId="0" applyNumberFormat="1" applyFont="1" applyFill="1" applyBorder="1" applyAlignment="1">
      <alignment/>
    </xf>
    <xf numFmtId="3" fontId="21" fillId="0" borderId="26" xfId="0" applyNumberFormat="1" applyFont="1" applyFill="1" applyBorder="1" applyAlignment="1">
      <alignment/>
    </xf>
    <xf numFmtId="3" fontId="33" fillId="0" borderId="26" xfId="0" applyNumberFormat="1" applyFont="1" applyFill="1" applyBorder="1" applyAlignment="1">
      <alignment/>
    </xf>
    <xf numFmtId="0" fontId="42" fillId="0" borderId="93" xfId="110" applyFont="1" applyBorder="1" applyAlignment="1">
      <alignment horizontal="center"/>
      <protection/>
    </xf>
    <xf numFmtId="3" fontId="27" fillId="0" borderId="96" xfId="0" applyNumberFormat="1" applyFont="1" applyBorder="1" applyAlignment="1">
      <alignment/>
    </xf>
    <xf numFmtId="3" fontId="27" fillId="0" borderId="70" xfId="0" applyNumberFormat="1" applyFont="1" applyBorder="1" applyAlignment="1">
      <alignment/>
    </xf>
    <xf numFmtId="3" fontId="27" fillId="0" borderId="97" xfId="0" applyNumberFormat="1" applyFont="1" applyBorder="1" applyAlignment="1">
      <alignment/>
    </xf>
    <xf numFmtId="3" fontId="27" fillId="0" borderId="98" xfId="0" applyNumberFormat="1" applyFont="1" applyBorder="1" applyAlignment="1">
      <alignment/>
    </xf>
    <xf numFmtId="3" fontId="27" fillId="0" borderId="99" xfId="0" applyNumberFormat="1" applyFont="1" applyBorder="1" applyAlignment="1">
      <alignment/>
    </xf>
    <xf numFmtId="0" fontId="25" fillId="0" borderId="96" xfId="0" applyFont="1" applyBorder="1" applyAlignment="1">
      <alignment/>
    </xf>
    <xf numFmtId="0" fontId="25" fillId="0" borderId="70" xfId="0" applyFont="1" applyBorder="1" applyAlignment="1">
      <alignment/>
    </xf>
    <xf numFmtId="0" fontId="25" fillId="0" borderId="97" xfId="0" applyFont="1" applyBorder="1" applyAlignment="1">
      <alignment/>
    </xf>
    <xf numFmtId="3" fontId="27" fillId="0" borderId="100" xfId="100" applyNumberFormat="1" applyFont="1" applyBorder="1" applyAlignment="1">
      <alignment horizontal="right"/>
      <protection/>
    </xf>
    <xf numFmtId="3" fontId="27" fillId="0" borderId="101" xfId="0" applyNumberFormat="1" applyFont="1" applyBorder="1" applyAlignment="1">
      <alignment/>
    </xf>
    <xf numFmtId="3" fontId="27" fillId="0" borderId="18" xfId="0" applyNumberFormat="1" applyFont="1" applyBorder="1" applyAlignment="1">
      <alignment/>
    </xf>
    <xf numFmtId="3" fontId="27" fillId="0" borderId="102" xfId="0" applyNumberFormat="1" applyFont="1" applyBorder="1" applyAlignment="1">
      <alignment/>
    </xf>
    <xf numFmtId="3" fontId="27" fillId="0" borderId="20" xfId="99" applyNumberFormat="1" applyFont="1" applyFill="1" applyBorder="1">
      <alignment/>
      <protection/>
    </xf>
    <xf numFmtId="3" fontId="27" fillId="0" borderId="93" xfId="101" applyNumberFormat="1" applyFont="1" applyBorder="1" applyAlignment="1">
      <alignment horizontal="center"/>
      <protection/>
    </xf>
    <xf numFmtId="49" fontId="25" fillId="0" borderId="20" xfId="99" applyNumberFormat="1" applyFont="1" applyFill="1" applyBorder="1" applyAlignment="1">
      <alignment horizontal="center"/>
      <protection/>
    </xf>
    <xf numFmtId="0" fontId="25" fillId="0" borderId="20" xfId="99" applyFont="1" applyFill="1" applyBorder="1" applyAlignment="1">
      <alignment/>
      <protection/>
    </xf>
    <xf numFmtId="3" fontId="27" fillId="0" borderId="21" xfId="99" applyNumberFormat="1" applyFont="1" applyFill="1" applyBorder="1">
      <alignment/>
      <protection/>
    </xf>
    <xf numFmtId="3" fontId="25" fillId="0" borderId="21" xfId="99" applyNumberFormat="1" applyFont="1" applyFill="1" applyBorder="1">
      <alignment/>
      <protection/>
    </xf>
    <xf numFmtId="3" fontId="27" fillId="0" borderId="18" xfId="99" applyNumberFormat="1" applyFont="1" applyFill="1" applyBorder="1" applyAlignment="1">
      <alignment horizontal="right" vertical="center"/>
      <protection/>
    </xf>
    <xf numFmtId="3" fontId="25" fillId="0" borderId="18" xfId="99" applyNumberFormat="1" applyFont="1" applyFill="1" applyBorder="1" applyAlignment="1">
      <alignment horizontal="right" vertical="center"/>
      <protection/>
    </xf>
    <xf numFmtId="0" fontId="45" fillId="0" borderId="21" xfId="99" applyFont="1" applyFill="1" applyBorder="1" applyAlignment="1">
      <alignment horizontal="left"/>
      <protection/>
    </xf>
    <xf numFmtId="0" fontId="45" fillId="0" borderId="103" xfId="99" applyFont="1" applyFill="1" applyBorder="1">
      <alignment/>
      <protection/>
    </xf>
    <xf numFmtId="0" fontId="45" fillId="0" borderId="19" xfId="99" applyFont="1" applyFill="1" applyBorder="1">
      <alignment/>
      <protection/>
    </xf>
    <xf numFmtId="3" fontId="27" fillId="0" borderId="52" xfId="99" applyNumberFormat="1" applyFont="1" applyFill="1" applyBorder="1">
      <alignment/>
      <protection/>
    </xf>
    <xf numFmtId="2" fontId="40" fillId="0" borderId="26" xfId="0" applyNumberFormat="1" applyFont="1" applyBorder="1" applyAlignment="1">
      <alignment horizontal="center" vertical="center"/>
    </xf>
    <xf numFmtId="2" fontId="40" fillId="0" borderId="79" xfId="0" applyNumberFormat="1" applyFont="1" applyBorder="1" applyAlignment="1">
      <alignment horizontal="center" vertical="center"/>
    </xf>
    <xf numFmtId="0" fontId="25" fillId="0" borderId="104" xfId="99" applyFont="1" applyFill="1" applyBorder="1">
      <alignment/>
      <protection/>
    </xf>
    <xf numFmtId="49" fontId="25" fillId="0" borderId="105" xfId="99" applyNumberFormat="1" applyFont="1" applyFill="1" applyBorder="1" applyAlignment="1">
      <alignment horizontal="center"/>
      <protection/>
    </xf>
    <xf numFmtId="0" fontId="25" fillId="0" borderId="105" xfId="99" applyFont="1" applyFill="1" applyBorder="1" applyAlignment="1">
      <alignment/>
      <protection/>
    </xf>
    <xf numFmtId="3" fontId="27" fillId="0" borderId="105" xfId="99" applyNumberFormat="1" applyFont="1" applyFill="1" applyBorder="1">
      <alignment/>
      <protection/>
    </xf>
    <xf numFmtId="0" fontId="27" fillId="0" borderId="105" xfId="99" applyFont="1" applyFill="1" applyBorder="1" applyAlignment="1">
      <alignment horizontal="left"/>
      <protection/>
    </xf>
    <xf numFmtId="3" fontId="27" fillId="0" borderId="105" xfId="99" applyNumberFormat="1" applyFont="1" applyFill="1" applyBorder="1" applyAlignment="1">
      <alignment/>
      <protection/>
    </xf>
    <xf numFmtId="0" fontId="25" fillId="0" borderId="26" xfId="99" applyFont="1" applyFill="1" applyBorder="1" applyAlignment="1">
      <alignment horizontal="right"/>
      <protection/>
    </xf>
    <xf numFmtId="0" fontId="25" fillId="0" borderId="26" xfId="99" applyFont="1" applyFill="1" applyBorder="1">
      <alignment/>
      <protection/>
    </xf>
    <xf numFmtId="0" fontId="27" fillId="0" borderId="26" xfId="99" applyFont="1" applyFill="1" applyBorder="1" applyAlignment="1">
      <alignment horizontal="left"/>
      <protection/>
    </xf>
    <xf numFmtId="3" fontId="27" fillId="0" borderId="26" xfId="99" applyNumberFormat="1" applyFont="1" applyFill="1" applyBorder="1" applyAlignment="1">
      <alignment/>
      <protection/>
    </xf>
    <xf numFmtId="0" fontId="25" fillId="0" borderId="106" xfId="99" applyFont="1" applyFill="1" applyBorder="1">
      <alignment/>
      <protection/>
    </xf>
    <xf numFmtId="49" fontId="25" fillId="0" borderId="21" xfId="99" applyNumberFormat="1" applyFont="1" applyFill="1" applyBorder="1" applyAlignment="1">
      <alignment horizontal="center"/>
      <protection/>
    </xf>
    <xf numFmtId="0" fontId="25" fillId="0" borderId="21" xfId="99" applyFont="1" applyFill="1" applyBorder="1" applyAlignment="1">
      <alignment wrapText="1"/>
      <protection/>
    </xf>
    <xf numFmtId="0" fontId="25" fillId="0" borderId="21" xfId="99" applyFont="1" applyFill="1" applyBorder="1" applyAlignment="1">
      <alignment horizontal="left"/>
      <protection/>
    </xf>
    <xf numFmtId="0" fontId="25" fillId="0" borderId="103" xfId="99" applyFont="1" applyFill="1" applyBorder="1">
      <alignment/>
      <protection/>
    </xf>
    <xf numFmtId="49" fontId="25" fillId="0" borderId="102" xfId="99" applyNumberFormat="1" applyFont="1" applyFill="1" applyBorder="1" applyAlignment="1">
      <alignment horizontal="center"/>
      <protection/>
    </xf>
    <xf numFmtId="0" fontId="25" fillId="0" borderId="102" xfId="99" applyFont="1" applyFill="1" applyBorder="1" applyAlignment="1">
      <alignment/>
      <protection/>
    </xf>
    <xf numFmtId="3" fontId="27" fillId="0" borderId="102" xfId="99" applyNumberFormat="1" applyFont="1" applyFill="1" applyBorder="1">
      <alignment/>
      <protection/>
    </xf>
    <xf numFmtId="3" fontId="25" fillId="0" borderId="102" xfId="99" applyNumberFormat="1" applyFont="1" applyFill="1" applyBorder="1" applyAlignment="1">
      <alignment horizontal="right"/>
      <protection/>
    </xf>
    <xf numFmtId="49" fontId="25" fillId="0" borderId="83" xfId="99" applyNumberFormat="1" applyFont="1" applyFill="1" applyBorder="1" applyAlignment="1">
      <alignment horizontal="center"/>
      <protection/>
    </xf>
    <xf numFmtId="0" fontId="25" fillId="0" borderId="107" xfId="99" applyFont="1" applyFill="1" applyBorder="1" applyAlignment="1">
      <alignment/>
      <protection/>
    </xf>
    <xf numFmtId="0" fontId="25" fillId="0" borderId="105" xfId="99" applyFont="1" applyFill="1" applyBorder="1" applyAlignment="1">
      <alignment horizontal="right"/>
      <protection/>
    </xf>
    <xf numFmtId="0" fontId="25" fillId="0" borderId="105" xfId="99" applyFont="1" applyFill="1" applyBorder="1">
      <alignment/>
      <protection/>
    </xf>
    <xf numFmtId="0" fontId="47" fillId="0" borderId="105" xfId="99" applyFont="1" applyFill="1" applyBorder="1" applyAlignment="1">
      <alignment horizontal="left"/>
      <protection/>
    </xf>
    <xf numFmtId="3" fontId="27" fillId="0" borderId="105" xfId="99" applyNumberFormat="1" applyFont="1" applyFill="1" applyBorder="1" applyAlignment="1">
      <alignment horizontal="right"/>
      <protection/>
    </xf>
    <xf numFmtId="3" fontId="27" fillId="0" borderId="108" xfId="99" applyNumberFormat="1" applyFont="1" applyFill="1" applyBorder="1" applyAlignment="1">
      <alignment horizontal="right"/>
      <protection/>
    </xf>
    <xf numFmtId="0" fontId="45" fillId="0" borderId="104" xfId="99" applyFont="1" applyFill="1" applyBorder="1">
      <alignment/>
      <protection/>
    </xf>
    <xf numFmtId="3" fontId="27" fillId="0" borderId="108" xfId="99" applyNumberFormat="1" applyFont="1" applyFill="1" applyBorder="1">
      <alignment/>
      <protection/>
    </xf>
    <xf numFmtId="0" fontId="25" fillId="0" borderId="17" xfId="104" applyFont="1" applyFill="1" applyBorder="1" applyAlignment="1">
      <alignment horizontal="center" vertical="center" wrapText="1"/>
      <protection/>
    </xf>
    <xf numFmtId="0" fontId="27" fillId="0" borderId="17" xfId="104" applyFont="1" applyFill="1" applyBorder="1" applyAlignment="1">
      <alignment horizontal="center" vertical="center" wrapText="1"/>
      <protection/>
    </xf>
    <xf numFmtId="0" fontId="47" fillId="0" borderId="17" xfId="104" applyFont="1" applyFill="1" applyBorder="1" applyAlignment="1">
      <alignment horizontal="center" vertical="center"/>
      <protection/>
    </xf>
    <xf numFmtId="0" fontId="25" fillId="0" borderId="17" xfId="104" applyFont="1" applyFill="1" applyBorder="1">
      <alignment/>
      <protection/>
    </xf>
    <xf numFmtId="0" fontId="25" fillId="0" borderId="17" xfId="104" applyFont="1" applyFill="1" applyBorder="1" applyAlignment="1">
      <alignment horizontal="left" vertical="center" wrapText="1"/>
      <protection/>
    </xf>
    <xf numFmtId="3" fontId="27" fillId="0" borderId="17" xfId="104" applyNumberFormat="1" applyFont="1" applyFill="1" applyBorder="1" applyAlignment="1">
      <alignment horizontal="left" vertical="center"/>
      <protection/>
    </xf>
    <xf numFmtId="3" fontId="27" fillId="0" borderId="94" xfId="101" applyNumberFormat="1" applyFont="1" applyBorder="1" applyAlignment="1">
      <alignment horizontal="center" vertical="center"/>
      <protection/>
    </xf>
    <xf numFmtId="3" fontId="25" fillId="0" borderId="75" xfId="101" applyNumberFormat="1" applyFont="1" applyBorder="1">
      <alignment/>
      <protection/>
    </xf>
    <xf numFmtId="3" fontId="27" fillId="0" borderId="75" xfId="101" applyNumberFormat="1" applyFont="1" applyBorder="1">
      <alignment/>
      <protection/>
    </xf>
    <xf numFmtId="3" fontId="32" fillId="0" borderId="75" xfId="101" applyNumberFormat="1" applyFont="1" applyBorder="1">
      <alignment/>
      <protection/>
    </xf>
    <xf numFmtId="3" fontId="27" fillId="0" borderId="95" xfId="101" applyNumberFormat="1" applyFont="1" applyBorder="1">
      <alignment/>
      <protection/>
    </xf>
    <xf numFmtId="3" fontId="27" fillId="0" borderId="49" xfId="101" applyNumberFormat="1" applyFont="1" applyBorder="1">
      <alignment/>
      <protection/>
    </xf>
    <xf numFmtId="3" fontId="32" fillId="0" borderId="49" xfId="101" applyNumberFormat="1" applyFont="1" applyBorder="1">
      <alignment/>
      <protection/>
    </xf>
    <xf numFmtId="3" fontId="25" fillId="0" borderId="49" xfId="101" applyNumberFormat="1" applyFont="1" applyBorder="1">
      <alignment/>
      <protection/>
    </xf>
    <xf numFmtId="3" fontId="25" fillId="0" borderId="75" xfId="0" applyNumberFormat="1" applyFont="1" applyBorder="1" applyAlignment="1">
      <alignment horizontal="right" vertical="center"/>
    </xf>
    <xf numFmtId="3" fontId="25" fillId="0" borderId="75" xfId="0" applyNumberFormat="1" applyFont="1" applyBorder="1" applyAlignment="1">
      <alignment horizontal="right"/>
    </xf>
    <xf numFmtId="2" fontId="40" fillId="0" borderId="78" xfId="0" applyNumberFormat="1" applyFont="1" applyBorder="1" applyAlignment="1">
      <alignment horizontal="center" vertical="center" wrapText="1"/>
    </xf>
    <xf numFmtId="2" fontId="25" fillId="52" borderId="79" xfId="0" applyNumberFormat="1" applyFont="1" applyFill="1" applyBorder="1" applyAlignment="1">
      <alignment horizontal="center" vertical="center"/>
    </xf>
    <xf numFmtId="2" fontId="25" fillId="0" borderId="109" xfId="0" applyNumberFormat="1" applyFont="1" applyBorder="1" applyAlignment="1">
      <alignment horizontal="center"/>
    </xf>
    <xf numFmtId="2" fontId="25" fillId="0" borderId="34" xfId="0" applyNumberFormat="1" applyFont="1" applyBorder="1" applyAlignment="1">
      <alignment horizontal="center"/>
    </xf>
    <xf numFmtId="2" fontId="25" fillId="0" borderId="31" xfId="0" applyNumberFormat="1" applyFont="1" applyBorder="1" applyAlignment="1">
      <alignment horizontal="center"/>
    </xf>
    <xf numFmtId="3" fontId="27" fillId="0" borderId="93" xfId="102" applyNumberFormat="1" applyFont="1" applyBorder="1">
      <alignment/>
      <protection/>
    </xf>
    <xf numFmtId="3" fontId="25" fillId="0" borderId="78" xfId="102" applyNumberFormat="1" applyFont="1" applyBorder="1">
      <alignment/>
      <protection/>
    </xf>
    <xf numFmtId="3" fontId="27" fillId="0" borderId="79" xfId="102" applyNumberFormat="1" applyFont="1" applyBorder="1">
      <alignment/>
      <protection/>
    </xf>
    <xf numFmtId="3" fontId="25" fillId="0" borderId="79" xfId="102" applyNumberFormat="1" applyFont="1" applyBorder="1">
      <alignment/>
      <protection/>
    </xf>
    <xf numFmtId="3" fontId="25" fillId="0" borderId="90" xfId="102" applyNumberFormat="1" applyFont="1" applyBorder="1">
      <alignment/>
      <protection/>
    </xf>
    <xf numFmtId="3" fontId="25" fillId="0" borderId="27" xfId="102" applyNumberFormat="1" applyFont="1" applyBorder="1">
      <alignment/>
      <protection/>
    </xf>
    <xf numFmtId="3" fontId="25" fillId="0" borderId="48" xfId="102" applyNumberFormat="1" applyFont="1" applyBorder="1">
      <alignment/>
      <protection/>
    </xf>
    <xf numFmtId="3" fontId="25" fillId="0" borderId="79" xfId="102" applyNumberFormat="1" applyFont="1" applyBorder="1" applyAlignment="1">
      <alignment horizontal="right" vertical="center"/>
      <protection/>
    </xf>
    <xf numFmtId="3" fontId="25" fillId="0" borderId="45" xfId="102" applyNumberFormat="1" applyFont="1" applyBorder="1" applyAlignment="1">
      <alignment horizontal="right" vertical="center"/>
      <protection/>
    </xf>
    <xf numFmtId="0" fontId="27" fillId="0" borderId="110" xfId="102" applyFont="1" applyBorder="1" applyAlignment="1">
      <alignment horizontal="center"/>
      <protection/>
    </xf>
    <xf numFmtId="3" fontId="27" fillId="0" borderId="111" xfId="102" applyNumberFormat="1" applyFont="1" applyBorder="1">
      <alignment/>
      <protection/>
    </xf>
    <xf numFmtId="3" fontId="27" fillId="0" borderId="110" xfId="102" applyNumberFormat="1" applyFont="1" applyBorder="1" applyAlignment="1">
      <alignment horizontal="right" vertical="center"/>
      <protection/>
    </xf>
    <xf numFmtId="3" fontId="27" fillId="0" borderId="94" xfId="102" applyNumberFormat="1" applyFont="1" applyBorder="1" applyAlignment="1">
      <alignment horizontal="right" vertical="center"/>
      <protection/>
    </xf>
    <xf numFmtId="3" fontId="27" fillId="0" borderId="112" xfId="102" applyNumberFormat="1" applyFont="1" applyBorder="1" applyAlignment="1">
      <alignment horizontal="right" vertical="center"/>
      <protection/>
    </xf>
    <xf numFmtId="0" fontId="21" fillId="0" borderId="113" xfId="0" applyFont="1" applyFill="1" applyBorder="1" applyAlignment="1">
      <alignment/>
    </xf>
    <xf numFmtId="3" fontId="34" fillId="52" borderId="35" xfId="0" applyNumberFormat="1" applyFont="1" applyFill="1" applyBorder="1" applyAlignment="1">
      <alignment horizontal="right"/>
    </xf>
    <xf numFmtId="3" fontId="21" fillId="0" borderId="35" xfId="0" applyNumberFormat="1" applyFont="1" applyFill="1" applyBorder="1" applyAlignment="1">
      <alignment/>
    </xf>
    <xf numFmtId="3" fontId="28" fillId="0" borderId="35" xfId="0" applyNumberFormat="1" applyFont="1" applyFill="1" applyBorder="1" applyAlignment="1">
      <alignment/>
    </xf>
    <xf numFmtId="3" fontId="21" fillId="0" borderId="35" xfId="0" applyNumberFormat="1" applyFont="1" applyFill="1" applyBorder="1" applyAlignment="1">
      <alignment/>
    </xf>
    <xf numFmtId="3" fontId="33" fillId="0" borderId="35" xfId="0" applyNumberFormat="1" applyFont="1" applyFill="1" applyBorder="1" applyAlignment="1">
      <alignment/>
    </xf>
    <xf numFmtId="3" fontId="33" fillId="52" borderId="35" xfId="0" applyNumberFormat="1" applyFont="1" applyFill="1" applyBorder="1" applyAlignment="1">
      <alignment horizontal="right"/>
    </xf>
    <xf numFmtId="3" fontId="34" fillId="0" borderId="35" xfId="0" applyNumberFormat="1" applyFont="1" applyBorder="1" applyAlignment="1">
      <alignment horizontal="right"/>
    </xf>
    <xf numFmtId="3" fontId="34" fillId="0" borderId="35" xfId="0" applyNumberFormat="1" applyFont="1" applyFill="1" applyBorder="1" applyAlignment="1">
      <alignment/>
    </xf>
    <xf numFmtId="3" fontId="33" fillId="0" borderId="39" xfId="0" applyNumberFormat="1" applyFont="1" applyFill="1" applyBorder="1" applyAlignment="1">
      <alignment/>
    </xf>
    <xf numFmtId="0" fontId="21" fillId="0" borderId="32" xfId="0" applyFont="1" applyFill="1" applyBorder="1" applyAlignment="1">
      <alignment/>
    </xf>
    <xf numFmtId="0" fontId="34" fillId="0" borderId="32" xfId="0" applyFont="1" applyFill="1" applyBorder="1" applyAlignment="1">
      <alignment/>
    </xf>
    <xf numFmtId="3" fontId="42" fillId="0" borderId="79" xfId="110" applyNumberFormat="1" applyFont="1" applyBorder="1">
      <alignment/>
      <protection/>
    </xf>
    <xf numFmtId="3" fontId="54" fillId="0" borderId="79" xfId="110" applyNumberFormat="1" applyFont="1" applyBorder="1">
      <alignment/>
      <protection/>
    </xf>
    <xf numFmtId="3" fontId="43" fillId="0" borderId="79" xfId="110" applyNumberFormat="1" applyFont="1" applyBorder="1">
      <alignment/>
      <protection/>
    </xf>
    <xf numFmtId="3" fontId="46" fillId="0" borderId="79" xfId="110" applyNumberFormat="1" applyFont="1" applyBorder="1">
      <alignment/>
      <protection/>
    </xf>
    <xf numFmtId="3" fontId="42" fillId="0" borderId="48" xfId="110" applyNumberFormat="1" applyFont="1" applyBorder="1">
      <alignment/>
      <protection/>
    </xf>
    <xf numFmtId="0" fontId="25" fillId="0" borderId="114" xfId="99" applyFont="1" applyFill="1" applyBorder="1">
      <alignment/>
      <protection/>
    </xf>
    <xf numFmtId="0" fontId="25" fillId="0" borderId="115" xfId="99" applyFont="1" applyFill="1" applyBorder="1">
      <alignment/>
      <protection/>
    </xf>
    <xf numFmtId="3" fontId="27" fillId="0" borderId="28" xfId="99" applyNumberFormat="1" applyFont="1" applyFill="1" applyBorder="1" applyAlignment="1" quotePrefix="1">
      <alignment/>
      <protection/>
    </xf>
    <xf numFmtId="3" fontId="27" fillId="0" borderId="28" xfId="99" applyNumberFormat="1" applyFont="1" applyFill="1" applyBorder="1" applyAlignment="1">
      <alignment/>
      <protection/>
    </xf>
    <xf numFmtId="3" fontId="27" fillId="0" borderId="108" xfId="99" applyNumberFormat="1" applyFont="1" applyFill="1" applyBorder="1" applyAlignment="1">
      <alignment/>
      <protection/>
    </xf>
    <xf numFmtId="0" fontId="25" fillId="0" borderId="116" xfId="99" applyFont="1" applyFill="1" applyBorder="1">
      <alignment/>
      <protection/>
    </xf>
    <xf numFmtId="3" fontId="27" fillId="0" borderId="117" xfId="99" applyNumberFormat="1" applyFont="1" applyFill="1" applyBorder="1" applyAlignment="1">
      <alignment/>
      <protection/>
    </xf>
    <xf numFmtId="0" fontId="25" fillId="0" borderId="118" xfId="99" applyFont="1" applyFill="1" applyBorder="1">
      <alignment/>
      <protection/>
    </xf>
    <xf numFmtId="0" fontId="25" fillId="0" borderId="119" xfId="99" applyFont="1" applyFill="1" applyBorder="1" applyAlignment="1">
      <alignment horizontal="right"/>
      <protection/>
    </xf>
    <xf numFmtId="0" fontId="25" fillId="0" borderId="119" xfId="99" applyFont="1" applyFill="1" applyBorder="1">
      <alignment/>
      <protection/>
    </xf>
    <xf numFmtId="0" fontId="27" fillId="0" borderId="119" xfId="99" applyFont="1" applyFill="1" applyBorder="1" applyAlignment="1">
      <alignment horizontal="left"/>
      <protection/>
    </xf>
    <xf numFmtId="0" fontId="25" fillId="0" borderId="20" xfId="99" applyFont="1" applyFill="1" applyBorder="1" applyAlignment="1">
      <alignment horizontal="left"/>
      <protection/>
    </xf>
    <xf numFmtId="0" fontId="25" fillId="0" borderId="21" xfId="99" applyFont="1" applyFill="1" applyBorder="1" applyAlignment="1">
      <alignment/>
      <protection/>
    </xf>
    <xf numFmtId="3" fontId="25" fillId="0" borderId="21" xfId="99" applyNumberFormat="1" applyFont="1" applyFill="1" applyBorder="1" applyAlignment="1">
      <alignment horizontal="right"/>
      <protection/>
    </xf>
    <xf numFmtId="0" fontId="25" fillId="0" borderId="21" xfId="99" applyFont="1" applyFill="1" applyBorder="1" applyAlignment="1">
      <alignment horizontal="right"/>
      <protection/>
    </xf>
    <xf numFmtId="3" fontId="25" fillId="0" borderId="102" xfId="99" applyNumberFormat="1" applyFont="1" applyFill="1" applyBorder="1">
      <alignment/>
      <protection/>
    </xf>
    <xf numFmtId="0" fontId="29" fillId="52" borderId="26" xfId="0" applyFont="1" applyFill="1" applyBorder="1" applyAlignment="1">
      <alignment horizontal="center" vertical="center" wrapText="1"/>
    </xf>
    <xf numFmtId="3" fontId="34" fillId="52" borderId="32" xfId="0" applyNumberFormat="1" applyFont="1" applyFill="1" applyBorder="1" applyAlignment="1">
      <alignment horizontal="right"/>
    </xf>
    <xf numFmtId="3" fontId="21" fillId="0" borderId="32" xfId="0" applyNumberFormat="1" applyFont="1" applyFill="1" applyBorder="1" applyAlignment="1">
      <alignment/>
    </xf>
    <xf numFmtId="3" fontId="28" fillId="0" borderId="32" xfId="0" applyNumberFormat="1" applyFont="1" applyFill="1" applyBorder="1" applyAlignment="1">
      <alignment/>
    </xf>
    <xf numFmtId="3" fontId="21" fillId="0" borderId="32" xfId="0" applyNumberFormat="1" applyFont="1" applyFill="1" applyBorder="1" applyAlignment="1">
      <alignment/>
    </xf>
    <xf numFmtId="3" fontId="33" fillId="0" borderId="32" xfId="0" applyNumberFormat="1" applyFont="1" applyFill="1" applyBorder="1" applyAlignment="1">
      <alignment/>
    </xf>
    <xf numFmtId="3" fontId="33" fillId="52" borderId="32" xfId="0" applyNumberFormat="1" applyFont="1" applyFill="1" applyBorder="1" applyAlignment="1">
      <alignment horizontal="right"/>
    </xf>
    <xf numFmtId="3" fontId="34" fillId="0" borderId="32" xfId="0" applyNumberFormat="1" applyFont="1" applyBorder="1" applyAlignment="1">
      <alignment horizontal="right"/>
    </xf>
    <xf numFmtId="3" fontId="33" fillId="0" borderId="31" xfId="0" applyNumberFormat="1" applyFont="1" applyFill="1" applyBorder="1" applyAlignment="1">
      <alignment/>
    </xf>
    <xf numFmtId="0" fontId="59" fillId="52" borderId="0" xfId="101" applyFont="1" applyFill="1" applyAlignment="1">
      <alignment wrapText="1"/>
      <protection/>
    </xf>
    <xf numFmtId="0" fontId="59" fillId="52" borderId="0" xfId="101" applyFont="1" applyFill="1">
      <alignment/>
      <protection/>
    </xf>
    <xf numFmtId="3" fontId="59" fillId="52" borderId="0" xfId="101" applyNumberFormat="1" applyFont="1" applyFill="1">
      <alignment/>
      <protection/>
    </xf>
    <xf numFmtId="0" fontId="61" fillId="52" borderId="14" xfId="101" applyFont="1" applyFill="1" applyBorder="1" applyAlignment="1">
      <alignment wrapText="1"/>
      <protection/>
    </xf>
    <xf numFmtId="3" fontId="61" fillId="52" borderId="29" xfId="101" applyNumberFormat="1" applyFont="1" applyFill="1" applyBorder="1" applyAlignment="1">
      <alignment horizontal="center"/>
      <protection/>
    </xf>
    <xf numFmtId="3" fontId="61" fillId="52" borderId="93" xfId="101" applyNumberFormat="1" applyFont="1" applyFill="1" applyBorder="1" applyAlignment="1">
      <alignment horizontal="center"/>
      <protection/>
    </xf>
    <xf numFmtId="0" fontId="61" fillId="52" borderId="0" xfId="101" applyFont="1" applyFill="1">
      <alignment/>
      <protection/>
    </xf>
    <xf numFmtId="0" fontId="59" fillId="52" borderId="13" xfId="101" applyFont="1" applyFill="1" applyBorder="1" applyAlignment="1">
      <alignment wrapText="1"/>
      <protection/>
    </xf>
    <xf numFmtId="3" fontId="59" fillId="52" borderId="26" xfId="101" applyNumberFormat="1" applyFont="1" applyFill="1" applyBorder="1">
      <alignment/>
      <protection/>
    </xf>
    <xf numFmtId="3" fontId="59" fillId="52" borderId="79" xfId="101" applyNumberFormat="1" applyFont="1" applyFill="1" applyBorder="1">
      <alignment/>
      <protection/>
    </xf>
    <xf numFmtId="0" fontId="61" fillId="52" borderId="13" xfId="101" applyFont="1" applyFill="1" applyBorder="1" applyAlignment="1">
      <alignment wrapText="1"/>
      <protection/>
    </xf>
    <xf numFmtId="3" fontId="61" fillId="52" borderId="26" xfId="101" applyNumberFormat="1" applyFont="1" applyFill="1" applyBorder="1">
      <alignment/>
      <protection/>
    </xf>
    <xf numFmtId="3" fontId="61" fillId="52" borderId="79" xfId="101" applyNumberFormat="1" applyFont="1" applyFill="1" applyBorder="1">
      <alignment/>
      <protection/>
    </xf>
    <xf numFmtId="0" fontId="59" fillId="52" borderId="15" xfId="101" applyFont="1" applyFill="1" applyBorder="1" applyAlignment="1">
      <alignment wrapText="1"/>
      <protection/>
    </xf>
    <xf numFmtId="3" fontId="59" fillId="52" borderId="27" xfId="101" applyNumberFormat="1" applyFont="1" applyFill="1" applyBorder="1">
      <alignment/>
      <protection/>
    </xf>
    <xf numFmtId="3" fontId="59" fillId="52" borderId="48" xfId="101" applyNumberFormat="1" applyFont="1" applyFill="1" applyBorder="1">
      <alignment/>
      <protection/>
    </xf>
    <xf numFmtId="0" fontId="62" fillId="52" borderId="13" xfId="101" applyFont="1" applyFill="1" applyBorder="1" applyAlignment="1">
      <alignment wrapText="1"/>
      <protection/>
    </xf>
    <xf numFmtId="3" fontId="62" fillId="52" borderId="26" xfId="101" applyNumberFormat="1" applyFont="1" applyFill="1" applyBorder="1">
      <alignment/>
      <protection/>
    </xf>
    <xf numFmtId="3" fontId="62" fillId="52" borderId="79" xfId="101" applyNumberFormat="1" applyFont="1" applyFill="1" applyBorder="1">
      <alignment/>
      <protection/>
    </xf>
    <xf numFmtId="0" fontId="59" fillId="52" borderId="13" xfId="101" applyFont="1" applyFill="1" applyBorder="1" applyAlignment="1">
      <alignment horizontal="left" wrapText="1"/>
      <protection/>
    </xf>
    <xf numFmtId="0" fontId="62" fillId="52" borderId="0" xfId="101" applyFont="1" applyFill="1">
      <alignment/>
      <protection/>
    </xf>
    <xf numFmtId="0" fontId="59" fillId="52" borderId="84" xfId="101" applyFont="1" applyFill="1" applyBorder="1" applyAlignment="1">
      <alignment wrapText="1"/>
      <protection/>
    </xf>
    <xf numFmtId="3" fontId="59" fillId="52" borderId="49" xfId="101" applyNumberFormat="1" applyFont="1" applyFill="1" applyBorder="1">
      <alignment/>
      <protection/>
    </xf>
    <xf numFmtId="3" fontId="59" fillId="52" borderId="45" xfId="101" applyNumberFormat="1" applyFont="1" applyFill="1" applyBorder="1">
      <alignment/>
      <protection/>
    </xf>
    <xf numFmtId="0" fontId="63" fillId="52" borderId="0" xfId="101" applyFont="1" applyFill="1">
      <alignment/>
      <protection/>
    </xf>
    <xf numFmtId="0" fontId="63" fillId="52" borderId="15" xfId="101" applyFont="1" applyFill="1" applyBorder="1" applyAlignment="1">
      <alignment wrapText="1"/>
      <protection/>
    </xf>
    <xf numFmtId="3" fontId="61" fillId="52" borderId="27" xfId="101" applyNumberFormat="1" applyFont="1" applyFill="1" applyBorder="1">
      <alignment/>
      <protection/>
    </xf>
    <xf numFmtId="3" fontId="61" fillId="52" borderId="48" xfId="101" applyNumberFormat="1" applyFont="1" applyFill="1" applyBorder="1">
      <alignment/>
      <protection/>
    </xf>
    <xf numFmtId="3" fontId="65" fillId="0" borderId="0" xfId="0" applyNumberFormat="1" applyFont="1" applyFill="1" applyBorder="1" applyAlignment="1">
      <alignment horizontal="center" vertical="center"/>
    </xf>
    <xf numFmtId="0" fontId="65" fillId="0" borderId="0" xfId="0" applyFont="1" applyFill="1" applyBorder="1" applyAlignment="1">
      <alignment horizontal="center" vertical="center"/>
    </xf>
    <xf numFmtId="0" fontId="65" fillId="0" borderId="0" xfId="0" applyFont="1" applyFill="1" applyAlignment="1">
      <alignment/>
    </xf>
    <xf numFmtId="3" fontId="49" fillId="0" borderId="18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Alignment="1">
      <alignment/>
    </xf>
    <xf numFmtId="183" fontId="49" fillId="0" borderId="18" xfId="0" applyNumberFormat="1" applyFont="1" applyFill="1" applyBorder="1" applyAlignment="1">
      <alignment horizontal="center" vertical="center" wrapText="1"/>
    </xf>
    <xf numFmtId="3" fontId="49" fillId="0" borderId="120" xfId="0" applyNumberFormat="1" applyFont="1" applyFill="1" applyBorder="1" applyAlignment="1">
      <alignment horizontal="center" vertical="center" wrapText="1"/>
    </xf>
    <xf numFmtId="3" fontId="65" fillId="0" borderId="18" xfId="0" applyNumberFormat="1" applyFont="1" applyFill="1" applyBorder="1" applyAlignment="1">
      <alignment horizontal="left" vertical="center" wrapText="1"/>
    </xf>
    <xf numFmtId="3" fontId="65" fillId="0" borderId="18" xfId="0" applyNumberFormat="1" applyFont="1" applyFill="1" applyBorder="1" applyAlignment="1">
      <alignment vertical="center" wrapText="1"/>
    </xf>
    <xf numFmtId="183" fontId="65" fillId="0" borderId="18" xfId="0" applyNumberFormat="1" applyFont="1" applyFill="1" applyBorder="1" applyAlignment="1">
      <alignment vertical="center"/>
    </xf>
    <xf numFmtId="3" fontId="65" fillId="0" borderId="18" xfId="0" applyNumberFormat="1" applyFont="1" applyFill="1" applyBorder="1" applyAlignment="1">
      <alignment vertical="center"/>
    </xf>
    <xf numFmtId="183" fontId="65" fillId="0" borderId="0" xfId="0" applyNumberFormat="1" applyFont="1" applyFill="1" applyAlignment="1">
      <alignment/>
    </xf>
    <xf numFmtId="3" fontId="49" fillId="0" borderId="18" xfId="0" applyNumberFormat="1" applyFont="1" applyFill="1" applyBorder="1" applyAlignment="1">
      <alignment horizontal="left" vertical="center" wrapText="1"/>
    </xf>
    <xf numFmtId="3" fontId="49" fillId="0" borderId="18" xfId="0" applyNumberFormat="1" applyFont="1" applyFill="1" applyBorder="1" applyAlignment="1">
      <alignment vertical="center" wrapText="1"/>
    </xf>
    <xf numFmtId="183" fontId="49" fillId="0" borderId="18" xfId="0" applyNumberFormat="1" applyFont="1" applyFill="1" applyBorder="1" applyAlignment="1">
      <alignment vertical="center"/>
    </xf>
    <xf numFmtId="3" fontId="49" fillId="0" borderId="18" xfId="0" applyNumberFormat="1" applyFont="1" applyFill="1" applyBorder="1" applyAlignment="1">
      <alignment vertical="center"/>
    </xf>
    <xf numFmtId="3" fontId="49" fillId="0" borderId="0" xfId="0" applyNumberFormat="1" applyFont="1" applyFill="1" applyAlignment="1">
      <alignment/>
    </xf>
    <xf numFmtId="0" fontId="49" fillId="0" borderId="0" xfId="0" applyFont="1" applyFill="1" applyAlignment="1">
      <alignment/>
    </xf>
    <xf numFmtId="3" fontId="65" fillId="0" borderId="107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 vertical="center"/>
    </xf>
    <xf numFmtId="3" fontId="49" fillId="0" borderId="21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/>
    </xf>
    <xf numFmtId="3" fontId="65" fillId="0" borderId="28" xfId="0" applyNumberFormat="1" applyFont="1" applyFill="1" applyBorder="1" applyAlignment="1">
      <alignment vertical="center"/>
    </xf>
    <xf numFmtId="3" fontId="49" fillId="0" borderId="28" xfId="0" applyNumberFormat="1" applyFont="1" applyFill="1" applyBorder="1" applyAlignment="1">
      <alignment vertical="center"/>
    </xf>
    <xf numFmtId="3" fontId="49" fillId="0" borderId="20" xfId="0" applyNumberFormat="1" applyFont="1" applyFill="1" applyBorder="1" applyAlignment="1">
      <alignment horizontal="left" vertical="center" wrapText="1"/>
    </xf>
    <xf numFmtId="3" fontId="49" fillId="0" borderId="20" xfId="0" applyNumberFormat="1" applyFont="1" applyFill="1" applyBorder="1" applyAlignment="1">
      <alignment vertical="center"/>
    </xf>
    <xf numFmtId="3" fontId="49" fillId="0" borderId="52" xfId="0" applyNumberFormat="1" applyFont="1" applyFill="1" applyBorder="1" applyAlignment="1">
      <alignment vertical="center"/>
    </xf>
    <xf numFmtId="3" fontId="49" fillId="0" borderId="107" xfId="0" applyNumberFormat="1" applyFont="1" applyFill="1" applyBorder="1" applyAlignment="1">
      <alignment vertical="center"/>
    </xf>
    <xf numFmtId="183" fontId="65" fillId="0" borderId="107" xfId="0" applyNumberFormat="1" applyFont="1" applyFill="1" applyBorder="1" applyAlignment="1">
      <alignment vertical="center"/>
    </xf>
    <xf numFmtId="3" fontId="65" fillId="0" borderId="21" xfId="0" applyNumberFormat="1" applyFont="1" applyFill="1" applyBorder="1" applyAlignment="1">
      <alignment horizontal="left" vertical="center" wrapText="1"/>
    </xf>
    <xf numFmtId="3" fontId="65" fillId="0" borderId="21" xfId="0" applyNumberFormat="1" applyFont="1" applyFill="1" applyBorder="1" applyAlignment="1">
      <alignment vertical="center" wrapText="1"/>
    </xf>
    <xf numFmtId="3" fontId="49" fillId="0" borderId="21" xfId="0" applyNumberFormat="1" applyFont="1" applyFill="1" applyBorder="1" applyAlignment="1">
      <alignment vertical="center"/>
    </xf>
    <xf numFmtId="3" fontId="65" fillId="0" borderId="21" xfId="0" applyNumberFormat="1" applyFont="1" applyFill="1" applyBorder="1" applyAlignment="1">
      <alignment vertical="center"/>
    </xf>
    <xf numFmtId="3" fontId="65" fillId="0" borderId="103" xfId="0" applyNumberFormat="1" applyFont="1" applyFill="1" applyBorder="1" applyAlignment="1">
      <alignment vertical="center"/>
    </xf>
    <xf numFmtId="183" fontId="65" fillId="0" borderId="28" xfId="0" applyNumberFormat="1" applyFont="1" applyFill="1" applyBorder="1" applyAlignment="1">
      <alignment vertical="center"/>
    </xf>
    <xf numFmtId="3" fontId="49" fillId="0" borderId="20" xfId="0" applyNumberFormat="1" applyFont="1" applyFill="1" applyBorder="1" applyAlignment="1">
      <alignment vertical="center" wrapText="1"/>
    </xf>
    <xf numFmtId="183" fontId="65" fillId="0" borderId="20" xfId="0" applyNumberFormat="1" applyFont="1" applyFill="1" applyBorder="1" applyAlignment="1">
      <alignment vertical="center"/>
    </xf>
    <xf numFmtId="183" fontId="65" fillId="0" borderId="52" xfId="0" applyNumberFormat="1" applyFont="1" applyFill="1" applyBorder="1" applyAlignment="1">
      <alignment vertical="center"/>
    </xf>
    <xf numFmtId="3" fontId="65" fillId="0" borderId="0" xfId="0" applyNumberFormat="1" applyFont="1" applyFill="1" applyBorder="1" applyAlignment="1">
      <alignment/>
    </xf>
    <xf numFmtId="183" fontId="65" fillId="0" borderId="0" xfId="0" applyNumberFormat="1" applyFont="1" applyFill="1" applyBorder="1" applyAlignment="1">
      <alignment/>
    </xf>
    <xf numFmtId="183" fontId="49" fillId="0" borderId="20" xfId="0" applyNumberFormat="1" applyFont="1" applyFill="1" applyBorder="1" applyAlignment="1">
      <alignment vertical="center"/>
    </xf>
    <xf numFmtId="183" fontId="49" fillId="0" borderId="52" xfId="0" applyNumberFormat="1" applyFont="1" applyFill="1" applyBorder="1" applyAlignment="1">
      <alignment vertical="center"/>
    </xf>
    <xf numFmtId="183" fontId="65" fillId="0" borderId="21" xfId="0" applyNumberFormat="1" applyFont="1" applyFill="1" applyBorder="1" applyAlignment="1">
      <alignment vertical="center"/>
    </xf>
    <xf numFmtId="183" fontId="49" fillId="0" borderId="28" xfId="0" applyNumberFormat="1" applyFont="1" applyFill="1" applyBorder="1" applyAlignment="1">
      <alignment vertical="center"/>
    </xf>
    <xf numFmtId="3" fontId="27" fillId="0" borderId="32" xfId="101" applyNumberFormat="1" applyFont="1" applyBorder="1">
      <alignment/>
      <protection/>
    </xf>
    <xf numFmtId="3" fontId="25" fillId="0" borderId="32" xfId="101" applyNumberFormat="1" applyFont="1" applyBorder="1" applyAlignment="1">
      <alignment/>
      <protection/>
    </xf>
    <xf numFmtId="3" fontId="27" fillId="0" borderId="20" xfId="99" applyNumberFormat="1" applyFont="1" applyFill="1" applyBorder="1" applyAlignment="1">
      <alignment horizontal="right"/>
      <protection/>
    </xf>
    <xf numFmtId="0" fontId="47" fillId="0" borderId="20" xfId="99" applyFont="1" applyFill="1" applyBorder="1" applyAlignment="1">
      <alignment horizontal="left"/>
      <protection/>
    </xf>
    <xf numFmtId="3" fontId="27" fillId="0" borderId="52" xfId="99" applyNumberFormat="1" applyFont="1" applyFill="1" applyBorder="1" applyAlignment="1">
      <alignment horizontal="right"/>
      <protection/>
    </xf>
    <xf numFmtId="3" fontId="32" fillId="0" borderId="32" xfId="101" applyNumberFormat="1" applyFont="1" applyBorder="1">
      <alignment/>
      <protection/>
    </xf>
    <xf numFmtId="0" fontId="27" fillId="0" borderId="107" xfId="0" applyFont="1" applyBorder="1" applyAlignment="1">
      <alignment horizontal="center" vertical="center" wrapText="1"/>
    </xf>
    <xf numFmtId="0" fontId="0" fillId="0" borderId="107" xfId="0" applyBorder="1" applyAlignment="1">
      <alignment/>
    </xf>
    <xf numFmtId="3" fontId="27" fillId="0" borderId="107" xfId="0" applyNumberFormat="1" applyFont="1" applyBorder="1" applyAlignment="1">
      <alignment horizontal="right"/>
    </xf>
    <xf numFmtId="3" fontId="27" fillId="0" borderId="121" xfId="0" applyNumberFormat="1" applyFont="1" applyBorder="1" applyAlignment="1">
      <alignment horizontal="right"/>
    </xf>
    <xf numFmtId="3" fontId="25" fillId="0" borderId="18" xfId="0" applyNumberFormat="1" applyFont="1" applyBorder="1" applyAlignment="1">
      <alignment horizontal="right"/>
    </xf>
    <xf numFmtId="3" fontId="25" fillId="0" borderId="20" xfId="0" applyNumberFormat="1" applyFont="1" applyBorder="1" applyAlignment="1">
      <alignment horizontal="right"/>
    </xf>
    <xf numFmtId="3" fontId="25" fillId="0" borderId="122" xfId="100" applyNumberFormat="1" applyFont="1" applyBorder="1" applyAlignment="1">
      <alignment horizontal="right"/>
      <protection/>
    </xf>
    <xf numFmtId="3" fontId="20" fillId="0" borderId="32" xfId="0" applyNumberFormat="1" applyFont="1" applyBorder="1" applyAlignment="1">
      <alignment/>
    </xf>
    <xf numFmtId="0" fontId="20" fillId="0" borderId="22" xfId="0" applyFont="1" applyBorder="1" applyAlignment="1">
      <alignment/>
    </xf>
    <xf numFmtId="0" fontId="22" fillId="0" borderId="33" xfId="0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33" xfId="0" applyNumberFormat="1" applyFont="1" applyBorder="1" applyAlignment="1">
      <alignment/>
    </xf>
    <xf numFmtId="3" fontId="20" fillId="0" borderId="78" xfId="0" applyNumberFormat="1" applyFont="1" applyBorder="1" applyAlignment="1">
      <alignment/>
    </xf>
    <xf numFmtId="0" fontId="20" fillId="0" borderId="27" xfId="0" applyFont="1" applyBorder="1" applyAlignment="1">
      <alignment horizontal="center"/>
    </xf>
    <xf numFmtId="0" fontId="20" fillId="0" borderId="48" xfId="0" applyFont="1" applyBorder="1" applyAlignment="1">
      <alignment horizontal="center"/>
    </xf>
    <xf numFmtId="3" fontId="22" fillId="0" borderId="92" xfId="106" applyNumberFormat="1" applyFont="1" applyBorder="1">
      <alignment/>
      <protection/>
    </xf>
    <xf numFmtId="0" fontId="20" fillId="0" borderId="92" xfId="106" applyFont="1" applyBorder="1" applyAlignment="1">
      <alignment wrapText="1"/>
      <protection/>
    </xf>
    <xf numFmtId="3" fontId="20" fillId="0" borderId="92" xfId="106" applyNumberFormat="1" applyFont="1" applyBorder="1">
      <alignment/>
      <protection/>
    </xf>
    <xf numFmtId="0" fontId="22" fillId="0" borderId="60" xfId="106" applyFont="1" applyBorder="1" applyAlignment="1">
      <alignment wrapText="1"/>
      <protection/>
    </xf>
    <xf numFmtId="3" fontId="22" fillId="0" borderId="56" xfId="106" applyNumberFormat="1" applyFont="1" applyBorder="1">
      <alignment/>
      <protection/>
    </xf>
    <xf numFmtId="3" fontId="27" fillId="0" borderId="16" xfId="99" applyNumberFormat="1" applyFont="1" applyFill="1" applyBorder="1">
      <alignment/>
      <protection/>
    </xf>
    <xf numFmtId="3" fontId="27" fillId="0" borderId="119" xfId="99" applyNumberFormat="1" applyFont="1" applyFill="1" applyBorder="1" applyAlignment="1">
      <alignment/>
      <protection/>
    </xf>
    <xf numFmtId="3" fontId="27" fillId="0" borderId="123" xfId="99" applyNumberFormat="1" applyFont="1" applyFill="1" applyBorder="1" applyAlignment="1">
      <alignment/>
      <protection/>
    </xf>
    <xf numFmtId="0" fontId="25" fillId="0" borderId="14" xfId="101" applyFont="1" applyBorder="1" applyAlignment="1">
      <alignment wrapText="1"/>
      <protection/>
    </xf>
    <xf numFmtId="3" fontId="25" fillId="0" borderId="29" xfId="101" applyNumberFormat="1" applyFont="1" applyBorder="1">
      <alignment/>
      <protection/>
    </xf>
    <xf numFmtId="3" fontId="25" fillId="0" borderId="29" xfId="101" applyNumberFormat="1" applyFont="1" applyBorder="1" applyAlignment="1">
      <alignment/>
      <protection/>
    </xf>
    <xf numFmtId="3" fontId="25" fillId="0" borderId="37" xfId="101" applyNumberFormat="1" applyFont="1" applyBorder="1" applyAlignment="1">
      <alignment/>
      <protection/>
    </xf>
    <xf numFmtId="0" fontId="25" fillId="0" borderId="15" xfId="101" applyFont="1" applyBorder="1" applyAlignment="1">
      <alignment wrapText="1"/>
      <protection/>
    </xf>
    <xf numFmtId="3" fontId="25" fillId="0" borderId="27" xfId="101" applyNumberFormat="1" applyFont="1" applyBorder="1">
      <alignment/>
      <protection/>
    </xf>
    <xf numFmtId="3" fontId="25" fillId="0" borderId="27" xfId="101" applyNumberFormat="1" applyFont="1" applyBorder="1" applyAlignment="1">
      <alignment/>
      <protection/>
    </xf>
    <xf numFmtId="3" fontId="25" fillId="0" borderId="31" xfId="101" applyNumberFormat="1" applyFont="1" applyBorder="1" applyAlignment="1">
      <alignment/>
      <protection/>
    </xf>
    <xf numFmtId="0" fontId="59" fillId="52" borderId="14" xfId="101" applyFont="1" applyFill="1" applyBorder="1" applyAlignment="1">
      <alignment wrapText="1"/>
      <protection/>
    </xf>
    <xf numFmtId="3" fontId="59" fillId="52" borderId="29" xfId="101" applyNumberFormat="1" applyFont="1" applyFill="1" applyBorder="1">
      <alignment/>
      <protection/>
    </xf>
    <xf numFmtId="3" fontId="59" fillId="52" borderId="93" xfId="101" applyNumberFormat="1" applyFont="1" applyFill="1" applyBorder="1">
      <alignment/>
      <protection/>
    </xf>
    <xf numFmtId="3" fontId="20" fillId="0" borderId="26" xfId="0" applyNumberFormat="1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0" fontId="22" fillId="0" borderId="13" xfId="0" applyFont="1" applyFill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2" fillId="0" borderId="79" xfId="0" applyNumberFormat="1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0" fontId="20" fillId="0" borderId="13" xfId="0" applyFont="1" applyFill="1" applyBorder="1" applyAlignment="1">
      <alignment/>
    </xf>
    <xf numFmtId="0" fontId="33" fillId="0" borderId="26" xfId="0" applyFont="1" applyFill="1" applyBorder="1" applyAlignment="1">
      <alignment/>
    </xf>
    <xf numFmtId="3" fontId="20" fillId="0" borderId="26" xfId="0" applyNumberFormat="1" applyFont="1" applyFill="1" applyBorder="1" applyAlignment="1">
      <alignment/>
    </xf>
    <xf numFmtId="0" fontId="20" fillId="0" borderId="26" xfId="0" applyFont="1" applyFill="1" applyBorder="1" applyAlignment="1">
      <alignment/>
    </xf>
    <xf numFmtId="0" fontId="33" fillId="0" borderId="13" xfId="0" applyFont="1" applyFill="1" applyBorder="1" applyAlignment="1">
      <alignment/>
    </xf>
    <xf numFmtId="0" fontId="20" fillId="0" borderId="13" xfId="0" applyFont="1" applyFill="1" applyBorder="1" applyAlignment="1">
      <alignment/>
    </xf>
    <xf numFmtId="3" fontId="20" fillId="0" borderId="32" xfId="0" applyNumberFormat="1" applyFont="1" applyFill="1" applyBorder="1" applyAlignment="1">
      <alignment/>
    </xf>
    <xf numFmtId="3" fontId="20" fillId="0" borderId="27" xfId="0" applyNumberFormat="1" applyFont="1" applyFill="1" applyBorder="1" applyAlignment="1">
      <alignment/>
    </xf>
    <xf numFmtId="3" fontId="20" fillId="0" borderId="48" xfId="0" applyNumberFormat="1" applyFont="1" applyFill="1" applyBorder="1" applyAlignment="1">
      <alignment/>
    </xf>
    <xf numFmtId="0" fontId="22" fillId="0" borderId="26" xfId="0" applyFont="1" applyFill="1" applyBorder="1" applyAlignment="1">
      <alignment/>
    </xf>
    <xf numFmtId="3" fontId="22" fillId="0" borderId="26" xfId="0" applyNumberFormat="1" applyFont="1" applyFill="1" applyBorder="1" applyAlignment="1">
      <alignment/>
    </xf>
    <xf numFmtId="3" fontId="20" fillId="0" borderId="79" xfId="0" applyNumberFormat="1" applyFont="1" applyFill="1" applyBorder="1" applyAlignment="1">
      <alignment/>
    </xf>
    <xf numFmtId="0" fontId="20" fillId="0" borderId="59" xfId="106" applyFont="1" applyFill="1" applyBorder="1" applyAlignment="1">
      <alignment wrapText="1"/>
      <protection/>
    </xf>
    <xf numFmtId="3" fontId="20" fillId="0" borderId="59" xfId="106" applyNumberFormat="1" applyFont="1" applyFill="1" applyBorder="1">
      <alignment/>
      <protection/>
    </xf>
    <xf numFmtId="3" fontId="20" fillId="0" borderId="60" xfId="106" applyNumberFormat="1" applyFont="1" applyFill="1" applyBorder="1">
      <alignment/>
      <protection/>
    </xf>
    <xf numFmtId="3" fontId="20" fillId="0" borderId="60" xfId="106" applyNumberFormat="1" applyFont="1" applyFill="1" applyBorder="1">
      <alignment/>
      <protection/>
    </xf>
    <xf numFmtId="0" fontId="22" fillId="0" borderId="59" xfId="106" applyFont="1" applyFill="1" applyBorder="1" applyAlignment="1">
      <alignment wrapText="1"/>
      <protection/>
    </xf>
    <xf numFmtId="3" fontId="22" fillId="0" borderId="59" xfId="106" applyNumberFormat="1" applyFont="1" applyFill="1" applyBorder="1">
      <alignment/>
      <protection/>
    </xf>
    <xf numFmtId="3" fontId="22" fillId="0" borderId="60" xfId="106" applyNumberFormat="1" applyFont="1" applyFill="1" applyBorder="1">
      <alignment/>
      <protection/>
    </xf>
    <xf numFmtId="0" fontId="22" fillId="0" borderId="59" xfId="111" applyFont="1" applyFill="1" applyBorder="1" applyAlignment="1">
      <alignment wrapText="1"/>
      <protection/>
    </xf>
    <xf numFmtId="0" fontId="42" fillId="0" borderId="13" xfId="0" applyFont="1" applyFill="1" applyBorder="1" applyAlignment="1">
      <alignment wrapText="1"/>
    </xf>
    <xf numFmtId="37" fontId="42" fillId="0" borderId="26" xfId="0" applyNumberFormat="1" applyFont="1" applyFill="1" applyBorder="1" applyAlignment="1">
      <alignment wrapText="1"/>
    </xf>
    <xf numFmtId="0" fontId="42" fillId="0" borderId="13" xfId="0" applyFont="1" applyFill="1" applyBorder="1" applyAlignment="1">
      <alignment/>
    </xf>
    <xf numFmtId="0" fontId="43" fillId="0" borderId="13" xfId="0" applyFont="1" applyFill="1" applyBorder="1" applyAlignment="1">
      <alignment horizontal="left" wrapText="1"/>
    </xf>
    <xf numFmtId="3" fontId="43" fillId="0" borderId="26" xfId="0" applyNumberFormat="1" applyFont="1" applyFill="1" applyBorder="1" applyAlignment="1">
      <alignment wrapText="1"/>
    </xf>
    <xf numFmtId="3" fontId="42" fillId="0" borderId="32" xfId="0" applyNumberFormat="1" applyFont="1" applyFill="1" applyBorder="1" applyAlignment="1">
      <alignment/>
    </xf>
    <xf numFmtId="0" fontId="25" fillId="0" borderId="13" xfId="101" applyFont="1" applyFill="1" applyBorder="1" applyAlignment="1">
      <alignment wrapText="1"/>
      <protection/>
    </xf>
    <xf numFmtId="3" fontId="25" fillId="0" borderId="35" xfId="101" applyNumberFormat="1" applyFont="1" applyFill="1" applyBorder="1">
      <alignment/>
      <protection/>
    </xf>
    <xf numFmtId="3" fontId="25" fillId="0" borderId="26" xfId="101" applyNumberFormat="1" applyFont="1" applyFill="1" applyBorder="1" applyAlignment="1">
      <alignment/>
      <protection/>
    </xf>
    <xf numFmtId="3" fontId="25" fillId="0" borderId="79" xfId="101" applyNumberFormat="1" applyFont="1" applyFill="1" applyBorder="1" applyAlignment="1">
      <alignment/>
      <protection/>
    </xf>
    <xf numFmtId="0" fontId="27" fillId="0" borderId="13" xfId="101" applyFont="1" applyFill="1" applyBorder="1" applyAlignment="1">
      <alignment wrapText="1"/>
      <protection/>
    </xf>
    <xf numFmtId="3" fontId="27" fillId="0" borderId="35" xfId="101" applyNumberFormat="1" applyFont="1" applyFill="1" applyBorder="1">
      <alignment/>
      <protection/>
    </xf>
    <xf numFmtId="3" fontId="27" fillId="0" borderId="26" xfId="101" applyNumberFormat="1" applyFont="1" applyFill="1" applyBorder="1">
      <alignment/>
      <protection/>
    </xf>
    <xf numFmtId="3" fontId="27" fillId="0" borderId="79" xfId="101" applyNumberFormat="1" applyFont="1" applyFill="1" applyBorder="1">
      <alignment/>
      <protection/>
    </xf>
    <xf numFmtId="3" fontId="27" fillId="0" borderId="32" xfId="101" applyNumberFormat="1" applyFont="1" applyFill="1" applyBorder="1">
      <alignment/>
      <protection/>
    </xf>
    <xf numFmtId="0" fontId="25" fillId="0" borderId="84" xfId="101" applyFont="1" applyFill="1" applyBorder="1" applyAlignment="1">
      <alignment wrapText="1"/>
      <protection/>
    </xf>
    <xf numFmtId="0" fontId="25" fillId="0" borderId="84" xfId="0" applyFont="1" applyFill="1" applyBorder="1" applyAlignment="1">
      <alignment vertical="center" wrapText="1"/>
    </xf>
    <xf numFmtId="3" fontId="25" fillId="0" borderId="113" xfId="101" applyNumberFormat="1" applyFont="1" applyFill="1" applyBorder="1">
      <alignment/>
      <protection/>
    </xf>
    <xf numFmtId="0" fontId="25" fillId="0" borderId="13" xfId="0" applyFont="1" applyFill="1" applyBorder="1" applyAlignment="1">
      <alignment vertical="center" wrapText="1"/>
    </xf>
    <xf numFmtId="0" fontId="25" fillId="0" borderId="22" xfId="0" applyFont="1" applyFill="1" applyBorder="1" applyAlignment="1">
      <alignment vertical="center" wrapText="1"/>
    </xf>
    <xf numFmtId="0" fontId="25" fillId="0" borderId="87" xfId="0" applyFont="1" applyFill="1" applyBorder="1" applyAlignment="1">
      <alignment/>
    </xf>
    <xf numFmtId="0" fontId="25" fillId="0" borderId="22" xfId="101" applyFont="1" applyFill="1" applyBorder="1" applyAlignment="1">
      <alignment wrapText="1"/>
      <protection/>
    </xf>
    <xf numFmtId="0" fontId="32" fillId="0" borderId="13" xfId="101" applyFont="1" applyFill="1" applyBorder="1" applyAlignment="1">
      <alignment wrapText="1"/>
      <protection/>
    </xf>
    <xf numFmtId="3" fontId="32" fillId="0" borderId="35" xfId="101" applyNumberFormat="1" applyFont="1" applyFill="1" applyBorder="1">
      <alignment/>
      <protection/>
    </xf>
    <xf numFmtId="3" fontId="32" fillId="0" borderId="26" xfId="101" applyNumberFormat="1" applyFont="1" applyFill="1" applyBorder="1">
      <alignment/>
      <protection/>
    </xf>
    <xf numFmtId="3" fontId="32" fillId="0" borderId="79" xfId="101" applyNumberFormat="1" applyFont="1" applyFill="1" applyBorder="1">
      <alignment/>
      <protection/>
    </xf>
    <xf numFmtId="3" fontId="27" fillId="0" borderId="26" xfId="101" applyNumberFormat="1" applyFont="1" applyFill="1" applyBorder="1" applyAlignment="1">
      <alignment/>
      <protection/>
    </xf>
    <xf numFmtId="3" fontId="27" fillId="0" borderId="79" xfId="101" applyNumberFormat="1" applyFont="1" applyFill="1" applyBorder="1" applyAlignment="1">
      <alignment/>
      <protection/>
    </xf>
    <xf numFmtId="0" fontId="26" fillId="0" borderId="13" xfId="101" applyFont="1" applyFill="1" applyBorder="1" applyAlignment="1">
      <alignment wrapText="1"/>
      <protection/>
    </xf>
    <xf numFmtId="3" fontId="26" fillId="0" borderId="35" xfId="101" applyNumberFormat="1" applyFont="1" applyFill="1" applyBorder="1">
      <alignment/>
      <protection/>
    </xf>
    <xf numFmtId="3" fontId="26" fillId="0" borderId="26" xfId="101" applyNumberFormat="1" applyFont="1" applyFill="1" applyBorder="1">
      <alignment/>
      <protection/>
    </xf>
    <xf numFmtId="3" fontId="26" fillId="0" borderId="79" xfId="101" applyNumberFormat="1" applyFont="1" applyFill="1" applyBorder="1">
      <alignment/>
      <protection/>
    </xf>
    <xf numFmtId="0" fontId="26" fillId="0" borderId="15" xfId="101" applyFont="1" applyFill="1" applyBorder="1" applyAlignment="1">
      <alignment wrapText="1"/>
      <protection/>
    </xf>
    <xf numFmtId="3" fontId="26" fillId="0" borderId="39" xfId="101" applyNumberFormat="1" applyFont="1" applyFill="1" applyBorder="1">
      <alignment/>
      <protection/>
    </xf>
    <xf numFmtId="3" fontId="26" fillId="0" borderId="27" xfId="101" applyNumberFormat="1" applyFont="1" applyFill="1" applyBorder="1" applyAlignment="1">
      <alignment/>
      <protection/>
    </xf>
    <xf numFmtId="3" fontId="26" fillId="0" borderId="48" xfId="101" applyNumberFormat="1" applyFont="1" applyFill="1" applyBorder="1" applyAlignment="1">
      <alignment/>
      <protection/>
    </xf>
    <xf numFmtId="0" fontId="27" fillId="0" borderId="14" xfId="101" applyFont="1" applyFill="1" applyBorder="1" applyAlignment="1">
      <alignment wrapText="1"/>
      <protection/>
    </xf>
    <xf numFmtId="3" fontId="27" fillId="0" borderId="36" xfId="101" applyNumberFormat="1" applyFont="1" applyFill="1" applyBorder="1">
      <alignment/>
      <protection/>
    </xf>
    <xf numFmtId="3" fontId="27" fillId="0" borderId="29" xfId="101" applyNumberFormat="1" applyFont="1" applyFill="1" applyBorder="1">
      <alignment/>
      <protection/>
    </xf>
    <xf numFmtId="3" fontId="27" fillId="0" borderId="93" xfId="101" applyNumberFormat="1" applyFont="1" applyFill="1" applyBorder="1">
      <alignment/>
      <protection/>
    </xf>
    <xf numFmtId="3" fontId="32" fillId="0" borderId="26" xfId="101" applyNumberFormat="1" applyFont="1" applyFill="1" applyBorder="1" applyAlignment="1">
      <alignment/>
      <protection/>
    </xf>
    <xf numFmtId="3" fontId="32" fillId="0" borderId="79" xfId="101" applyNumberFormat="1" applyFont="1" applyFill="1" applyBorder="1" applyAlignment="1">
      <alignment/>
      <protection/>
    </xf>
    <xf numFmtId="0" fontId="27" fillId="0" borderId="15" xfId="101" applyFont="1" applyFill="1" applyBorder="1" applyAlignment="1">
      <alignment wrapText="1"/>
      <protection/>
    </xf>
    <xf numFmtId="3" fontId="27" fillId="0" borderId="39" xfId="101" applyNumberFormat="1" applyFont="1" applyFill="1" applyBorder="1">
      <alignment/>
      <protection/>
    </xf>
    <xf numFmtId="3" fontId="27" fillId="0" borderId="27" xfId="101" applyNumberFormat="1" applyFont="1" applyFill="1" applyBorder="1">
      <alignment/>
      <protection/>
    </xf>
    <xf numFmtId="3" fontId="27" fillId="0" borderId="48" xfId="101" applyNumberFormat="1" applyFont="1" applyFill="1" applyBorder="1">
      <alignment/>
      <protection/>
    </xf>
    <xf numFmtId="0" fontId="20" fillId="0" borderId="0" xfId="0" applyFont="1" applyAlignment="1">
      <alignment horizontal="center"/>
    </xf>
    <xf numFmtId="0" fontId="0" fillId="0" borderId="0" xfId="0" applyAlignment="1">
      <alignment/>
    </xf>
    <xf numFmtId="0" fontId="22" fillId="0" borderId="13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0" fillId="0" borderId="13" xfId="0" applyFont="1" applyBorder="1" applyAlignment="1">
      <alignment/>
    </xf>
    <xf numFmtId="0" fontId="0" fillId="0" borderId="26" xfId="0" applyBorder="1" applyAlignment="1">
      <alignment/>
    </xf>
    <xf numFmtId="49" fontId="20" fillId="0" borderId="13" xfId="0" applyNumberFormat="1" applyFont="1" applyBorder="1" applyAlignment="1">
      <alignment horizontal="left" wrapText="1"/>
    </xf>
    <xf numFmtId="49" fontId="20" fillId="0" borderId="26" xfId="0" applyNumberFormat="1" applyFont="1" applyBorder="1" applyAlignment="1">
      <alignment horizontal="left" wrapText="1"/>
    </xf>
    <xf numFmtId="0" fontId="20" fillId="0" borderId="89" xfId="0" applyFont="1" applyBorder="1" applyAlignment="1">
      <alignment horizontal="center"/>
    </xf>
    <xf numFmtId="0" fontId="20" fillId="0" borderId="95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27" xfId="0" applyFont="1" applyBorder="1" applyAlignment="1">
      <alignment horizontal="center"/>
    </xf>
    <xf numFmtId="0" fontId="20" fillId="0" borderId="124" xfId="0" applyFont="1" applyBorder="1" applyAlignment="1">
      <alignment horizontal="center" vertical="center" wrapText="1"/>
    </xf>
    <xf numFmtId="0" fontId="20" fillId="0" borderId="125" xfId="0" applyFont="1" applyBorder="1" applyAlignment="1">
      <alignment horizontal="center" vertical="center" wrapText="1"/>
    </xf>
    <xf numFmtId="0" fontId="0" fillId="0" borderId="125" xfId="0" applyBorder="1" applyAlignment="1">
      <alignment horizontal="center" vertical="center" wrapText="1"/>
    </xf>
    <xf numFmtId="0" fontId="0" fillId="0" borderId="93" xfId="0" applyBorder="1" applyAlignment="1">
      <alignment horizontal="center" vertical="center" wrapText="1"/>
    </xf>
    <xf numFmtId="0" fontId="20" fillId="0" borderId="14" xfId="0" applyFont="1" applyBorder="1" applyAlignment="1">
      <alignment horizontal="center"/>
    </xf>
    <xf numFmtId="0" fontId="20" fillId="0" borderId="29" xfId="0" applyFont="1" applyBorder="1" applyAlignment="1">
      <alignment horizontal="center"/>
    </xf>
    <xf numFmtId="0" fontId="0" fillId="0" borderId="29" xfId="0" applyBorder="1" applyAlignment="1">
      <alignment/>
    </xf>
    <xf numFmtId="0" fontId="0" fillId="0" borderId="37" xfId="0" applyBorder="1" applyAlignment="1">
      <alignment/>
    </xf>
    <xf numFmtId="0" fontId="20" fillId="0" borderId="87" xfId="0" applyFont="1" applyFill="1" applyBorder="1" applyAlignment="1">
      <alignment/>
    </xf>
    <xf numFmtId="0" fontId="0" fillId="0" borderId="75" xfId="0" applyFill="1" applyBorder="1" applyAlignment="1">
      <alignment/>
    </xf>
    <xf numFmtId="3" fontId="20" fillId="0" borderId="89" xfId="0" applyNumberFormat="1" applyFont="1" applyFill="1" applyBorder="1" applyAlignment="1">
      <alignment/>
    </xf>
    <xf numFmtId="0" fontId="0" fillId="0" borderId="95" xfId="0" applyFill="1" applyBorder="1" applyAlignment="1">
      <alignment/>
    </xf>
    <xf numFmtId="0" fontId="20" fillId="0" borderId="87" xfId="0" applyFont="1" applyFill="1" applyBorder="1" applyAlignment="1">
      <alignment/>
    </xf>
    <xf numFmtId="0" fontId="20" fillId="0" borderId="57" xfId="106" applyFont="1" applyBorder="1" applyAlignment="1">
      <alignment horizontal="center"/>
      <protection/>
    </xf>
    <xf numFmtId="0" fontId="20" fillId="0" borderId="126" xfId="106" applyFont="1" applyBorder="1" applyAlignment="1">
      <alignment horizontal="center"/>
      <protection/>
    </xf>
    <xf numFmtId="0" fontId="0" fillId="0" borderId="126" xfId="0" applyFont="1" applyBorder="1" applyAlignment="1">
      <alignment horizontal="center"/>
    </xf>
    <xf numFmtId="0" fontId="0" fillId="0" borderId="73" xfId="0" applyFont="1" applyBorder="1" applyAlignment="1">
      <alignment horizontal="center"/>
    </xf>
    <xf numFmtId="0" fontId="0" fillId="0" borderId="126" xfId="0" applyFont="1" applyBorder="1" applyAlignment="1">
      <alignment/>
    </xf>
    <xf numFmtId="0" fontId="0" fillId="0" borderId="73" xfId="0" applyFont="1" applyBorder="1" applyAlignment="1">
      <alignment/>
    </xf>
    <xf numFmtId="0" fontId="20" fillId="0" borderId="0" xfId="106" applyFont="1" applyBorder="1" applyAlignment="1">
      <alignment horizontal="center"/>
      <protection/>
    </xf>
    <xf numFmtId="0" fontId="29" fillId="0" borderId="0" xfId="0" applyFont="1" applyAlignment="1">
      <alignment horizontal="center" shrinkToFit="1"/>
    </xf>
    <xf numFmtId="0" fontId="29" fillId="0" borderId="36" xfId="0" applyFont="1" applyBorder="1" applyAlignment="1">
      <alignment horizontal="center" vertical="center"/>
    </xf>
    <xf numFmtId="0" fontId="28" fillId="0" borderId="125" xfId="0" applyFont="1" applyBorder="1" applyAlignment="1">
      <alignment/>
    </xf>
    <xf numFmtId="0" fontId="0" fillId="0" borderId="93" xfId="0" applyBorder="1" applyAlignment="1">
      <alignment/>
    </xf>
    <xf numFmtId="0" fontId="29" fillId="0" borderId="36" xfId="0" applyFont="1" applyBorder="1" applyAlignment="1">
      <alignment horizontal="center" vertical="center" wrapText="1"/>
    </xf>
    <xf numFmtId="0" fontId="28" fillId="0" borderId="125" xfId="0" applyFont="1" applyBorder="1" applyAlignment="1">
      <alignment horizontal="center" vertical="center" wrapText="1"/>
    </xf>
    <xf numFmtId="0" fontId="0" fillId="0" borderId="94" xfId="0" applyBorder="1" applyAlignment="1">
      <alignment horizontal="center" vertical="center" wrapText="1"/>
    </xf>
    <xf numFmtId="0" fontId="29" fillId="0" borderId="127" xfId="0" applyFont="1" applyBorder="1" applyAlignment="1">
      <alignment horizontal="center" vertical="center"/>
    </xf>
    <xf numFmtId="0" fontId="28" fillId="0" borderId="22" xfId="0" applyFont="1" applyBorder="1" applyAlignment="1">
      <alignment horizontal="center" vertical="center"/>
    </xf>
    <xf numFmtId="0" fontId="42" fillId="0" borderId="0" xfId="0" applyFont="1" applyBorder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Alignment="1">
      <alignment/>
    </xf>
    <xf numFmtId="0" fontId="42" fillId="0" borderId="36" xfId="0" applyFont="1" applyBorder="1" applyAlignment="1">
      <alignment horizontal="center" vertical="center" wrapText="1"/>
    </xf>
    <xf numFmtId="0" fontId="43" fillId="0" borderId="125" xfId="0" applyFont="1" applyBorder="1" applyAlignment="1">
      <alignment horizontal="center" vertical="center" wrapText="1"/>
    </xf>
    <xf numFmtId="0" fontId="56" fillId="0" borderId="94" xfId="0" applyFont="1" applyBorder="1" applyAlignment="1">
      <alignment horizontal="center" vertical="center" wrapText="1"/>
    </xf>
    <xf numFmtId="0" fontId="42" fillId="0" borderId="36" xfId="0" applyFont="1" applyBorder="1" applyAlignment="1">
      <alignment horizontal="center" vertical="center"/>
    </xf>
    <xf numFmtId="0" fontId="43" fillId="0" borderId="125" xfId="0" applyFont="1" applyBorder="1" applyAlignment="1">
      <alignment/>
    </xf>
    <xf numFmtId="0" fontId="56" fillId="0" borderId="93" xfId="0" applyFont="1" applyBorder="1" applyAlignment="1">
      <alignment/>
    </xf>
    <xf numFmtId="0" fontId="42" fillId="0" borderId="127" xfId="0" applyFont="1" applyBorder="1" applyAlignment="1">
      <alignment horizontal="center" vertical="center" wrapText="1"/>
    </xf>
    <xf numFmtId="0" fontId="43" fillId="0" borderId="22" xfId="0" applyFont="1" applyBorder="1" applyAlignment="1">
      <alignment wrapText="1"/>
    </xf>
    <xf numFmtId="0" fontId="32" fillId="0" borderId="0" xfId="99" applyFont="1" applyFill="1" applyBorder="1" applyAlignment="1">
      <alignment horizontal="center"/>
      <protection/>
    </xf>
    <xf numFmtId="0" fontId="27" fillId="0" borderId="80" xfId="98" applyFont="1" applyFill="1" applyBorder="1" applyAlignment="1">
      <alignment horizontal="center" vertical="center"/>
      <protection/>
    </xf>
    <xf numFmtId="0" fontId="27" fillId="0" borderId="81" xfId="98" applyFont="1" applyFill="1" applyBorder="1" applyAlignment="1">
      <alignment horizontal="center" vertical="center"/>
      <protection/>
    </xf>
    <xf numFmtId="0" fontId="27" fillId="0" borderId="16" xfId="98" applyFont="1" applyFill="1" applyBorder="1" applyAlignment="1">
      <alignment horizontal="center" vertical="center"/>
      <protection/>
    </xf>
    <xf numFmtId="0" fontId="27" fillId="0" borderId="105" xfId="99" applyFont="1" applyFill="1" applyBorder="1" applyAlignment="1">
      <alignment horizontal="center" vertical="center" wrapText="1"/>
      <protection/>
    </xf>
    <xf numFmtId="0" fontId="27" fillId="0" borderId="16" xfId="99" applyFont="1" applyFill="1" applyBorder="1" applyAlignment="1">
      <alignment horizontal="center" vertical="center" wrapText="1"/>
      <protection/>
    </xf>
    <xf numFmtId="0" fontId="27" fillId="0" borderId="108" xfId="99" applyFont="1" applyFill="1" applyBorder="1" applyAlignment="1">
      <alignment horizontal="center" vertical="center" wrapText="1"/>
      <protection/>
    </xf>
    <xf numFmtId="0" fontId="27" fillId="0" borderId="128" xfId="99" applyFont="1" applyFill="1" applyBorder="1" applyAlignment="1">
      <alignment horizontal="center" vertical="center" wrapText="1"/>
      <protection/>
    </xf>
    <xf numFmtId="0" fontId="27" fillId="0" borderId="129" xfId="99" applyFont="1" applyFill="1" applyBorder="1" applyAlignment="1">
      <alignment horizontal="center"/>
      <protection/>
    </xf>
    <xf numFmtId="0" fontId="27" fillId="0" borderId="126" xfId="99" applyFont="1" applyFill="1" applyBorder="1" applyAlignment="1">
      <alignment horizontal="center"/>
      <protection/>
    </xf>
    <xf numFmtId="0" fontId="27" fillId="0" borderId="130" xfId="99" applyFont="1" applyFill="1" applyBorder="1" applyAlignment="1">
      <alignment horizontal="center"/>
      <protection/>
    </xf>
    <xf numFmtId="0" fontId="27" fillId="0" borderId="131" xfId="99" applyFont="1" applyFill="1" applyBorder="1" applyAlignment="1">
      <alignment horizontal="left"/>
      <protection/>
    </xf>
    <xf numFmtId="0" fontId="27" fillId="0" borderId="132" xfId="99" applyFont="1" applyFill="1" applyBorder="1" applyAlignment="1">
      <alignment horizontal="left"/>
      <protection/>
    </xf>
    <xf numFmtId="0" fontId="27" fillId="0" borderId="0" xfId="99" applyFont="1" applyFill="1" applyBorder="1" applyAlignment="1">
      <alignment horizontal="center"/>
      <protection/>
    </xf>
    <xf numFmtId="3" fontId="27" fillId="0" borderId="105" xfId="99" applyNumberFormat="1" applyFont="1" applyFill="1" applyBorder="1" applyAlignment="1">
      <alignment horizontal="center" vertical="center" wrapText="1"/>
      <protection/>
    </xf>
    <xf numFmtId="3" fontId="27" fillId="0" borderId="16" xfId="99" applyNumberFormat="1" applyFont="1" applyFill="1" applyBorder="1" applyAlignment="1">
      <alignment horizontal="center" vertical="center" wrapText="1"/>
      <protection/>
    </xf>
    <xf numFmtId="0" fontId="27" fillId="0" borderId="105" xfId="99" applyFont="1" applyFill="1" applyBorder="1" applyAlignment="1">
      <alignment horizontal="center" vertical="center"/>
      <protection/>
    </xf>
    <xf numFmtId="0" fontId="27" fillId="0" borderId="16" xfId="99" applyFont="1" applyFill="1" applyBorder="1" applyAlignment="1">
      <alignment horizontal="center" vertical="center"/>
      <protection/>
    </xf>
    <xf numFmtId="0" fontId="27" fillId="0" borderId="73" xfId="99" applyFont="1" applyFill="1" applyBorder="1" applyAlignment="1">
      <alignment horizontal="center"/>
      <protection/>
    </xf>
    <xf numFmtId="0" fontId="27" fillId="0" borderId="83" xfId="99" applyFont="1" applyFill="1" applyBorder="1" applyAlignment="1">
      <alignment horizontal="left"/>
      <protection/>
    </xf>
    <xf numFmtId="0" fontId="27" fillId="0" borderId="107" xfId="99" applyFont="1" applyFill="1" applyBorder="1" applyAlignment="1">
      <alignment horizontal="left"/>
      <protection/>
    </xf>
    <xf numFmtId="0" fontId="27" fillId="0" borderId="133" xfId="99" applyFont="1" applyFill="1" applyBorder="1" applyAlignment="1">
      <alignment horizontal="center" vertical="center"/>
      <protection/>
    </xf>
    <xf numFmtId="0" fontId="27" fillId="0" borderId="134" xfId="99" applyFont="1" applyFill="1" applyBorder="1" applyAlignment="1">
      <alignment horizontal="center" vertical="center"/>
      <protection/>
    </xf>
    <xf numFmtId="0" fontId="27" fillId="0" borderId="135" xfId="99" applyFont="1" applyFill="1" applyBorder="1" applyAlignment="1">
      <alignment horizontal="center" vertical="center"/>
      <protection/>
    </xf>
    <xf numFmtId="0" fontId="27" fillId="0" borderId="67" xfId="99" applyFont="1" applyFill="1" applyBorder="1" applyAlignment="1">
      <alignment horizontal="center" vertical="center"/>
      <protection/>
    </xf>
    <xf numFmtId="0" fontId="27" fillId="0" borderId="0" xfId="99" applyFont="1" applyFill="1" applyBorder="1" applyAlignment="1">
      <alignment horizontal="center" vertical="center"/>
      <protection/>
    </xf>
    <xf numFmtId="0" fontId="27" fillId="0" borderId="136" xfId="99" applyFont="1" applyFill="1" applyBorder="1" applyAlignment="1">
      <alignment horizontal="center" vertical="center"/>
      <protection/>
    </xf>
    <xf numFmtId="0" fontId="27" fillId="0" borderId="66" xfId="99" applyFont="1" applyFill="1" applyBorder="1" applyAlignment="1">
      <alignment horizontal="center" vertical="center"/>
      <protection/>
    </xf>
    <xf numFmtId="0" fontId="27" fillId="0" borderId="137" xfId="99" applyFont="1" applyFill="1" applyBorder="1" applyAlignment="1">
      <alignment horizontal="center" vertical="center"/>
      <protection/>
    </xf>
    <xf numFmtId="0" fontId="27" fillId="0" borderId="138" xfId="99" applyFont="1" applyFill="1" applyBorder="1" applyAlignment="1">
      <alignment horizontal="center" vertical="center"/>
      <protection/>
    </xf>
    <xf numFmtId="0" fontId="27" fillId="0" borderId="83" xfId="99" applyFont="1" applyFill="1" applyBorder="1" applyAlignment="1">
      <alignment horizontal="left"/>
      <protection/>
    </xf>
    <xf numFmtId="0" fontId="27" fillId="0" borderId="107" xfId="99" applyFont="1" applyFill="1" applyBorder="1" applyAlignment="1">
      <alignment horizontal="left"/>
      <protection/>
    </xf>
    <xf numFmtId="0" fontId="27" fillId="0" borderId="80" xfId="99" applyFont="1" applyFill="1" applyBorder="1" applyAlignment="1">
      <alignment horizontal="center" vertical="center"/>
      <protection/>
    </xf>
    <xf numFmtId="0" fontId="27" fillId="0" borderId="81" xfId="99" applyFont="1" applyFill="1" applyBorder="1" applyAlignment="1">
      <alignment horizontal="center" vertical="center"/>
      <protection/>
    </xf>
    <xf numFmtId="0" fontId="47" fillId="0" borderId="17" xfId="99" applyFont="1" applyFill="1" applyBorder="1" applyAlignment="1">
      <alignment horizontal="left" vertical="center"/>
      <protection/>
    </xf>
    <xf numFmtId="0" fontId="47" fillId="0" borderId="18" xfId="99" applyFont="1" applyFill="1" applyBorder="1" applyAlignment="1">
      <alignment horizontal="left" vertical="center"/>
      <protection/>
    </xf>
    <xf numFmtId="0" fontId="27" fillId="0" borderId="17" xfId="99" applyFont="1" applyFill="1" applyBorder="1" applyAlignment="1">
      <alignment horizontal="left" vertical="center"/>
      <protection/>
    </xf>
    <xf numFmtId="0" fontId="27" fillId="0" borderId="18" xfId="99" applyFont="1" applyFill="1" applyBorder="1" applyAlignment="1">
      <alignment horizontal="left" vertical="center"/>
      <protection/>
    </xf>
    <xf numFmtId="0" fontId="47" fillId="0" borderId="106" xfId="99" applyFont="1" applyFill="1" applyBorder="1" applyAlignment="1">
      <alignment horizontal="left" vertical="center"/>
      <protection/>
    </xf>
    <xf numFmtId="0" fontId="47" fillId="0" borderId="21" xfId="99" applyFont="1" applyFill="1" applyBorder="1" applyAlignment="1">
      <alignment horizontal="left" vertical="center"/>
      <protection/>
    </xf>
    <xf numFmtId="3" fontId="27" fillId="0" borderId="18" xfId="99" applyNumberFormat="1" applyFont="1" applyFill="1" applyBorder="1" applyAlignment="1">
      <alignment horizontal="center" vertical="center" wrapText="1"/>
      <protection/>
    </xf>
    <xf numFmtId="0" fontId="27" fillId="0" borderId="18" xfId="99" applyFont="1" applyFill="1" applyBorder="1" applyAlignment="1">
      <alignment horizontal="center" vertical="center" wrapText="1"/>
      <protection/>
    </xf>
    <xf numFmtId="0" fontId="27" fillId="0" borderId="106" xfId="99" applyFont="1" applyFill="1" applyBorder="1" applyAlignment="1">
      <alignment horizontal="center" vertical="center"/>
      <protection/>
    </xf>
    <xf numFmtId="0" fontId="27" fillId="0" borderId="21" xfId="99" applyFont="1" applyFill="1" applyBorder="1" applyAlignment="1">
      <alignment horizontal="center" vertical="center"/>
      <protection/>
    </xf>
    <xf numFmtId="0" fontId="27" fillId="0" borderId="17" xfId="99" applyFont="1" applyFill="1" applyBorder="1" applyAlignment="1">
      <alignment horizontal="center" vertical="center"/>
      <protection/>
    </xf>
    <xf numFmtId="0" fontId="27" fillId="0" borderId="18" xfId="99" applyFont="1" applyFill="1" applyBorder="1" applyAlignment="1">
      <alignment horizontal="center" vertical="center"/>
      <protection/>
    </xf>
    <xf numFmtId="0" fontId="27" fillId="0" borderId="21" xfId="99" applyFont="1" applyFill="1" applyBorder="1" applyAlignment="1">
      <alignment horizontal="center"/>
      <protection/>
    </xf>
    <xf numFmtId="0" fontId="27" fillId="0" borderId="103" xfId="99" applyFont="1" applyFill="1" applyBorder="1" applyAlignment="1">
      <alignment horizontal="center"/>
      <protection/>
    </xf>
    <xf numFmtId="0" fontId="47" fillId="0" borderId="28" xfId="99" applyFont="1" applyFill="1" applyBorder="1" applyAlignment="1">
      <alignment horizontal="center" vertical="center" wrapText="1"/>
      <protection/>
    </xf>
    <xf numFmtId="0" fontId="27" fillId="0" borderId="0" xfId="99" applyFont="1" applyFill="1" applyBorder="1" applyAlignment="1">
      <alignment/>
      <protection/>
    </xf>
    <xf numFmtId="0" fontId="46" fillId="0" borderId="0" xfId="99" applyFont="1" applyFill="1" applyBorder="1" applyAlignment="1">
      <alignment horizontal="center"/>
      <protection/>
    </xf>
    <xf numFmtId="0" fontId="27" fillId="0" borderId="21" xfId="98" applyFont="1" applyFill="1" applyBorder="1" applyAlignment="1">
      <alignment horizontal="center" vertical="center"/>
      <protection/>
    </xf>
    <xf numFmtId="0" fontId="27" fillId="0" borderId="18" xfId="98" applyFont="1" applyFill="1" applyBorder="1" applyAlignment="1">
      <alignment horizontal="center" vertical="center"/>
      <protection/>
    </xf>
    <xf numFmtId="0" fontId="42" fillId="0" borderId="0" xfId="99" applyFont="1" applyFill="1" applyBorder="1" applyAlignment="1">
      <alignment horizontal="center"/>
      <protection/>
    </xf>
    <xf numFmtId="3" fontId="49" fillId="0" borderId="17" xfId="0" applyNumberFormat="1" applyFont="1" applyFill="1" applyBorder="1" applyAlignment="1">
      <alignment horizontal="left" vertical="center" wrapText="1"/>
    </xf>
    <xf numFmtId="3" fontId="49" fillId="0" borderId="18" xfId="0" applyNumberFormat="1" applyFont="1" applyFill="1" applyBorder="1" applyAlignment="1">
      <alignment horizontal="left" vertical="center" wrapText="1"/>
    </xf>
    <xf numFmtId="3" fontId="49" fillId="0" borderId="19" xfId="0" applyNumberFormat="1" applyFont="1" applyFill="1" applyBorder="1" applyAlignment="1">
      <alignment horizontal="left" vertical="center" wrapText="1"/>
    </xf>
    <xf numFmtId="3" fontId="49" fillId="0" borderId="20" xfId="0" applyNumberFormat="1" applyFont="1" applyFill="1" applyBorder="1" applyAlignment="1">
      <alignment horizontal="left" vertical="center" wrapText="1"/>
    </xf>
    <xf numFmtId="3" fontId="65" fillId="0" borderId="17" xfId="0" applyNumberFormat="1" applyFont="1" applyFill="1" applyBorder="1" applyAlignment="1">
      <alignment horizontal="left" vertical="center"/>
    </xf>
    <xf numFmtId="3" fontId="65" fillId="0" borderId="17" xfId="0" applyNumberFormat="1" applyFont="1" applyFill="1" applyBorder="1" applyAlignment="1">
      <alignment horizontal="left" vertical="center" wrapText="1"/>
    </xf>
    <xf numFmtId="3" fontId="49" fillId="0" borderId="17" xfId="0" applyNumberFormat="1" applyFont="1" applyFill="1" applyBorder="1" applyAlignment="1">
      <alignment horizontal="left" vertical="center"/>
    </xf>
    <xf numFmtId="3" fontId="65" fillId="0" borderId="67" xfId="0" applyNumberFormat="1" applyFont="1" applyFill="1" applyBorder="1" applyAlignment="1">
      <alignment horizontal="left" vertical="center"/>
    </xf>
    <xf numFmtId="3" fontId="49" fillId="0" borderId="21" xfId="0" applyNumberFormat="1" applyFont="1" applyFill="1" applyBorder="1" applyAlignment="1">
      <alignment horizontal="center" vertical="center" wrapText="1"/>
    </xf>
    <xf numFmtId="3" fontId="49" fillId="0" borderId="18" xfId="0" applyNumberFormat="1" applyFont="1" applyFill="1" applyBorder="1" applyAlignment="1">
      <alignment horizontal="center" vertical="center" wrapText="1"/>
    </xf>
    <xf numFmtId="3" fontId="49" fillId="0" borderId="21" xfId="0" applyNumberFormat="1" applyFont="1" applyFill="1" applyBorder="1" applyAlignment="1">
      <alignment horizontal="center" vertical="center"/>
    </xf>
    <xf numFmtId="3" fontId="49" fillId="0" borderId="103" xfId="0" applyNumberFormat="1" applyFont="1" applyFill="1" applyBorder="1" applyAlignment="1">
      <alignment horizontal="center" vertical="center" wrapText="1"/>
    </xf>
    <xf numFmtId="3" fontId="49" fillId="0" borderId="28" xfId="0" applyNumberFormat="1" applyFont="1" applyFill="1" applyBorder="1" applyAlignment="1">
      <alignment horizontal="center" vertical="center" wrapText="1"/>
    </xf>
    <xf numFmtId="3" fontId="49" fillId="0" borderId="106" xfId="0" applyNumberFormat="1" applyFont="1" applyFill="1" applyBorder="1" applyAlignment="1">
      <alignment horizontal="center" vertical="center" wrapText="1"/>
    </xf>
    <xf numFmtId="3" fontId="49" fillId="0" borderId="17" xfId="0" applyNumberFormat="1" applyFont="1" applyFill="1" applyBorder="1" applyAlignment="1">
      <alignment horizontal="center" vertical="center" wrapText="1"/>
    </xf>
    <xf numFmtId="3" fontId="65" fillId="0" borderId="0" xfId="0" applyNumberFormat="1" applyFont="1" applyFill="1" applyBorder="1" applyAlignment="1">
      <alignment horizontal="center" vertical="center"/>
    </xf>
    <xf numFmtId="183" fontId="49" fillId="0" borderId="21" xfId="0" applyNumberFormat="1" applyFont="1" applyFill="1" applyBorder="1" applyAlignment="1">
      <alignment horizontal="center" vertical="center" wrapText="1"/>
    </xf>
    <xf numFmtId="0" fontId="65" fillId="0" borderId="136" xfId="0" applyFont="1" applyFill="1" applyBorder="1" applyAlignment="1">
      <alignment horizontal="center" vertical="center"/>
    </xf>
    <xf numFmtId="0" fontId="65" fillId="0" borderId="81" xfId="0" applyFont="1" applyFill="1" applyBorder="1" applyAlignment="1">
      <alignment horizontal="center" vertical="center"/>
    </xf>
    <xf numFmtId="0" fontId="65" fillId="0" borderId="120" xfId="0" applyFont="1" applyFill="1" applyBorder="1" applyAlignment="1">
      <alignment horizontal="center" vertical="center"/>
    </xf>
    <xf numFmtId="3" fontId="65" fillId="0" borderId="106" xfId="0" applyNumberFormat="1" applyFont="1" applyFill="1" applyBorder="1" applyAlignment="1">
      <alignment horizontal="left" vertical="center"/>
    </xf>
    <xf numFmtId="3" fontId="65" fillId="0" borderId="106" xfId="0" applyNumberFormat="1" applyFont="1" applyFill="1" applyBorder="1" applyAlignment="1">
      <alignment horizontal="left" vertical="center" wrapText="1"/>
    </xf>
    <xf numFmtId="3" fontId="49" fillId="0" borderId="19" xfId="0" applyNumberFormat="1" applyFont="1" applyFill="1" applyBorder="1" applyAlignment="1">
      <alignment horizontal="left" vertical="center"/>
    </xf>
    <xf numFmtId="0" fontId="49" fillId="0" borderId="103" xfId="104" applyFont="1" applyFill="1" applyBorder="1" applyAlignment="1">
      <alignment horizontal="center" vertical="center" wrapText="1"/>
      <protection/>
    </xf>
    <xf numFmtId="0" fontId="49" fillId="0" borderId="28" xfId="104" applyFont="1" applyFill="1" applyBorder="1" applyAlignment="1">
      <alignment horizontal="center" vertical="center" wrapText="1"/>
      <protection/>
    </xf>
    <xf numFmtId="0" fontId="27" fillId="0" borderId="0" xfId="104" applyFont="1" applyFill="1" applyBorder="1" applyAlignment="1">
      <alignment horizontal="center" vertical="center"/>
      <protection/>
    </xf>
    <xf numFmtId="0" fontId="49" fillId="0" borderId="106" xfId="104" applyFont="1" applyFill="1" applyBorder="1" applyAlignment="1">
      <alignment horizontal="center" vertical="center" wrapText="1"/>
      <protection/>
    </xf>
    <xf numFmtId="0" fontId="49" fillId="0" borderId="21" xfId="104" applyFont="1" applyFill="1" applyBorder="1" applyAlignment="1">
      <alignment horizontal="center" vertical="center" wrapText="1"/>
      <protection/>
    </xf>
    <xf numFmtId="0" fontId="49" fillId="0" borderId="17" xfId="104" applyFont="1" applyFill="1" applyBorder="1" applyAlignment="1">
      <alignment horizontal="center" vertical="center" wrapText="1"/>
      <protection/>
    </xf>
    <xf numFmtId="0" fontId="49" fillId="0" borderId="18" xfId="104" applyFont="1" applyFill="1" applyBorder="1" applyAlignment="1">
      <alignment horizontal="center" vertical="center" wrapText="1"/>
      <protection/>
    </xf>
    <xf numFmtId="0" fontId="49" fillId="0" borderId="21" xfId="104" applyFont="1" applyFill="1" applyBorder="1" applyAlignment="1">
      <alignment horizontal="center" vertical="center"/>
      <protection/>
    </xf>
    <xf numFmtId="0" fontId="60" fillId="52" borderId="0" xfId="101" applyFont="1" applyFill="1" applyAlignment="1">
      <alignment horizontal="center" vertical="center"/>
      <protection/>
    </xf>
    <xf numFmtId="0" fontId="60" fillId="52" borderId="0" xfId="101" applyFont="1" applyFill="1" applyAlignment="1">
      <alignment horizontal="center"/>
      <protection/>
    </xf>
    <xf numFmtId="0" fontId="29" fillId="0" borderId="0" xfId="101" applyFont="1" applyBorder="1" applyAlignment="1">
      <alignment horizontal="center" vertical="center"/>
      <protection/>
    </xf>
    <xf numFmtId="0" fontId="29" fillId="0" borderId="0" xfId="101" applyFont="1" applyBorder="1" applyAlignment="1">
      <alignment horizontal="center"/>
      <protection/>
    </xf>
    <xf numFmtId="0" fontId="27" fillId="0" borderId="0" xfId="0" applyFont="1" applyAlignment="1">
      <alignment horizontal="center" wrapText="1"/>
    </xf>
    <xf numFmtId="0" fontId="27" fillId="0" borderId="0" xfId="101" applyFont="1" applyBorder="1" applyAlignment="1">
      <alignment horizontal="center" vertical="center" wrapText="1"/>
      <protection/>
    </xf>
    <xf numFmtId="0" fontId="25" fillId="0" borderId="0" xfId="0" applyFont="1" applyAlignment="1">
      <alignment/>
    </xf>
    <xf numFmtId="0" fontId="29" fillId="0" borderId="0" xfId="101" applyFont="1" applyBorder="1" applyAlignment="1">
      <alignment horizontal="center" vertical="center" wrapText="1"/>
      <protection/>
    </xf>
    <xf numFmtId="0" fontId="29" fillId="0" borderId="0" xfId="101" applyFont="1" applyBorder="1" applyAlignment="1">
      <alignment horizontal="center"/>
      <protection/>
    </xf>
    <xf numFmtId="0" fontId="27" fillId="0" borderId="127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7" fillId="0" borderId="127" xfId="0" applyFont="1" applyBorder="1" applyAlignment="1">
      <alignment horizontal="center" vertical="top" wrapText="1"/>
    </xf>
    <xf numFmtId="0" fontId="27" fillId="0" borderId="25" xfId="0" applyFont="1" applyBorder="1" applyAlignment="1">
      <alignment horizontal="center" vertical="top" wrapText="1"/>
    </xf>
    <xf numFmtId="0" fontId="27" fillId="0" borderId="0" xfId="0" applyFont="1" applyAlignment="1">
      <alignment horizontal="center" wrapText="1"/>
    </xf>
    <xf numFmtId="0" fontId="27" fillId="0" borderId="0" xfId="0" applyFont="1" applyAlignment="1">
      <alignment horizontal="center"/>
    </xf>
    <xf numFmtId="0" fontId="40" fillId="0" borderId="106" xfId="100" applyFont="1" applyBorder="1" applyAlignment="1">
      <alignment horizontal="left"/>
      <protection/>
    </xf>
    <xf numFmtId="0" fontId="40" fillId="0" borderId="21" xfId="100" applyFont="1" applyBorder="1" applyAlignment="1">
      <alignment horizontal="left"/>
      <protection/>
    </xf>
    <xf numFmtId="0" fontId="27" fillId="0" borderId="106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0" xfId="100" applyFont="1" applyBorder="1" applyAlignment="1">
      <alignment horizontal="center" vertical="center"/>
      <protection/>
    </xf>
    <xf numFmtId="0" fontId="27" fillId="0" borderId="139" xfId="0" applyFont="1" applyBorder="1" applyAlignment="1">
      <alignment horizontal="center" vertical="center"/>
    </xf>
    <xf numFmtId="0" fontId="0" fillId="0" borderId="134" xfId="0" applyBorder="1" applyAlignment="1">
      <alignment horizontal="center" vertical="center"/>
    </xf>
    <xf numFmtId="0" fontId="0" fillId="0" borderId="134" xfId="0" applyBorder="1" applyAlignment="1">
      <alignment/>
    </xf>
    <xf numFmtId="0" fontId="0" fillId="0" borderId="140" xfId="0" applyBorder="1" applyAlignment="1">
      <alignment/>
    </xf>
    <xf numFmtId="0" fontId="27" fillId="0" borderId="141" xfId="0" applyFont="1" applyBorder="1" applyAlignment="1">
      <alignment horizontal="center" vertical="center"/>
    </xf>
    <xf numFmtId="0" fontId="0" fillId="0" borderId="137" xfId="0" applyBorder="1" applyAlignment="1">
      <alignment horizontal="center" vertical="center"/>
    </xf>
    <xf numFmtId="0" fontId="0" fillId="0" borderId="137" xfId="0" applyBorder="1" applyAlignment="1">
      <alignment/>
    </xf>
    <xf numFmtId="0" fontId="0" fillId="0" borderId="96" xfId="0" applyBorder="1" applyAlignment="1">
      <alignment/>
    </xf>
    <xf numFmtId="0" fontId="27" fillId="0" borderId="18" xfId="100" applyFont="1" applyBorder="1" applyAlignment="1">
      <alignment horizontal="center" vertical="center" wrapText="1"/>
      <protection/>
    </xf>
    <xf numFmtId="0" fontId="27" fillId="0" borderId="20" xfId="100" applyFont="1" applyBorder="1" applyAlignment="1">
      <alignment horizontal="center" vertical="center" wrapText="1"/>
      <protection/>
    </xf>
    <xf numFmtId="0" fontId="27" fillId="0" borderId="129" xfId="100" applyFont="1" applyBorder="1" applyAlignment="1">
      <alignment horizontal="center" vertical="center" wrapText="1"/>
      <protection/>
    </xf>
    <xf numFmtId="0" fontId="27" fillId="0" borderId="126" xfId="100" applyFont="1" applyBorder="1" applyAlignment="1">
      <alignment horizontal="center" vertical="center" wrapText="1"/>
      <protection/>
    </xf>
    <xf numFmtId="0" fontId="0" fillId="0" borderId="126" xfId="0" applyBorder="1" applyAlignment="1">
      <alignment horizontal="center" vertical="center" wrapText="1"/>
    </xf>
    <xf numFmtId="0" fontId="0" fillId="0" borderId="130" xfId="0" applyBorder="1" applyAlignment="1">
      <alignment horizontal="center" vertical="center" wrapText="1"/>
    </xf>
    <xf numFmtId="0" fontId="27" fillId="0" borderId="83" xfId="100" applyFont="1" applyBorder="1" applyAlignment="1">
      <alignment horizontal="center" vertical="center" wrapText="1"/>
      <protection/>
    </xf>
    <xf numFmtId="0" fontId="27" fillId="0" borderId="63" xfId="100" applyFont="1" applyBorder="1" applyAlignment="1">
      <alignment horizontal="center" vertical="center" wrapText="1"/>
      <protection/>
    </xf>
    <xf numFmtId="0" fontId="0" fillId="0" borderId="107" xfId="0" applyBorder="1" applyAlignment="1">
      <alignment horizontal="center" vertical="center" wrapText="1"/>
    </xf>
    <xf numFmtId="0" fontId="40" fillId="0" borderId="142" xfId="100" applyFont="1" applyBorder="1" applyAlignment="1">
      <alignment horizontal="left"/>
      <protection/>
    </xf>
    <xf numFmtId="0" fontId="40" fillId="0" borderId="16" xfId="100" applyFont="1" applyBorder="1" applyAlignment="1">
      <alignment horizontal="left"/>
      <protection/>
    </xf>
    <xf numFmtId="0" fontId="26" fillId="0" borderId="0" xfId="100" applyFont="1" applyFill="1" applyBorder="1" applyAlignment="1">
      <alignment horizontal="center" vertical="center"/>
      <protection/>
    </xf>
    <xf numFmtId="0" fontId="27" fillId="0" borderId="106" xfId="100" applyFont="1" applyBorder="1" applyAlignment="1">
      <alignment horizontal="center" vertical="center" wrapText="1"/>
      <protection/>
    </xf>
    <xf numFmtId="0" fontId="27" fillId="0" borderId="21" xfId="100" applyFont="1" applyBorder="1" applyAlignment="1">
      <alignment horizontal="center" vertical="center" wrapText="1"/>
      <protection/>
    </xf>
    <xf numFmtId="0" fontId="27" fillId="0" borderId="17" xfId="100" applyFont="1" applyBorder="1" applyAlignment="1">
      <alignment horizontal="center" vertical="center" wrapText="1"/>
      <protection/>
    </xf>
    <xf numFmtId="0" fontId="27" fillId="0" borderId="19" xfId="100" applyFont="1" applyBorder="1" applyAlignment="1">
      <alignment horizontal="center" vertical="center" wrapText="1"/>
      <protection/>
    </xf>
    <xf numFmtId="3" fontId="27" fillId="0" borderId="73" xfId="100" applyNumberFormat="1" applyFont="1" applyBorder="1" applyAlignment="1">
      <alignment horizontal="center" vertical="center" wrapText="1"/>
      <protection/>
    </xf>
    <xf numFmtId="3" fontId="27" fillId="0" borderId="70" xfId="100" applyNumberFormat="1" applyFont="1" applyBorder="1" applyAlignment="1">
      <alignment horizontal="center" vertical="center" wrapText="1"/>
      <protection/>
    </xf>
    <xf numFmtId="3" fontId="27" fillId="0" borderId="97" xfId="100" applyNumberFormat="1" applyFont="1" applyBorder="1" applyAlignment="1">
      <alignment horizontal="center" vertical="center" wrapText="1"/>
      <protection/>
    </xf>
    <xf numFmtId="3" fontId="27" fillId="0" borderId="21" xfId="100" applyNumberFormat="1" applyFont="1" applyBorder="1" applyAlignment="1">
      <alignment horizontal="center" vertical="center" wrapText="1"/>
      <protection/>
    </xf>
    <xf numFmtId="3" fontId="27" fillId="0" borderId="18" xfId="100" applyNumberFormat="1" applyFont="1" applyBorder="1" applyAlignment="1">
      <alignment horizontal="center" vertical="center" wrapText="1"/>
      <protection/>
    </xf>
    <xf numFmtId="3" fontId="27" fillId="0" borderId="20" xfId="100" applyNumberFormat="1" applyFont="1" applyBorder="1" applyAlignment="1">
      <alignment horizontal="center" vertical="center" wrapText="1"/>
      <protection/>
    </xf>
    <xf numFmtId="0" fontId="27" fillId="0" borderId="0" xfId="102" applyFont="1" applyAlignment="1">
      <alignment horizontal="center"/>
      <protection/>
    </xf>
    <xf numFmtId="0" fontId="26" fillId="0" borderId="0" xfId="102" applyFont="1" applyAlignment="1">
      <alignment horizontal="center"/>
      <protection/>
    </xf>
    <xf numFmtId="0" fontId="0" fillId="0" borderId="0" xfId="0" applyAlignment="1">
      <alignment horizontal="center"/>
    </xf>
    <xf numFmtId="0" fontId="27" fillId="0" borderId="30" xfId="102" applyFont="1" applyBorder="1" applyAlignment="1">
      <alignment horizontal="center"/>
      <protection/>
    </xf>
    <xf numFmtId="0" fontId="27" fillId="0" borderId="143" xfId="102" applyFont="1" applyBorder="1" applyAlignment="1">
      <alignment horizontal="center"/>
      <protection/>
    </xf>
    <xf numFmtId="0" fontId="0" fillId="0" borderId="143" xfId="0" applyBorder="1" applyAlignment="1">
      <alignment horizontal="center"/>
    </xf>
    <xf numFmtId="0" fontId="0" fillId="0" borderId="53" xfId="0" applyBorder="1" applyAlignment="1">
      <alignment horizontal="center"/>
    </xf>
    <xf numFmtId="0" fontId="27" fillId="0" borderId="30" xfId="102" applyFont="1" applyBorder="1" applyAlignment="1">
      <alignment horizontal="center" vertical="center"/>
      <protection/>
    </xf>
    <xf numFmtId="0" fontId="27" fillId="0" borderId="143" xfId="102" applyFont="1" applyBorder="1" applyAlignment="1">
      <alignment horizontal="center" vertical="center"/>
      <protection/>
    </xf>
    <xf numFmtId="0" fontId="0" fillId="0" borderId="14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143" xfId="0" applyBorder="1" applyAlignment="1">
      <alignment/>
    </xf>
    <xf numFmtId="0" fontId="0" fillId="0" borderId="53" xfId="0" applyBorder="1" applyAlignment="1">
      <alignment/>
    </xf>
    <xf numFmtId="0" fontId="42" fillId="0" borderId="26" xfId="109" applyFont="1" applyBorder="1" applyAlignment="1">
      <alignment horizontal="center" vertical="center" wrapText="1"/>
      <protection/>
    </xf>
    <xf numFmtId="0" fontId="42" fillId="0" borderId="27" xfId="109" applyFont="1" applyBorder="1" applyAlignment="1">
      <alignment horizontal="center" vertical="center" wrapText="1"/>
      <protection/>
    </xf>
    <xf numFmtId="0" fontId="42" fillId="0" borderId="29" xfId="109" applyFont="1" applyBorder="1" applyAlignment="1">
      <alignment horizontal="center"/>
      <protection/>
    </xf>
    <xf numFmtId="0" fontId="57" fillId="0" borderId="29" xfId="0" applyFont="1" applyBorder="1" applyAlignment="1">
      <alignment horizontal="center"/>
    </xf>
    <xf numFmtId="0" fontId="57" fillId="0" borderId="37" xfId="0" applyFont="1" applyBorder="1" applyAlignment="1">
      <alignment horizontal="center"/>
    </xf>
    <xf numFmtId="0" fontId="42" fillId="0" borderId="32" xfId="109" applyFont="1" applyBorder="1" applyAlignment="1">
      <alignment horizontal="center" vertical="center" wrapText="1"/>
      <protection/>
    </xf>
    <xf numFmtId="0" fontId="42" fillId="0" borderId="0" xfId="109" applyFont="1" applyAlignment="1">
      <alignment horizontal="center"/>
      <protection/>
    </xf>
    <xf numFmtId="0" fontId="42" fillId="0" borderId="144" xfId="109" applyFont="1" applyBorder="1" applyAlignment="1">
      <alignment horizontal="center" vertical="center" wrapText="1"/>
      <protection/>
    </xf>
    <xf numFmtId="0" fontId="0" fillId="0" borderId="145" xfId="0" applyBorder="1" applyAlignment="1">
      <alignment/>
    </xf>
    <xf numFmtId="0" fontId="0" fillId="0" borderId="146" xfId="0" applyBorder="1" applyAlignment="1">
      <alignment/>
    </xf>
    <xf numFmtId="0" fontId="42" fillId="0" borderId="75" xfId="109" applyFont="1" applyBorder="1" applyAlignment="1">
      <alignment horizontal="center" vertical="center" wrapText="1"/>
      <protection/>
    </xf>
    <xf numFmtId="0" fontId="42" fillId="0" borderId="95" xfId="109" applyFont="1" applyBorder="1" applyAlignment="1">
      <alignment horizontal="center" vertical="center" wrapText="1"/>
      <protection/>
    </xf>
    <xf numFmtId="0" fontId="42" fillId="0" borderId="94" xfId="109" applyFont="1" applyBorder="1" applyAlignment="1">
      <alignment horizontal="center"/>
      <protection/>
    </xf>
    <xf numFmtId="49" fontId="29" fillId="52" borderId="14" xfId="0" applyNumberFormat="1" applyFont="1" applyFill="1" applyBorder="1" applyAlignment="1">
      <alignment horizontal="center" vertical="center"/>
    </xf>
    <xf numFmtId="49" fontId="29" fillId="52" borderId="13" xfId="0" applyNumberFormat="1" applyFont="1" applyFill="1" applyBorder="1" applyAlignment="1">
      <alignment horizontal="center" vertical="center"/>
    </xf>
    <xf numFmtId="0" fontId="29" fillId="52" borderId="29" xfId="0" applyFont="1" applyFill="1" applyBorder="1" applyAlignment="1">
      <alignment horizontal="center"/>
    </xf>
    <xf numFmtId="3" fontId="29" fillId="52" borderId="29" xfId="0" applyNumberFormat="1" applyFont="1" applyFill="1" applyBorder="1" applyAlignment="1">
      <alignment horizontal="center" vertical="center" wrapText="1"/>
    </xf>
    <xf numFmtId="3" fontId="29" fillId="52" borderId="26" xfId="0" applyNumberFormat="1" applyFont="1" applyFill="1" applyBorder="1" applyAlignment="1">
      <alignment horizontal="center" vertical="center" wrapText="1"/>
    </xf>
    <xf numFmtId="0" fontId="29" fillId="52" borderId="26" xfId="0" applyFont="1" applyFill="1" applyBorder="1" applyAlignment="1">
      <alignment horizontal="center" vertical="center" wrapText="1"/>
    </xf>
    <xf numFmtId="0" fontId="33" fillId="0" borderId="147" xfId="0" applyFont="1" applyFill="1" applyBorder="1" applyAlignment="1">
      <alignment horizontal="center" vertical="center" wrapText="1"/>
    </xf>
    <xf numFmtId="0" fontId="57" fillId="0" borderId="34" xfId="0" applyFont="1" applyBorder="1" applyAlignment="1">
      <alignment horizontal="center" vertical="center" wrapText="1"/>
    </xf>
    <xf numFmtId="3" fontId="29" fillId="52" borderId="125" xfId="0" applyNumberFormat="1" applyFont="1" applyFill="1" applyBorder="1" applyAlignment="1">
      <alignment horizontal="center" vertical="center" wrapText="1"/>
    </xf>
    <xf numFmtId="3" fontId="29" fillId="52" borderId="113" xfId="0" applyNumberFormat="1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/>
    </xf>
    <xf numFmtId="0" fontId="64" fillId="0" borderId="0" xfId="0" applyFont="1" applyAlignment="1">
      <alignment/>
    </xf>
    <xf numFmtId="0" fontId="33" fillId="0" borderId="0" xfId="0" applyFont="1" applyFill="1" applyAlignment="1">
      <alignment horizontal="center"/>
    </xf>
    <xf numFmtId="0" fontId="29" fillId="52" borderId="148" xfId="0" applyFont="1" applyFill="1" applyBorder="1" applyAlignment="1">
      <alignment horizontal="center" vertical="center" wrapText="1"/>
    </xf>
    <xf numFmtId="0" fontId="29" fillId="52" borderId="74" xfId="0" applyFont="1" applyFill="1" applyBorder="1" applyAlignment="1">
      <alignment horizontal="center" vertical="center" wrapText="1"/>
    </xf>
    <xf numFmtId="0" fontId="42" fillId="0" borderId="0" xfId="110" applyFont="1" applyBorder="1" applyAlignment="1">
      <alignment horizontal="center"/>
      <protection/>
    </xf>
    <xf numFmtId="0" fontId="29" fillId="0" borderId="0" xfId="103" applyFont="1" applyAlignment="1">
      <alignment horizontal="center" wrapText="1"/>
      <protection/>
    </xf>
    <xf numFmtId="0" fontId="28" fillId="0" borderId="0" xfId="103" applyFont="1">
      <alignment/>
      <protection/>
    </xf>
    <xf numFmtId="0" fontId="28" fillId="0" borderId="0" xfId="103" applyFont="1" applyAlignment="1">
      <alignment wrapText="1"/>
      <protection/>
    </xf>
    <xf numFmtId="0" fontId="28" fillId="0" borderId="0" xfId="103" applyFont="1" applyAlignment="1">
      <alignment horizontal="center"/>
      <protection/>
    </xf>
    <xf numFmtId="0" fontId="28" fillId="0" borderId="0" xfId="103" applyFont="1" applyAlignment="1">
      <alignment horizontal="center" wrapText="1"/>
      <protection/>
    </xf>
    <xf numFmtId="3" fontId="28" fillId="0" borderId="0" xfId="103" applyNumberFormat="1" applyFont="1">
      <alignment/>
      <protection/>
    </xf>
    <xf numFmtId="3" fontId="28" fillId="0" borderId="0" xfId="103" applyNumberFormat="1" applyFont="1" applyAlignment="1">
      <alignment wrapText="1"/>
      <protection/>
    </xf>
    <xf numFmtId="0" fontId="29" fillId="0" borderId="14" xfId="103" applyFont="1" applyBorder="1" applyAlignment="1">
      <alignment horizontal="center" vertical="center" wrapText="1"/>
      <protection/>
    </xf>
    <xf numFmtId="0" fontId="29" fillId="0" borderId="29" xfId="103" applyFont="1" applyBorder="1" applyAlignment="1">
      <alignment horizontal="center" vertical="center"/>
      <protection/>
    </xf>
    <xf numFmtId="0" fontId="29" fillId="0" borderId="29" xfId="103" applyFont="1" applyBorder="1" applyAlignment="1">
      <alignment horizontal="center" vertical="center" wrapText="1"/>
      <protection/>
    </xf>
    <xf numFmtId="3" fontId="29" fillId="0" borderId="29" xfId="103" applyNumberFormat="1" applyFont="1" applyBorder="1" applyAlignment="1">
      <alignment horizontal="center" vertical="center"/>
      <protection/>
    </xf>
    <xf numFmtId="3" fontId="29" fillId="0" borderId="37" xfId="103" applyNumberFormat="1" applyFont="1" applyBorder="1" applyAlignment="1">
      <alignment horizontal="center" vertical="center" wrapText="1"/>
      <protection/>
    </xf>
    <xf numFmtId="0" fontId="29" fillId="0" borderId="15" xfId="103" applyFont="1" applyBorder="1" applyAlignment="1">
      <alignment horizontal="center" vertical="center" wrapText="1"/>
      <protection/>
    </xf>
    <xf numFmtId="0" fontId="29" fillId="0" borderId="27" xfId="103" applyFont="1" applyBorder="1" applyAlignment="1">
      <alignment horizontal="center" vertical="center"/>
      <protection/>
    </xf>
    <xf numFmtId="0" fontId="29" fillId="0" borderId="27" xfId="103" applyFont="1" applyBorder="1" applyAlignment="1">
      <alignment horizontal="center" vertical="center" wrapText="1"/>
      <protection/>
    </xf>
    <xf numFmtId="3" fontId="29" fillId="0" borderId="27" xfId="103" applyNumberFormat="1" applyFont="1" applyBorder="1" applyAlignment="1">
      <alignment horizontal="center" vertical="center" wrapText="1"/>
      <protection/>
    </xf>
    <xf numFmtId="3" fontId="29" fillId="0" borderId="31" xfId="103" applyNumberFormat="1" applyFont="1" applyBorder="1" applyAlignment="1">
      <alignment horizontal="center" vertical="center" wrapText="1"/>
      <protection/>
    </xf>
    <xf numFmtId="0" fontId="28" fillId="0" borderId="22" xfId="103" applyFont="1" applyBorder="1" applyAlignment="1">
      <alignment vertical="center" wrapText="1"/>
      <protection/>
    </xf>
    <xf numFmtId="0" fontId="28" fillId="0" borderId="33" xfId="103" applyFont="1" applyBorder="1" applyAlignment="1">
      <alignment vertical="center"/>
      <protection/>
    </xf>
    <xf numFmtId="14" fontId="28" fillId="0" borderId="33" xfId="103" applyNumberFormat="1" applyFont="1" applyBorder="1" applyAlignment="1">
      <alignment horizontal="center" vertical="center"/>
      <protection/>
    </xf>
    <xf numFmtId="14" fontId="28" fillId="0" borderId="33" xfId="103" applyNumberFormat="1" applyFont="1" applyBorder="1" applyAlignment="1">
      <alignment horizontal="center" vertical="center" wrapText="1"/>
      <protection/>
    </xf>
    <xf numFmtId="3" fontId="28" fillId="0" borderId="33" xfId="103" applyNumberFormat="1" applyFont="1" applyBorder="1" applyAlignment="1">
      <alignment vertical="center"/>
      <protection/>
    </xf>
    <xf numFmtId="3" fontId="28" fillId="0" borderId="34" xfId="103" applyNumberFormat="1" applyFont="1" applyBorder="1" applyAlignment="1">
      <alignment vertical="center" wrapText="1"/>
      <protection/>
    </xf>
    <xf numFmtId="0" fontId="28" fillId="0" borderId="13" xfId="103" applyFont="1" applyBorder="1" applyAlignment="1">
      <alignment vertical="center" wrapText="1"/>
      <protection/>
    </xf>
    <xf numFmtId="0" fontId="28" fillId="0" borderId="26" xfId="103" applyFont="1" applyBorder="1" applyAlignment="1">
      <alignment vertical="center"/>
      <protection/>
    </xf>
    <xf numFmtId="14" fontId="28" fillId="0" borderId="26" xfId="103" applyNumberFormat="1" applyFont="1" applyBorder="1" applyAlignment="1">
      <alignment horizontal="center" vertical="center"/>
      <protection/>
    </xf>
    <xf numFmtId="14" fontId="28" fillId="0" borderId="26" xfId="103" applyNumberFormat="1" applyFont="1" applyBorder="1" applyAlignment="1">
      <alignment horizontal="center" vertical="center" wrapText="1"/>
      <protection/>
    </xf>
    <xf numFmtId="3" fontId="28" fillId="0" borderId="26" xfId="103" applyNumberFormat="1" applyFont="1" applyBorder="1" applyAlignment="1">
      <alignment vertical="center"/>
      <protection/>
    </xf>
    <xf numFmtId="3" fontId="28" fillId="0" borderId="32" xfId="103" applyNumberFormat="1" applyFont="1" applyBorder="1" applyAlignment="1">
      <alignment vertical="center" wrapText="1"/>
      <protection/>
    </xf>
    <xf numFmtId="0" fontId="28" fillId="0" borderId="26" xfId="103" applyFont="1" applyBorder="1" applyAlignment="1">
      <alignment horizontal="center" vertical="center"/>
      <protection/>
    </xf>
    <xf numFmtId="0" fontId="28" fillId="0" borderId="26" xfId="103" applyFont="1" applyBorder="1" applyAlignment="1">
      <alignment horizontal="center" vertical="center" wrapText="1"/>
      <protection/>
    </xf>
    <xf numFmtId="0" fontId="28" fillId="0" borderId="84" xfId="103" applyFont="1" applyBorder="1" applyAlignment="1">
      <alignment vertical="center" wrapText="1"/>
      <protection/>
    </xf>
    <xf numFmtId="0" fontId="28" fillId="0" borderId="49" xfId="103" applyFont="1" applyBorder="1" applyAlignment="1">
      <alignment vertical="center"/>
      <protection/>
    </xf>
    <xf numFmtId="14" fontId="28" fillId="0" borderId="49" xfId="103" applyNumberFormat="1" applyFont="1" applyBorder="1" applyAlignment="1">
      <alignment horizontal="center" vertical="center"/>
      <protection/>
    </xf>
    <xf numFmtId="14" fontId="28" fillId="0" borderId="49" xfId="103" applyNumberFormat="1" applyFont="1" applyBorder="1" applyAlignment="1">
      <alignment horizontal="center" vertical="center" wrapText="1"/>
      <protection/>
    </xf>
    <xf numFmtId="3" fontId="28" fillId="0" borderId="49" xfId="103" applyNumberFormat="1" applyFont="1" applyBorder="1" applyAlignment="1">
      <alignment vertical="center"/>
      <protection/>
    </xf>
    <xf numFmtId="3" fontId="28" fillId="0" borderId="149" xfId="103" applyNumberFormat="1" applyFont="1" applyBorder="1" applyAlignment="1">
      <alignment vertical="center" wrapText="1"/>
      <protection/>
    </xf>
    <xf numFmtId="0" fontId="29" fillId="0" borderId="24" xfId="103" applyFont="1" applyBorder="1" applyAlignment="1">
      <alignment wrapText="1"/>
      <protection/>
    </xf>
    <xf numFmtId="0" fontId="29" fillId="0" borderId="47" xfId="103" applyFont="1" applyBorder="1">
      <alignment/>
      <protection/>
    </xf>
    <xf numFmtId="0" fontId="29" fillId="0" borderId="47" xfId="103" applyFont="1" applyBorder="1" applyAlignment="1">
      <alignment horizontal="center"/>
      <protection/>
    </xf>
    <xf numFmtId="0" fontId="29" fillId="0" borderId="47" xfId="103" applyFont="1" applyBorder="1" applyAlignment="1">
      <alignment horizontal="center" wrapText="1"/>
      <protection/>
    </xf>
    <xf numFmtId="3" fontId="29" fillId="0" borderId="47" xfId="103" applyNumberFormat="1" applyFont="1" applyBorder="1">
      <alignment/>
      <protection/>
    </xf>
    <xf numFmtId="3" fontId="29" fillId="0" borderId="109" xfId="103" applyNumberFormat="1" applyFont="1" applyBorder="1">
      <alignment/>
      <protection/>
    </xf>
    <xf numFmtId="0" fontId="29" fillId="0" borderId="0" xfId="103" applyFont="1">
      <alignment/>
      <protection/>
    </xf>
  </cellXfs>
  <cellStyles count="11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20% - Accent1" xfId="23"/>
    <cellStyle name="20% - Accent2" xfId="24"/>
    <cellStyle name="20% - Accent3" xfId="25"/>
    <cellStyle name="20% - Accent4" xfId="26"/>
    <cellStyle name="20% - Accent5" xfId="27"/>
    <cellStyle name="20% - Accent6" xfId="28"/>
    <cellStyle name="3. jelölőszín" xfId="29"/>
    <cellStyle name="4. jelölőszín" xfId="30"/>
    <cellStyle name="40% - 1. jelölőszín" xfId="31"/>
    <cellStyle name="40% - 2. jelölőszín" xfId="32"/>
    <cellStyle name="40% - 3. jelölőszín" xfId="33"/>
    <cellStyle name="40% - 4. jelölőszín" xfId="34"/>
    <cellStyle name="40% - 5. jelölőszín" xfId="35"/>
    <cellStyle name="40% - 6. jelölőszín" xfId="36"/>
    <cellStyle name="40% - Accent1" xfId="37"/>
    <cellStyle name="40% - Accent2" xfId="38"/>
    <cellStyle name="40% - Accent3" xfId="39"/>
    <cellStyle name="40% - Accent4" xfId="40"/>
    <cellStyle name="40% - Accent5" xfId="41"/>
    <cellStyle name="40% - Accent6" xfId="42"/>
    <cellStyle name="5. jelölőszín" xfId="43"/>
    <cellStyle name="6. jelölőszín" xfId="44"/>
    <cellStyle name="60% - 1. jelölőszín" xfId="45"/>
    <cellStyle name="60% - 2. jelölőszín" xfId="46"/>
    <cellStyle name="60% - 3. jelölőszín" xfId="47"/>
    <cellStyle name="60% - 4. jelölőszín" xfId="48"/>
    <cellStyle name="60% - 5. jelölőszín" xfId="49"/>
    <cellStyle name="60% - 6. jelölőszín" xfId="50"/>
    <cellStyle name="60% - Accent1" xfId="51"/>
    <cellStyle name="60% - Accent2" xfId="52"/>
    <cellStyle name="60% - Accent3" xfId="53"/>
    <cellStyle name="60% - Accent4" xfId="54"/>
    <cellStyle name="60% - Accent5" xfId="55"/>
    <cellStyle name="60% - Accent6" xfId="56"/>
    <cellStyle name="Accent1" xfId="57"/>
    <cellStyle name="Accent2" xfId="58"/>
    <cellStyle name="Accent3" xfId="59"/>
    <cellStyle name="Accent4" xfId="60"/>
    <cellStyle name="Accent5" xfId="61"/>
    <cellStyle name="Accent6" xfId="62"/>
    <cellStyle name="Bad" xfId="63"/>
    <cellStyle name="Bevitel" xfId="64"/>
    <cellStyle name="Calculation" xfId="65"/>
    <cellStyle name="Check Cell" xfId="66"/>
    <cellStyle name="Cím" xfId="67"/>
    <cellStyle name="Címsor 1" xfId="68"/>
    <cellStyle name="Címsor 2" xfId="69"/>
    <cellStyle name="Címsor 3" xfId="70"/>
    <cellStyle name="Címsor 4" xfId="71"/>
    <cellStyle name="Ellenőrzőcella" xfId="72"/>
    <cellStyle name="Explanatory Text" xfId="73"/>
    <cellStyle name="Comma" xfId="74"/>
    <cellStyle name="Comma [0]" xfId="75"/>
    <cellStyle name="Figyelmeztetés" xfId="76"/>
    <cellStyle name="Good" xfId="77"/>
    <cellStyle name="Heading 1" xfId="78"/>
    <cellStyle name="Heading 2" xfId="79"/>
    <cellStyle name="Heading 3" xfId="80"/>
    <cellStyle name="Heading 4" xfId="81"/>
    <cellStyle name="Hyperlink" xfId="82"/>
    <cellStyle name="Hivatkozott cella" xfId="83"/>
    <cellStyle name="Input" xfId="84"/>
    <cellStyle name="Jegyzet" xfId="85"/>
    <cellStyle name="Jelölőszín (1)" xfId="86"/>
    <cellStyle name="Jelölőszín (2)" xfId="87"/>
    <cellStyle name="Jelölőszín (3)" xfId="88"/>
    <cellStyle name="Jelölőszín (4)" xfId="89"/>
    <cellStyle name="Jelölőszín (5)" xfId="90"/>
    <cellStyle name="Jelölőszín (6)" xfId="91"/>
    <cellStyle name="Jó" xfId="92"/>
    <cellStyle name="Kimenet" xfId="93"/>
    <cellStyle name="Followed Hyperlink" xfId="94"/>
    <cellStyle name="Linked Cell" xfId="95"/>
    <cellStyle name="Magyarázó szöveg" xfId="96"/>
    <cellStyle name="Neutral" xfId="97"/>
    <cellStyle name="Normál_2011 ktv. táblák" xfId="98"/>
    <cellStyle name="Normál_9702KV1_2011 ktv. táblák" xfId="99"/>
    <cellStyle name="Normál_Adósságszolgálat 2012 Brigi" xfId="100"/>
    <cellStyle name="Normál_Beruh.felú-átadott-átvett" xfId="101"/>
    <cellStyle name="Normál_Brigitől kisebbségek" xfId="102"/>
    <cellStyle name="Normál_EU-s" xfId="103"/>
    <cellStyle name="Normál_Intézményi előir.dec. tábla" xfId="104"/>
    <cellStyle name="Normál_Közös Hivatal szakfeladatosa" xfId="105"/>
    <cellStyle name="Normál_KTGVET98" xfId="106"/>
    <cellStyle name="Normál_Kuny Domokos ktgvetés  2013.01.16.-3" xfId="107"/>
    <cellStyle name="Normál_Munkafüzet1" xfId="108"/>
    <cellStyle name="Normál_Munkafüzet1_1" xfId="109"/>
    <cellStyle name="Normál_Munkafüzet3" xfId="110"/>
    <cellStyle name="Normál_Táblák-1" xfId="111"/>
    <cellStyle name="Note" xfId="112"/>
    <cellStyle name="Output" xfId="113"/>
    <cellStyle name="Összesen" xfId="114"/>
    <cellStyle name="Currency" xfId="115"/>
    <cellStyle name="Currency [0]" xfId="116"/>
    <cellStyle name="Rossz" xfId="117"/>
    <cellStyle name="Semleges" xfId="118"/>
    <cellStyle name="Számítás" xfId="119"/>
    <cellStyle name="Percent" xfId="120"/>
    <cellStyle name="Title" xfId="121"/>
    <cellStyle name="Total" xfId="122"/>
    <cellStyle name="Warning Text" xfId="1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styles" Target="styles.xml" /><Relationship Id="rId22" Type="http://schemas.openxmlformats.org/officeDocument/2006/relationships/sharedStrings" Target="sharedStrings.xml" /><Relationship Id="rId23" Type="http://schemas.openxmlformats.org/officeDocument/2006/relationships/externalLink" Target="externalLinks/externalLink1.xml" /><Relationship Id="rId24" Type="http://schemas.openxmlformats.org/officeDocument/2006/relationships/externalLink" Target="externalLinks/externalLink2.xml" /><Relationship Id="rId25" Type="http://schemas.openxmlformats.org/officeDocument/2006/relationships/externalLink" Target="externalLinks/externalLink3.xml" /><Relationship Id="rId26" Type="http://schemas.openxmlformats.org/officeDocument/2006/relationships/externalLink" Target="externalLinks/externalLink4.xml" /><Relationship Id="rId27" Type="http://schemas.openxmlformats.org/officeDocument/2006/relationships/externalLink" Target="externalLinks/externalLink5.xml" /><Relationship Id="rId28" Type="http://schemas.openxmlformats.org/officeDocument/2006/relationships/externalLink" Target="externalLinks/externalLink6.xml" /><Relationship Id="rId29" Type="http://schemas.openxmlformats.org/officeDocument/2006/relationships/externalLink" Target="externalLinks/externalLink7.xml" /><Relationship Id="rId30" Type="http://schemas.openxmlformats.org/officeDocument/2006/relationships/externalLink" Target="externalLinks/externalLink8.xml" /><Relationship Id="rId31" Type="http://schemas.openxmlformats.org/officeDocument/2006/relationships/externalLink" Target="externalLinks/externalLink9.xml" /><Relationship Id="rId3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3\&#193;prilis\Besz&#225;mol&#243;%20janu&#225;r-febru&#225;r\K&#233;sz%20t&#225;bl&#225;k-%201-2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zomborimonika\Dokumentumok\el&#337;terjeszt&#233;sek\2011\November\Koncepci&#243;\Koncepci&#243;%20sz&#246;veg%20&#233;s%20t&#225;bla\Barbara\Exceleim\Buboros%20t&#225;bla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2012.%20k&#246;lts&#233;gvet&#233;si%20t&#225;bl&#225;k%202012%2002%2006-2(K&#246;tv&#233;nyes%20t&#225;bla)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Local%20Settings\Temp\2012.%20&#233;vi%20k&#246;lts&#233;gvet&#233;si%20t&#225;bl&#225;k%202010.01.05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DOCUME~1\ZSOMBO~1\LOCALS~1\Temp\DOCUME~1\ZSOMBO~1\LOCALS~1\Temp\Barbara\10.%20mell&#233;klet%20Ic&#225;nak%20(%20cellat&#246;rl&#337;s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&#233;nz&#252;gyi%20Titk&#225;rs&#225;g\Dokumentumok\el&#337;terjeszt&#233;sek\2012\M&#225;jus\T&#225;j&#233;koztat&#243;%20t&#225;bl&#225;k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SOMBO~1\LOCALS~1\Temp\T&#225;j&#233;koztat&#243;%20t&#225;bl&#225;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Munkaf&#252;zet1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ZOMBOR~1\LOCALS~1\Temp\2012.%20&#233;vi%20k&#246;lts&#233;gvet&#233;si%20t&#225;bl&#225;k%202010.01.05.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unka1 (2)"/>
      <sheetName val="4.....sz. melléklet"/>
      <sheetName val="5.2. sz. melléklet (2)"/>
      <sheetName val="3.... sz. melléklet"/>
      <sheetName val="5.2. sz. melléklet"/>
      <sheetName val="3.. sz. melléklet"/>
      <sheetName val="4..sz. melléklet"/>
      <sheetName val="Munka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. 1.b. melléklet"/>
      <sheetName val="2. sz. melléklet"/>
      <sheetName val="3.sz. melléklet"/>
      <sheetName val="4.A sz. melléklet"/>
      <sheetName val="4.B-C. sz. melléklet"/>
      <sheetName val="5. sz. melléklet"/>
      <sheetName val="6. sz. melléklet"/>
      <sheetName val="7. sz. melléklet"/>
      <sheetName val="8. sz. melléklet"/>
      <sheetName val="9. sz. melléklet"/>
      <sheetName val="10. sz. melléklet"/>
      <sheetName val="10-a.sz. melléklet"/>
      <sheetName val="11. sz. melléklet"/>
      <sheetName val="12. sz. melléklet"/>
      <sheetName val="13. sz. melléklet"/>
      <sheetName val="14. sz. melléklet"/>
      <sheetName val="15. sz. melléklet"/>
      <sheetName val="16.sz. melléklet"/>
      <sheetName val="17.a. 17.b. sz. melléklet"/>
      <sheetName val="18."/>
      <sheetName val="19.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4. sz. melléklet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Többéves kihatás"/>
      <sheetName val="Ei. felh. terv"/>
      <sheetName val="Közvetett támogatások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. sz. melléklet"/>
      <sheetName val="Munka1"/>
      <sheetName val="Pályázati előkészítés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.sz. melléklet"/>
      <sheetName val="1.a1.b. melléklet"/>
      <sheetName val="2. sz. melléklet"/>
      <sheetName val="3.sz. melléklet"/>
      <sheetName val="4. sz. melléklet"/>
      <sheetName val="5. sz. melléklet"/>
      <sheetName val="6. sz. melléklet"/>
      <sheetName val="8. sz. melléklet"/>
      <sheetName val="9. sz. melléklet"/>
      <sheetName val="10. sz. melléklet"/>
      <sheetName val="11. sz. melléklet"/>
      <sheetName val="12. sz. melléklet"/>
      <sheetName val="13. sz. melléklet"/>
      <sheetName val="14. sz. melléklet"/>
      <sheetName val="15. sz. melléklet"/>
      <sheetName val="16. sz. melléklet"/>
      <sheetName val="17.sz. melléklet"/>
      <sheetName val="17.a. 17.b. sz. melléklet"/>
      <sheetName val="18. sz. melléklet"/>
      <sheetName val="Kiadások elemzés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74"/>
  <sheetViews>
    <sheetView view="pageLayout" zoomScaleNormal="90" zoomScaleSheetLayoutView="90" workbookViewId="0" topLeftCell="A1">
      <selection activeCell="A2" sqref="A2:J2"/>
    </sheetView>
  </sheetViews>
  <sheetFormatPr defaultColWidth="9.00390625" defaultRowHeight="12.75"/>
  <cols>
    <col min="1" max="1" width="6.125" style="1" customWidth="1"/>
    <col min="2" max="2" width="73.25390625" style="1" customWidth="1"/>
    <col min="3" max="3" width="11.375" style="39" customWidth="1"/>
    <col min="4" max="4" width="12.375" style="39" customWidth="1"/>
    <col min="5" max="5" width="12.625" style="39" customWidth="1"/>
    <col min="6" max="6" width="6.125" style="1" customWidth="1"/>
    <col min="7" max="7" width="64.375" style="1" customWidth="1"/>
    <col min="8" max="8" width="11.375" style="39" customWidth="1"/>
    <col min="9" max="9" width="12.25390625" style="1" customWidth="1"/>
    <col min="10" max="10" width="12.375" style="1" customWidth="1"/>
    <col min="11" max="16384" width="9.125" style="1" customWidth="1"/>
  </cols>
  <sheetData>
    <row r="1" ht="12.75">
      <c r="A1" s="91"/>
    </row>
    <row r="2" spans="1:10" ht="19.5" customHeight="1">
      <c r="A2" s="1031" t="s">
        <v>279</v>
      </c>
      <c r="B2" s="1031"/>
      <c r="C2" s="1031"/>
      <c r="D2" s="1031"/>
      <c r="E2" s="1031"/>
      <c r="F2" s="1031"/>
      <c r="G2" s="1031"/>
      <c r="H2" s="1031"/>
      <c r="I2" s="1032"/>
      <c r="J2" s="1032"/>
    </row>
    <row r="3" spans="6:7" ht="13.5" thickBot="1">
      <c r="F3" s="39"/>
      <c r="G3" s="39"/>
    </row>
    <row r="4" spans="1:10" ht="13.5" customHeight="1">
      <c r="A4" s="1043" t="s">
        <v>509</v>
      </c>
      <c r="B4" s="1044"/>
      <c r="C4" s="1044"/>
      <c r="D4" s="1045"/>
      <c r="E4" s="1046"/>
      <c r="F4" s="1047" t="s">
        <v>510</v>
      </c>
      <c r="G4" s="1048"/>
      <c r="H4" s="1048"/>
      <c r="I4" s="1049"/>
      <c r="J4" s="1050"/>
    </row>
    <row r="5" spans="1:10" ht="14.25" customHeight="1" thickBot="1">
      <c r="A5" s="1039" t="s">
        <v>121</v>
      </c>
      <c r="B5" s="1040"/>
      <c r="C5" s="229" t="s">
        <v>162</v>
      </c>
      <c r="D5" s="229" t="s">
        <v>888</v>
      </c>
      <c r="E5" s="658" t="s">
        <v>947</v>
      </c>
      <c r="F5" s="1041" t="s">
        <v>121</v>
      </c>
      <c r="G5" s="1042"/>
      <c r="H5" s="229" t="s">
        <v>122</v>
      </c>
      <c r="I5" s="934" t="s">
        <v>888</v>
      </c>
      <c r="J5" s="935" t="s">
        <v>947</v>
      </c>
    </row>
    <row r="6" spans="1:10" ht="13.5" customHeight="1">
      <c r="A6" s="148" t="s">
        <v>82</v>
      </c>
      <c r="B6" s="149"/>
      <c r="C6" s="372">
        <f>SUM(C7:C9)</f>
        <v>1221389</v>
      </c>
      <c r="D6" s="372">
        <f>SUM(D7:D9)</f>
        <v>1277869</v>
      </c>
      <c r="E6" s="677">
        <f>SUM(E7:E9)</f>
        <v>1298932</v>
      </c>
      <c r="F6" s="929" t="s">
        <v>36</v>
      </c>
      <c r="G6" s="930"/>
      <c r="H6" s="931">
        <v>1050011</v>
      </c>
      <c r="I6" s="932">
        <v>1121034</v>
      </c>
      <c r="J6" s="933">
        <v>1178830</v>
      </c>
    </row>
    <row r="7" spans="1:10" ht="13.5" customHeight="1">
      <c r="A7" s="98"/>
      <c r="B7" s="96" t="s">
        <v>284</v>
      </c>
      <c r="C7" s="373">
        <v>41769</v>
      </c>
      <c r="D7" s="102">
        <v>63635</v>
      </c>
      <c r="E7" s="659">
        <v>84698</v>
      </c>
      <c r="F7" s="95"/>
      <c r="G7" s="96"/>
      <c r="H7" s="654"/>
      <c r="I7" s="102"/>
      <c r="J7" s="659"/>
    </row>
    <row r="8" spans="1:10" ht="12.75" customHeight="1">
      <c r="A8" s="103"/>
      <c r="B8" s="102" t="s">
        <v>282</v>
      </c>
      <c r="C8" s="102">
        <v>1086770</v>
      </c>
      <c r="D8" s="373">
        <v>1121384</v>
      </c>
      <c r="E8" s="660">
        <v>1121384</v>
      </c>
      <c r="F8" s="98"/>
      <c r="G8" s="96"/>
      <c r="H8" s="102"/>
      <c r="I8" s="102"/>
      <c r="J8" s="659"/>
    </row>
    <row r="9" spans="1:10" ht="12.75">
      <c r="A9" s="98"/>
      <c r="B9" s="104" t="s">
        <v>85</v>
      </c>
      <c r="C9" s="373">
        <v>92850</v>
      </c>
      <c r="D9" s="373">
        <v>92850</v>
      </c>
      <c r="E9" s="660">
        <v>92850</v>
      </c>
      <c r="F9" s="95" t="s">
        <v>435</v>
      </c>
      <c r="G9" s="96"/>
      <c r="H9" s="654">
        <v>280044</v>
      </c>
      <c r="I9" s="374">
        <v>294431</v>
      </c>
      <c r="J9" s="661">
        <v>301516</v>
      </c>
    </row>
    <row r="10" spans="1:10" ht="13.5" customHeight="1">
      <c r="A10" s="100"/>
      <c r="B10" s="104"/>
      <c r="C10" s="373"/>
      <c r="D10" s="373"/>
      <c r="E10" s="660"/>
      <c r="F10" s="98"/>
      <c r="G10" s="96"/>
      <c r="H10" s="102"/>
      <c r="I10" s="102"/>
      <c r="J10" s="659"/>
    </row>
    <row r="11" spans="1:10" ht="12.75">
      <c r="A11" s="105" t="s">
        <v>86</v>
      </c>
      <c r="B11" s="106"/>
      <c r="C11" s="374">
        <f>SUM(C12:C13)</f>
        <v>276411</v>
      </c>
      <c r="D11" s="374">
        <f>SUM(D12:D13)</f>
        <v>351890</v>
      </c>
      <c r="E11" s="661">
        <f>SUM(E12:E13)</f>
        <v>413920</v>
      </c>
      <c r="F11" s="98"/>
      <c r="G11" s="96"/>
      <c r="H11" s="102"/>
      <c r="I11" s="102"/>
      <c r="J11" s="659"/>
    </row>
    <row r="12" spans="1:10" ht="12.75">
      <c r="A12" s="107"/>
      <c r="B12" s="108" t="s">
        <v>42</v>
      </c>
      <c r="C12" s="102">
        <v>0</v>
      </c>
      <c r="D12" s="102">
        <v>0</v>
      </c>
      <c r="E12" s="659">
        <v>0</v>
      </c>
      <c r="F12" s="1051" t="s">
        <v>38</v>
      </c>
      <c r="G12" s="1052"/>
      <c r="H12" s="955">
        <v>1611955</v>
      </c>
      <c r="I12" s="963">
        <v>1737286</v>
      </c>
      <c r="J12" s="964">
        <v>1926396</v>
      </c>
    </row>
    <row r="13" spans="1:10" ht="12.75">
      <c r="A13" s="98"/>
      <c r="B13" s="99" t="s">
        <v>430</v>
      </c>
      <c r="C13" s="102">
        <v>276411</v>
      </c>
      <c r="D13" s="102">
        <v>351890</v>
      </c>
      <c r="E13" s="659">
        <v>413920</v>
      </c>
      <c r="F13" s="957"/>
      <c r="G13" s="958"/>
      <c r="H13" s="960"/>
      <c r="I13" s="960"/>
      <c r="J13" s="961"/>
    </row>
    <row r="14" spans="1:10" ht="12.75">
      <c r="A14" s="98"/>
      <c r="B14" s="99"/>
      <c r="C14" s="102"/>
      <c r="D14" s="102"/>
      <c r="E14" s="659"/>
      <c r="F14" s="957"/>
      <c r="G14" s="958"/>
      <c r="H14" s="958"/>
      <c r="I14" s="960"/>
      <c r="J14" s="961"/>
    </row>
    <row r="15" spans="1:10" ht="12.75">
      <c r="A15" s="92" t="s">
        <v>89</v>
      </c>
      <c r="B15" s="99"/>
      <c r="C15" s="374">
        <f>SUM(C16:C19)</f>
        <v>2315462</v>
      </c>
      <c r="D15" s="374">
        <f>SUM(D16:D19)</f>
        <v>2312333</v>
      </c>
      <c r="E15" s="661">
        <f>SUM(E16:E19)</f>
        <v>2087325</v>
      </c>
      <c r="F15" s="965" t="s">
        <v>45</v>
      </c>
      <c r="G15" s="974"/>
      <c r="H15" s="967">
        <v>184105</v>
      </c>
      <c r="I15" s="963">
        <v>185722</v>
      </c>
      <c r="J15" s="964">
        <v>194634</v>
      </c>
    </row>
    <row r="16" spans="1:10" ht="12.75">
      <c r="A16" s="92"/>
      <c r="B16" s="99" t="s">
        <v>885</v>
      </c>
      <c r="C16" s="374"/>
      <c r="D16" s="373">
        <v>49795</v>
      </c>
      <c r="E16" s="660">
        <v>56077</v>
      </c>
      <c r="F16" s="965"/>
      <c r="G16" s="974"/>
      <c r="H16" s="967"/>
      <c r="I16" s="960"/>
      <c r="J16" s="961"/>
    </row>
    <row r="17" spans="1:10" ht="12.75">
      <c r="A17" s="100"/>
      <c r="B17" s="99" t="s">
        <v>87</v>
      </c>
      <c r="C17" s="373">
        <v>0</v>
      </c>
      <c r="D17" s="373">
        <v>0</v>
      </c>
      <c r="E17" s="660">
        <v>0</v>
      </c>
      <c r="F17" s="957"/>
      <c r="G17" s="958"/>
      <c r="H17" s="975"/>
      <c r="I17" s="960"/>
      <c r="J17" s="961"/>
    </row>
    <row r="18" spans="1:10" ht="12.75">
      <c r="A18" s="100"/>
      <c r="B18" s="99" t="s">
        <v>88</v>
      </c>
      <c r="C18" s="373">
        <v>1691228</v>
      </c>
      <c r="D18" s="373">
        <v>1638304</v>
      </c>
      <c r="E18" s="660">
        <v>2031248</v>
      </c>
      <c r="F18" s="965" t="s">
        <v>280</v>
      </c>
      <c r="G18" s="974"/>
      <c r="H18" s="967">
        <f>SUM(H25+H21+H20+H19)</f>
        <v>1002114</v>
      </c>
      <c r="I18" s="967">
        <f>SUM(I25+I21+I20+I19)</f>
        <v>1035954</v>
      </c>
      <c r="J18" s="976">
        <f>SUM(J25+J21+J20+J19)</f>
        <v>922501</v>
      </c>
    </row>
    <row r="19" spans="1:10" ht="12.75">
      <c r="A19" s="100"/>
      <c r="B19" s="99" t="s">
        <v>1</v>
      </c>
      <c r="C19" s="373">
        <v>624234</v>
      </c>
      <c r="D19" s="373">
        <v>624234</v>
      </c>
      <c r="E19" s="660">
        <v>0</v>
      </c>
      <c r="F19" s="957"/>
      <c r="G19" s="958" t="s">
        <v>42</v>
      </c>
      <c r="H19" s="960">
        <v>6000</v>
      </c>
      <c r="I19" s="960">
        <v>6000</v>
      </c>
      <c r="J19" s="961">
        <v>6000</v>
      </c>
    </row>
    <row r="20" spans="1:10" ht="12.75">
      <c r="A20" s="92"/>
      <c r="B20" s="101"/>
      <c r="C20" s="374"/>
      <c r="D20" s="374"/>
      <c r="E20" s="661"/>
      <c r="F20" s="957"/>
      <c r="G20" s="958" t="s">
        <v>43</v>
      </c>
      <c r="H20" s="960">
        <v>834414</v>
      </c>
      <c r="I20" s="960">
        <v>873606</v>
      </c>
      <c r="J20" s="961">
        <v>892552</v>
      </c>
    </row>
    <row r="21" spans="1:10" ht="12.75">
      <c r="A21" s="92" t="s">
        <v>514</v>
      </c>
      <c r="B21" s="97"/>
      <c r="C21" s="374">
        <f>SUM(C22:C25)</f>
        <v>1795800</v>
      </c>
      <c r="D21" s="374">
        <f>SUM(D22:D25)</f>
        <v>1795800</v>
      </c>
      <c r="E21" s="661">
        <f>SUM(E22:E25)</f>
        <v>1831335</v>
      </c>
      <c r="F21" s="957"/>
      <c r="G21" s="974" t="s">
        <v>152</v>
      </c>
      <c r="H21" s="960">
        <f>SUM(H22:H24)</f>
        <v>161700</v>
      </c>
      <c r="I21" s="960">
        <f>SUM(I22:I24)</f>
        <v>140131</v>
      </c>
      <c r="J21" s="961">
        <f>SUM(J22:J24)</f>
        <v>1130</v>
      </c>
    </row>
    <row r="22" spans="1:10" ht="14.25" customHeight="1">
      <c r="A22" s="98"/>
      <c r="B22" s="96" t="s">
        <v>91</v>
      </c>
      <c r="C22" s="102">
        <v>446000</v>
      </c>
      <c r="D22" s="102">
        <v>446000</v>
      </c>
      <c r="E22" s="659">
        <v>444000</v>
      </c>
      <c r="F22" s="98"/>
      <c r="G22" s="113" t="s">
        <v>44</v>
      </c>
      <c r="H22" s="656">
        <v>13000</v>
      </c>
      <c r="I22" s="102">
        <v>5958</v>
      </c>
      <c r="J22" s="659">
        <v>423</v>
      </c>
    </row>
    <row r="23" spans="1:10" ht="12.75">
      <c r="A23" s="100"/>
      <c r="B23" s="109" t="s">
        <v>51</v>
      </c>
      <c r="C23" s="102">
        <v>1338000</v>
      </c>
      <c r="D23" s="102">
        <v>1338000</v>
      </c>
      <c r="E23" s="659">
        <v>1369000</v>
      </c>
      <c r="F23" s="98"/>
      <c r="G23" s="151" t="s">
        <v>704</v>
      </c>
      <c r="H23" s="656">
        <v>125400</v>
      </c>
      <c r="I23" s="102">
        <v>81927</v>
      </c>
      <c r="J23" s="659">
        <v>0</v>
      </c>
    </row>
    <row r="24" spans="1:10" ht="12.75">
      <c r="A24" s="98"/>
      <c r="B24" s="110" t="s">
        <v>431</v>
      </c>
      <c r="C24" s="102">
        <v>1300</v>
      </c>
      <c r="D24" s="102">
        <v>1300</v>
      </c>
      <c r="E24" s="659">
        <v>335</v>
      </c>
      <c r="F24" s="98"/>
      <c r="G24" s="146" t="s">
        <v>63</v>
      </c>
      <c r="H24" s="656">
        <v>23300</v>
      </c>
      <c r="I24" s="102">
        <v>52246</v>
      </c>
      <c r="J24" s="659">
        <v>707</v>
      </c>
    </row>
    <row r="25" spans="1:10" ht="12.75">
      <c r="A25" s="105"/>
      <c r="B25" s="108" t="s">
        <v>52</v>
      </c>
      <c r="C25" s="373">
        <v>10500</v>
      </c>
      <c r="D25" s="373">
        <v>10500</v>
      </c>
      <c r="E25" s="660">
        <v>18000</v>
      </c>
      <c r="F25" s="152"/>
      <c r="G25" s="96" t="s">
        <v>786</v>
      </c>
      <c r="H25" s="657"/>
      <c r="I25" s="102">
        <v>16217</v>
      </c>
      <c r="J25" s="659">
        <v>22819</v>
      </c>
    </row>
    <row r="26" spans="1:10" ht="12.75">
      <c r="A26" s="107"/>
      <c r="B26" s="108"/>
      <c r="C26" s="373"/>
      <c r="D26" s="373"/>
      <c r="E26" s="660"/>
      <c r="F26" s="98"/>
      <c r="G26" s="96"/>
      <c r="H26" s="655"/>
      <c r="I26" s="102"/>
      <c r="J26" s="659"/>
    </row>
    <row r="27" spans="1:10" ht="12.75" customHeight="1">
      <c r="A27" s="93" t="s">
        <v>101</v>
      </c>
      <c r="B27" s="99"/>
      <c r="C27" s="374">
        <f>SUM(C28:C35)</f>
        <v>1283090</v>
      </c>
      <c r="D27" s="374">
        <f>SUM(D28:D35)</f>
        <v>1271658</v>
      </c>
      <c r="E27" s="661">
        <f>SUM(E28:E35)</f>
        <v>1275313</v>
      </c>
      <c r="F27" s="93" t="s">
        <v>281</v>
      </c>
      <c r="G27" s="96"/>
      <c r="H27" s="374">
        <v>2447222</v>
      </c>
      <c r="I27" s="374">
        <v>2579369</v>
      </c>
      <c r="J27" s="661">
        <v>2772826</v>
      </c>
    </row>
    <row r="28" spans="1:10" ht="12.75">
      <c r="A28" s="98"/>
      <c r="B28" s="96" t="s">
        <v>344</v>
      </c>
      <c r="C28" s="102">
        <v>655254</v>
      </c>
      <c r="D28" s="102">
        <v>564268</v>
      </c>
      <c r="E28" s="659">
        <v>557767</v>
      </c>
      <c r="F28" s="98"/>
      <c r="G28" s="96"/>
      <c r="H28" s="102"/>
      <c r="I28" s="102"/>
      <c r="J28" s="659"/>
    </row>
    <row r="29" spans="1:10" ht="12.75">
      <c r="A29" s="98"/>
      <c r="B29" s="96" t="s">
        <v>53</v>
      </c>
      <c r="C29" s="102">
        <v>264033</v>
      </c>
      <c r="D29" s="102">
        <v>224959</v>
      </c>
      <c r="E29" s="659">
        <v>179036</v>
      </c>
      <c r="F29" s="98"/>
      <c r="G29" s="96"/>
      <c r="H29" s="102"/>
      <c r="I29" s="102"/>
      <c r="J29" s="659"/>
    </row>
    <row r="30" spans="1:10" ht="12.75">
      <c r="A30" s="98"/>
      <c r="B30" s="96" t="s">
        <v>1024</v>
      </c>
      <c r="C30" s="102"/>
      <c r="D30" s="102"/>
      <c r="E30" s="659">
        <v>29920</v>
      </c>
      <c r="F30" s="93" t="s">
        <v>283</v>
      </c>
      <c r="G30" s="94"/>
      <c r="H30" s="116">
        <v>283400</v>
      </c>
      <c r="I30" s="374">
        <v>388751</v>
      </c>
      <c r="J30" s="661">
        <v>396385</v>
      </c>
    </row>
    <row r="31" spans="1:10" ht="12.75">
      <c r="A31" s="92"/>
      <c r="B31" s="94" t="s">
        <v>54</v>
      </c>
      <c r="C31" s="373">
        <v>18215</v>
      </c>
      <c r="D31" s="373">
        <v>104447</v>
      </c>
      <c r="E31" s="660">
        <v>115738</v>
      </c>
      <c r="F31" s="98"/>
      <c r="G31" s="94"/>
      <c r="H31" s="657"/>
      <c r="I31" s="102"/>
      <c r="J31" s="659"/>
    </row>
    <row r="32" spans="1:10" ht="12.75">
      <c r="A32" s="98"/>
      <c r="B32" s="94" t="s">
        <v>104</v>
      </c>
      <c r="C32" s="373">
        <v>82011</v>
      </c>
      <c r="D32" s="373">
        <v>82011</v>
      </c>
      <c r="E32" s="660">
        <v>85537</v>
      </c>
      <c r="F32" s="98"/>
      <c r="G32" s="96"/>
      <c r="H32" s="102"/>
      <c r="I32" s="102"/>
      <c r="J32" s="659"/>
    </row>
    <row r="33" spans="1:10" ht="13.5" customHeight="1">
      <c r="A33" s="100"/>
      <c r="B33" s="99" t="s">
        <v>228</v>
      </c>
      <c r="C33" s="373">
        <v>236336</v>
      </c>
      <c r="D33" s="373">
        <v>268684</v>
      </c>
      <c r="E33" s="660">
        <v>267222</v>
      </c>
      <c r="F33" s="93" t="s">
        <v>66</v>
      </c>
      <c r="G33" s="96"/>
      <c r="H33" s="116">
        <f>SUM(H34:H37)</f>
        <v>1407334</v>
      </c>
      <c r="I33" s="116">
        <f>SUM(I34:I37)</f>
        <v>1380971</v>
      </c>
      <c r="J33" s="680">
        <f>SUM(J34:J37)</f>
        <v>199801</v>
      </c>
    </row>
    <row r="34" spans="1:10" ht="12.75">
      <c r="A34" s="98"/>
      <c r="B34" s="145" t="s">
        <v>432</v>
      </c>
      <c r="C34" s="373">
        <v>5000</v>
      </c>
      <c r="D34" s="373">
        <v>5048</v>
      </c>
      <c r="E34" s="660">
        <v>5270</v>
      </c>
      <c r="F34" s="98"/>
      <c r="G34" s="96" t="s">
        <v>41</v>
      </c>
      <c r="H34" s="102">
        <v>808</v>
      </c>
      <c r="I34" s="102">
        <v>808</v>
      </c>
      <c r="J34" s="659">
        <v>1808</v>
      </c>
    </row>
    <row r="35" spans="1:10" ht="12.75">
      <c r="A35" s="98"/>
      <c r="B35" s="145" t="s">
        <v>196</v>
      </c>
      <c r="C35" s="373">
        <v>22241</v>
      </c>
      <c r="D35" s="373">
        <v>22241</v>
      </c>
      <c r="E35" s="660">
        <v>34823</v>
      </c>
      <c r="F35" s="98"/>
      <c r="G35" s="96" t="s">
        <v>42</v>
      </c>
      <c r="H35" s="102">
        <v>4500</v>
      </c>
      <c r="I35" s="102">
        <v>4350</v>
      </c>
      <c r="J35" s="659">
        <v>4350</v>
      </c>
    </row>
    <row r="36" spans="1:10" ht="12.75" customHeight="1">
      <c r="A36" s="95"/>
      <c r="B36" s="109"/>
      <c r="C36" s="102"/>
      <c r="D36" s="102"/>
      <c r="E36" s="659"/>
      <c r="F36" s="98"/>
      <c r="G36" s="96" t="s">
        <v>67</v>
      </c>
      <c r="H36" s="102">
        <v>73761</v>
      </c>
      <c r="I36" s="102">
        <v>76891</v>
      </c>
      <c r="J36" s="659">
        <v>193643</v>
      </c>
    </row>
    <row r="37" spans="1:10" ht="12.75" customHeight="1">
      <c r="A37" s="95" t="s">
        <v>106</v>
      </c>
      <c r="B37" s="109"/>
      <c r="C37" s="374">
        <f>SUM(C38:C39)</f>
        <v>7494</v>
      </c>
      <c r="D37" s="374">
        <f>SUM(D38:D39)</f>
        <v>67494</v>
      </c>
      <c r="E37" s="661">
        <f>SUM(E38:E39)</f>
        <v>74458</v>
      </c>
      <c r="F37" s="98"/>
      <c r="G37" s="99" t="s">
        <v>478</v>
      </c>
      <c r="H37" s="102">
        <f>SUM(H38:H40)</f>
        <v>1328265</v>
      </c>
      <c r="I37" s="102">
        <f>SUM(I38:I40)</f>
        <v>1298922</v>
      </c>
      <c r="J37" s="659">
        <f>SUM(J38:J40)</f>
        <v>0</v>
      </c>
    </row>
    <row r="38" spans="1:10" ht="12.75" customHeight="1">
      <c r="A38" s="95"/>
      <c r="B38" s="96" t="s">
        <v>107</v>
      </c>
      <c r="C38" s="102">
        <v>7494</v>
      </c>
      <c r="D38" s="102">
        <v>67494</v>
      </c>
      <c r="E38" s="659">
        <v>74395</v>
      </c>
      <c r="F38" s="98"/>
      <c r="G38" s="113" t="s">
        <v>68</v>
      </c>
      <c r="H38" s="656">
        <v>50000</v>
      </c>
      <c r="I38" s="656">
        <v>24688</v>
      </c>
      <c r="J38" s="681">
        <v>0</v>
      </c>
    </row>
    <row r="39" spans="1:10" ht="12.75" customHeight="1">
      <c r="A39" s="95"/>
      <c r="B39" s="96" t="s">
        <v>229</v>
      </c>
      <c r="C39" s="102">
        <v>0</v>
      </c>
      <c r="D39" s="102">
        <v>0</v>
      </c>
      <c r="E39" s="659">
        <v>63</v>
      </c>
      <c r="F39" s="98"/>
      <c r="G39" s="113" t="s">
        <v>69</v>
      </c>
      <c r="H39" s="656">
        <v>0</v>
      </c>
      <c r="I39" s="656">
        <v>0</v>
      </c>
      <c r="J39" s="681">
        <v>0</v>
      </c>
    </row>
    <row r="40" spans="1:10" ht="12.75" customHeight="1">
      <c r="A40" s="95"/>
      <c r="B40" s="109"/>
      <c r="C40" s="102"/>
      <c r="D40" s="102"/>
      <c r="E40" s="659"/>
      <c r="F40" s="98"/>
      <c r="G40" s="113" t="s">
        <v>70</v>
      </c>
      <c r="H40" s="656">
        <v>1278265</v>
      </c>
      <c r="I40" s="656">
        <v>1274234</v>
      </c>
      <c r="J40" s="681">
        <v>0</v>
      </c>
    </row>
    <row r="41" spans="1:10" ht="12.75" customHeight="1">
      <c r="A41" s="95" t="s">
        <v>108</v>
      </c>
      <c r="B41" s="96"/>
      <c r="C41" s="374">
        <f>SUM(C42:C44)</f>
        <v>178693</v>
      </c>
      <c r="D41" s="374">
        <f>SUM(D42:D44)</f>
        <v>178944</v>
      </c>
      <c r="E41" s="661">
        <f>SUM(E42:E44)</f>
        <v>74612</v>
      </c>
      <c r="F41" s="98"/>
      <c r="G41" s="113"/>
      <c r="H41" s="656"/>
      <c r="I41" s="656"/>
      <c r="J41" s="681"/>
    </row>
    <row r="42" spans="1:10" ht="12.75" customHeight="1">
      <c r="A42" s="98"/>
      <c r="B42" s="96" t="s">
        <v>433</v>
      </c>
      <c r="C42" s="102">
        <v>154763</v>
      </c>
      <c r="D42" s="102">
        <v>154763</v>
      </c>
      <c r="E42" s="659">
        <v>70489</v>
      </c>
      <c r="F42" s="98"/>
      <c r="G42" s="113"/>
      <c r="H42" s="656"/>
      <c r="I42" s="656"/>
      <c r="J42" s="681"/>
    </row>
    <row r="43" spans="1:10" ht="12.75" customHeight="1">
      <c r="A43" s="98"/>
      <c r="B43" s="96" t="s">
        <v>110</v>
      </c>
      <c r="C43" s="102">
        <v>3840</v>
      </c>
      <c r="D43" s="102">
        <v>4091</v>
      </c>
      <c r="E43" s="659">
        <v>4123</v>
      </c>
      <c r="F43" s="98"/>
      <c r="G43" s="113"/>
      <c r="H43" s="656"/>
      <c r="I43" s="656"/>
      <c r="J43" s="681"/>
    </row>
    <row r="44" spans="1:10" ht="12.75" customHeight="1">
      <c r="A44" s="138"/>
      <c r="B44" s="108" t="s">
        <v>434</v>
      </c>
      <c r="C44" s="373">
        <v>20090</v>
      </c>
      <c r="D44" s="373">
        <v>20090</v>
      </c>
      <c r="E44" s="660">
        <v>0</v>
      </c>
      <c r="F44" s="139"/>
      <c r="G44" s="96"/>
      <c r="H44" s="373"/>
      <c r="I44" s="102"/>
      <c r="J44" s="659"/>
    </row>
    <row r="45" spans="1:10" ht="12.75" customHeight="1">
      <c r="A45" s="139"/>
      <c r="B45" s="94"/>
      <c r="C45" s="373"/>
      <c r="D45" s="373"/>
      <c r="E45" s="660"/>
      <c r="F45" s="98"/>
      <c r="G45" s="96"/>
      <c r="H45" s="102"/>
      <c r="I45" s="102"/>
      <c r="J45" s="659"/>
    </row>
    <row r="46" spans="1:10" ht="12.75">
      <c r="A46" s="93" t="s">
        <v>111</v>
      </c>
      <c r="B46" s="94"/>
      <c r="C46" s="374">
        <f>SUM(C47:C48)</f>
        <v>110123</v>
      </c>
      <c r="D46" s="374">
        <f>SUM(D47:D48)</f>
        <v>117129</v>
      </c>
      <c r="E46" s="661">
        <f>SUM(E47:E48)</f>
        <v>136593</v>
      </c>
      <c r="F46" s="139"/>
      <c r="G46" s="94"/>
      <c r="H46" s="657"/>
      <c r="I46" s="102"/>
      <c r="J46" s="659"/>
    </row>
    <row r="47" spans="1:10" ht="12.75" customHeight="1">
      <c r="A47" s="139"/>
      <c r="B47" s="96" t="s">
        <v>112</v>
      </c>
      <c r="C47" s="373">
        <v>109523</v>
      </c>
      <c r="D47" s="373">
        <v>116529</v>
      </c>
      <c r="E47" s="660">
        <v>98633</v>
      </c>
      <c r="F47" s="98"/>
      <c r="G47" s="94"/>
      <c r="H47" s="373"/>
      <c r="I47" s="102"/>
      <c r="J47" s="659"/>
    </row>
    <row r="48" spans="1:10" ht="12.75" customHeight="1">
      <c r="A48" s="139"/>
      <c r="B48" s="96" t="s">
        <v>113</v>
      </c>
      <c r="C48" s="373">
        <v>600</v>
      </c>
      <c r="D48" s="373">
        <v>600</v>
      </c>
      <c r="E48" s="660">
        <v>37960</v>
      </c>
      <c r="F48" s="98"/>
      <c r="G48" s="94"/>
      <c r="H48" s="373"/>
      <c r="I48" s="102"/>
      <c r="J48" s="659"/>
    </row>
    <row r="49" spans="1:10" ht="12.75" customHeight="1">
      <c r="A49" s="98"/>
      <c r="B49" s="96"/>
      <c r="C49" s="102"/>
      <c r="D49" s="102"/>
      <c r="E49" s="659"/>
      <c r="F49" s="98"/>
      <c r="G49" s="94"/>
      <c r="H49" s="373"/>
      <c r="I49" s="102"/>
      <c r="J49" s="659"/>
    </row>
    <row r="50" spans="1:10" ht="18.75" customHeight="1">
      <c r="A50" s="147" t="s">
        <v>206</v>
      </c>
      <c r="B50" s="111"/>
      <c r="C50" s="375">
        <f>SUM(C6,C11,C15,C21,C27,C37,C41,C46)</f>
        <v>7188462</v>
      </c>
      <c r="D50" s="375">
        <f>SUM(D6,D11,D15,D21,D27,D37,D41,D46)</f>
        <v>7373117</v>
      </c>
      <c r="E50" s="678">
        <f>SUM(E6,E11,E15,E21,E27,E37,E41,E46)</f>
        <v>7192488</v>
      </c>
      <c r="F50" s="1051" t="s">
        <v>207</v>
      </c>
      <c r="G50" s="1052"/>
      <c r="H50" s="955">
        <f>SUM(H6+H9+H12+H15+H18+H27+H30+H33)</f>
        <v>8266185</v>
      </c>
      <c r="I50" s="955">
        <f>SUM(I6+I9+I12+I15+I18+I27+I30+I33)</f>
        <v>8723518</v>
      </c>
      <c r="J50" s="956">
        <f>SUM(J6+J9+J12+J15+J18+J27+J30+J33)</f>
        <v>7892889</v>
      </c>
    </row>
    <row r="51" spans="1:10" ht="12.75" customHeight="1">
      <c r="A51" s="98"/>
      <c r="B51" s="96"/>
      <c r="C51" s="102"/>
      <c r="D51" s="102"/>
      <c r="E51" s="659"/>
      <c r="F51" s="957"/>
      <c r="G51" s="958"/>
      <c r="H51" s="959"/>
      <c r="I51" s="960"/>
      <c r="J51" s="961"/>
    </row>
    <row r="52" spans="1:10" ht="12.75" customHeight="1">
      <c r="A52" s="112" t="s">
        <v>285</v>
      </c>
      <c r="B52" s="106"/>
      <c r="C52" s="374">
        <f>C50-H50</f>
        <v>-1077723</v>
      </c>
      <c r="D52" s="374">
        <f>D50-I50</f>
        <v>-1350401</v>
      </c>
      <c r="E52" s="661">
        <f>E50-J50</f>
        <v>-700401</v>
      </c>
      <c r="F52" s="957"/>
      <c r="G52" s="958"/>
      <c r="H52" s="962"/>
      <c r="I52" s="960"/>
      <c r="J52" s="961"/>
    </row>
    <row r="53" spans="1:10" ht="12.75" customHeight="1">
      <c r="A53" s="112"/>
      <c r="B53" s="106"/>
      <c r="C53" s="374"/>
      <c r="D53" s="374"/>
      <c r="E53" s="661"/>
      <c r="F53" s="1055" t="s">
        <v>573</v>
      </c>
      <c r="G53" s="1052"/>
      <c r="H53" s="963">
        <v>80158</v>
      </c>
      <c r="I53" s="963">
        <v>44961</v>
      </c>
      <c r="J53" s="964">
        <v>44961</v>
      </c>
    </row>
    <row r="54" spans="1:10" ht="15" customHeight="1">
      <c r="A54" s="105" t="s">
        <v>286</v>
      </c>
      <c r="B54" s="106"/>
      <c r="C54" s="374">
        <f>SUM(C55:C57)</f>
        <v>1254031</v>
      </c>
      <c r="D54" s="374">
        <f>SUM(D55:D57)</f>
        <v>1444256</v>
      </c>
      <c r="E54" s="928">
        <f>SUM(E55:E57)</f>
        <v>3595177</v>
      </c>
      <c r="F54" s="965"/>
      <c r="G54" s="966"/>
      <c r="H54" s="963"/>
      <c r="I54" s="963"/>
      <c r="J54" s="964"/>
    </row>
    <row r="55" spans="1:10" ht="12.75" customHeight="1">
      <c r="A55" s="98"/>
      <c r="B55" s="94" t="s">
        <v>203</v>
      </c>
      <c r="C55" s="373">
        <v>350000</v>
      </c>
      <c r="D55" s="373">
        <v>544256</v>
      </c>
      <c r="E55" s="660">
        <v>544256</v>
      </c>
      <c r="F55" s="1055" t="s">
        <v>574</v>
      </c>
      <c r="G55" s="1052"/>
      <c r="H55" s="967">
        <v>96150</v>
      </c>
      <c r="I55" s="963">
        <v>48894</v>
      </c>
      <c r="J55" s="964">
        <v>48894</v>
      </c>
    </row>
    <row r="56" spans="1:10" ht="12.75" customHeight="1">
      <c r="A56" s="98"/>
      <c r="B56" s="150" t="s">
        <v>204</v>
      </c>
      <c r="C56" s="376">
        <f>250000+654031</f>
        <v>904031</v>
      </c>
      <c r="D56" s="376">
        <v>900000</v>
      </c>
      <c r="E56" s="662">
        <v>335921</v>
      </c>
      <c r="F56" s="957"/>
      <c r="G56" s="958"/>
      <c r="H56" s="967"/>
      <c r="I56" s="960"/>
      <c r="J56" s="961"/>
    </row>
    <row r="57" spans="1:10" ht="12.75" customHeight="1">
      <c r="A57" s="98"/>
      <c r="B57" s="96" t="s">
        <v>1031</v>
      </c>
      <c r="C57" s="376"/>
      <c r="D57" s="376"/>
      <c r="E57" s="662">
        <v>2715000</v>
      </c>
      <c r="F57" s="1055" t="s">
        <v>1032</v>
      </c>
      <c r="G57" s="1052"/>
      <c r="H57" s="967">
        <v>0</v>
      </c>
      <c r="I57" s="963">
        <v>0</v>
      </c>
      <c r="J57" s="964">
        <v>85921</v>
      </c>
    </row>
    <row r="58" spans="1:10" ht="12.75" customHeight="1">
      <c r="A58" s="98"/>
      <c r="B58" s="96"/>
      <c r="C58" s="376"/>
      <c r="D58" s="376"/>
      <c r="E58" s="662"/>
      <c r="F58" s="965"/>
      <c r="G58" s="968"/>
      <c r="H58" s="967"/>
      <c r="I58" s="963"/>
      <c r="J58" s="964"/>
    </row>
    <row r="59" spans="1:10" ht="12.75" customHeight="1">
      <c r="A59" s="98"/>
      <c r="B59" s="96"/>
      <c r="C59" s="376"/>
      <c r="D59" s="376"/>
      <c r="E59" s="662"/>
      <c r="F59" s="1055" t="s">
        <v>1036</v>
      </c>
      <c r="G59" s="1052"/>
      <c r="H59" s="967">
        <v>0</v>
      </c>
      <c r="I59" s="963">
        <v>0</v>
      </c>
      <c r="J59" s="964">
        <v>2715000</v>
      </c>
    </row>
    <row r="60" spans="1:10" ht="12.75" customHeight="1">
      <c r="A60" s="98"/>
      <c r="B60" s="150"/>
      <c r="C60" s="376"/>
      <c r="D60" s="376"/>
      <c r="E60" s="662"/>
      <c r="F60" s="969"/>
      <c r="G60" s="968"/>
      <c r="H60" s="967"/>
      <c r="I60" s="960"/>
      <c r="J60" s="961"/>
    </row>
    <row r="61" spans="1:10" ht="12.75" customHeight="1">
      <c r="A61" s="1037" t="s">
        <v>205</v>
      </c>
      <c r="B61" s="1038"/>
      <c r="C61" s="377">
        <v>1637807</v>
      </c>
      <c r="D61" s="377">
        <v>1660834</v>
      </c>
      <c r="E61" s="663">
        <v>1662027</v>
      </c>
      <c r="F61" s="970" t="s">
        <v>477</v>
      </c>
      <c r="G61" s="968"/>
      <c r="H61" s="967">
        <v>1637807</v>
      </c>
      <c r="I61" s="963">
        <v>1660834</v>
      </c>
      <c r="J61" s="964">
        <v>1662027</v>
      </c>
    </row>
    <row r="62" spans="1:10" ht="12.75" customHeight="1">
      <c r="A62" s="114"/>
      <c r="B62" s="115"/>
      <c r="C62" s="102"/>
      <c r="D62" s="102"/>
      <c r="E62" s="659"/>
      <c r="F62" s="969"/>
      <c r="G62" s="968"/>
      <c r="H62" s="967"/>
      <c r="I62" s="960"/>
      <c r="J62" s="961"/>
    </row>
    <row r="63" spans="1:10" ht="15" customHeight="1">
      <c r="A63" s="1035" t="s">
        <v>208</v>
      </c>
      <c r="B63" s="1036"/>
      <c r="C63" s="375">
        <f>SUM(C54,C61)</f>
        <v>2891838</v>
      </c>
      <c r="D63" s="375">
        <f>SUM(D54,D61)</f>
        <v>3105090</v>
      </c>
      <c r="E63" s="678">
        <f>SUM(E54,E61)</f>
        <v>5257204</v>
      </c>
      <c r="F63" s="970" t="s">
        <v>209</v>
      </c>
      <c r="G63" s="967"/>
      <c r="H63" s="963">
        <f>SUM(H53+H55+H57+H59+H61)</f>
        <v>1814115</v>
      </c>
      <c r="I63" s="963">
        <f>SUM(I53+I55+I57+I59+I61)</f>
        <v>1754689</v>
      </c>
      <c r="J63" s="971">
        <f>SUM(J53+J55+J57+J59+J61)</f>
        <v>4556803</v>
      </c>
    </row>
    <row r="64" spans="1:10" ht="12.75" customHeight="1">
      <c r="A64" s="1033"/>
      <c r="B64" s="1034"/>
      <c r="C64" s="373"/>
      <c r="D64" s="373"/>
      <c r="E64" s="660"/>
      <c r="F64" s="970"/>
      <c r="G64" s="958"/>
      <c r="H64" s="960"/>
      <c r="I64" s="960"/>
      <c r="J64" s="961"/>
    </row>
    <row r="65" spans="1:10" ht="19.5" customHeight="1" thickBot="1">
      <c r="A65" s="117" t="s">
        <v>119</v>
      </c>
      <c r="B65" s="118"/>
      <c r="C65" s="118">
        <f>SUM(C50,C63)</f>
        <v>10080300</v>
      </c>
      <c r="D65" s="118">
        <f>SUM(D50,D63)</f>
        <v>10478207</v>
      </c>
      <c r="E65" s="679">
        <f>SUM(E50,E63)</f>
        <v>12449692</v>
      </c>
      <c r="F65" s="1053" t="s">
        <v>73</v>
      </c>
      <c r="G65" s="1054"/>
      <c r="H65" s="972">
        <f>SUM(H50,H63)</f>
        <v>10080300</v>
      </c>
      <c r="I65" s="972">
        <f>SUM(I50,I63)</f>
        <v>10478207</v>
      </c>
      <c r="J65" s="973">
        <f>SUM(J50,J63)</f>
        <v>12449692</v>
      </c>
    </row>
    <row r="66" ht="15" customHeight="1"/>
    <row r="67" ht="15" customHeight="1">
      <c r="A67" s="242" t="s">
        <v>1038</v>
      </c>
    </row>
    <row r="68" ht="15" customHeight="1">
      <c r="A68" s="1" t="s">
        <v>1039</v>
      </c>
    </row>
    <row r="69" spans="1:6" ht="16.5" customHeight="1">
      <c r="A69" s="1" t="s">
        <v>1040</v>
      </c>
      <c r="F69" s="119"/>
    </row>
    <row r="70" ht="15" customHeight="1">
      <c r="A70" s="1" t="s">
        <v>1153</v>
      </c>
    </row>
    <row r="71" ht="15" customHeight="1"/>
    <row r="72" ht="15" customHeight="1"/>
    <row r="73" ht="15" customHeight="1"/>
    <row r="74" spans="1:5" ht="15" customHeight="1">
      <c r="A74" s="119"/>
      <c r="B74" s="120"/>
      <c r="C74" s="121"/>
      <c r="D74" s="121"/>
      <c r="E74" s="121"/>
    </row>
    <row r="75" ht="15" customHeight="1"/>
    <row r="76" ht="12.75" customHeight="1"/>
  </sheetData>
  <sheetProtection/>
  <mergeCells count="15">
    <mergeCell ref="F65:G65"/>
    <mergeCell ref="F57:G57"/>
    <mergeCell ref="F55:G55"/>
    <mergeCell ref="F53:G53"/>
    <mergeCell ref="F59:G59"/>
    <mergeCell ref="A2:J2"/>
    <mergeCell ref="A64:B64"/>
    <mergeCell ref="A63:B63"/>
    <mergeCell ref="A61:B61"/>
    <mergeCell ref="A5:B5"/>
    <mergeCell ref="F5:G5"/>
    <mergeCell ref="A4:E4"/>
    <mergeCell ref="F4:J4"/>
    <mergeCell ref="F12:G12"/>
    <mergeCell ref="F50:G50"/>
  </mergeCells>
  <printOptions horizontalCentered="1"/>
  <pageMargins left="0.7874015748031497" right="0.7874015748031497" top="0.35433070866141736" bottom="0.2755905511811024" header="0.2362204724409449" footer="0.15748031496062992"/>
  <pageSetup fitToHeight="1" fitToWidth="1" horizontalDpi="600" verticalDpi="600" orientation="landscape" paperSize="9" scale="59" r:id="rId1"/>
  <headerFooter alignWithMargins="0">
    <oddHeader xml:space="preserve">&amp;L 1. melléklet 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D460"/>
  <sheetViews>
    <sheetView view="pageLayout" zoomScaleSheetLayoutView="100" workbookViewId="0" topLeftCell="A1">
      <selection activeCell="A74" sqref="A74"/>
    </sheetView>
  </sheetViews>
  <sheetFormatPr defaultColWidth="9.00390625" defaultRowHeight="12.75"/>
  <cols>
    <col min="1" max="1" width="98.75390625" style="15" customWidth="1"/>
    <col min="2" max="2" width="12.375" style="7" customWidth="1"/>
    <col min="3" max="3" width="12.25390625" style="6" customWidth="1"/>
    <col min="4" max="4" width="11.25390625" style="283" customWidth="1"/>
    <col min="5" max="16384" width="9.125" style="6" customWidth="1"/>
  </cols>
  <sheetData>
    <row r="1" spans="1:2" ht="12.75">
      <c r="A1" s="636"/>
      <c r="B1" s="642"/>
    </row>
    <row r="2" spans="1:4" ht="15.75">
      <c r="A2" s="1170" t="s">
        <v>840</v>
      </c>
      <c r="B2" s="1170"/>
      <c r="C2" s="1170"/>
      <c r="D2" s="1170"/>
    </row>
    <row r="3" spans="1:4" ht="15.75">
      <c r="A3" s="1171" t="s">
        <v>173</v>
      </c>
      <c r="B3" s="1171"/>
      <c r="C3" s="1171"/>
      <c r="D3" s="1171"/>
    </row>
    <row r="4" spans="1:4" ht="13.5" thickBot="1">
      <c r="A4" s="284"/>
      <c r="B4" s="285"/>
      <c r="D4" s="7"/>
    </row>
    <row r="5" spans="1:4" ht="12.75">
      <c r="A5" s="13" t="s">
        <v>121</v>
      </c>
      <c r="B5" s="540" t="s">
        <v>162</v>
      </c>
      <c r="C5" s="772" t="s">
        <v>888</v>
      </c>
      <c r="D5" s="683" t="s">
        <v>947</v>
      </c>
    </row>
    <row r="6" spans="1:4" ht="12.75">
      <c r="A6" s="4"/>
      <c r="B6" s="541"/>
      <c r="C6" s="773"/>
      <c r="D6" s="684"/>
    </row>
    <row r="7" spans="1:4" ht="12.75">
      <c r="A7" s="10" t="s">
        <v>163</v>
      </c>
      <c r="B7" s="542">
        <f>SUM(B13,B23,B9)</f>
        <v>251919</v>
      </c>
      <c r="C7" s="774">
        <f>SUM(C13,C23,C9)</f>
        <v>334376</v>
      </c>
      <c r="D7" s="685">
        <f>SUM(D13,D23,D9)</f>
        <v>344891</v>
      </c>
    </row>
    <row r="8" spans="1:4" ht="12.75">
      <c r="A8" s="4"/>
      <c r="B8" s="541"/>
      <c r="C8" s="773"/>
      <c r="D8" s="684"/>
    </row>
    <row r="9" spans="1:4" s="237" customFormat="1" ht="12.75">
      <c r="A9" s="10" t="s">
        <v>789</v>
      </c>
      <c r="B9" s="542">
        <f>SUM(B10:B11)</f>
        <v>19922</v>
      </c>
      <c r="C9" s="774">
        <f>SUM(C10:C11)</f>
        <v>13000</v>
      </c>
      <c r="D9" s="685">
        <f>SUM(D10:D11)</f>
        <v>13000</v>
      </c>
    </row>
    <row r="10" spans="1:4" ht="12.75">
      <c r="A10" s="4" t="s">
        <v>221</v>
      </c>
      <c r="B10" s="541">
        <v>13000</v>
      </c>
      <c r="C10" s="773">
        <v>13000</v>
      </c>
      <c r="D10" s="684">
        <v>13000</v>
      </c>
    </row>
    <row r="11" spans="1:4" ht="12.75">
      <c r="A11" s="4" t="s">
        <v>841</v>
      </c>
      <c r="B11" s="541">
        <v>6922</v>
      </c>
      <c r="C11" s="773">
        <v>0</v>
      </c>
      <c r="D11" s="684">
        <v>0</v>
      </c>
    </row>
    <row r="12" spans="1:4" ht="12.75">
      <c r="A12" s="4"/>
      <c r="B12" s="541"/>
      <c r="C12" s="773"/>
      <c r="D12" s="684"/>
    </row>
    <row r="13" spans="1:4" s="237" customFormat="1" ht="12.75">
      <c r="A13" s="10" t="s">
        <v>792</v>
      </c>
      <c r="B13" s="542">
        <f>SUM(B14:B18)</f>
        <v>105905</v>
      </c>
      <c r="C13" s="774">
        <f>SUM(C14:C21)</f>
        <v>121413</v>
      </c>
      <c r="D13" s="685">
        <f>SUM(D14:D21)</f>
        <v>116413</v>
      </c>
    </row>
    <row r="14" spans="1:4" ht="12.75">
      <c r="A14" s="4" t="s">
        <v>842</v>
      </c>
      <c r="B14" s="541">
        <v>12000</v>
      </c>
      <c r="C14" s="773">
        <v>12000</v>
      </c>
      <c r="D14" s="684">
        <v>12000</v>
      </c>
    </row>
    <row r="15" spans="1:4" ht="12.75">
      <c r="A15" s="4" t="s">
        <v>843</v>
      </c>
      <c r="B15" s="541">
        <v>82000</v>
      </c>
      <c r="C15" s="773">
        <v>82000</v>
      </c>
      <c r="D15" s="684">
        <v>82000</v>
      </c>
    </row>
    <row r="16" spans="1:4" ht="12.75">
      <c r="A16" s="4" t="s">
        <v>844</v>
      </c>
      <c r="B16" s="541">
        <v>5000</v>
      </c>
      <c r="C16" s="773">
        <v>5000</v>
      </c>
      <c r="D16" s="684">
        <v>5000</v>
      </c>
    </row>
    <row r="17" spans="1:4" ht="12.75">
      <c r="A17" s="4" t="s">
        <v>845</v>
      </c>
      <c r="B17" s="541">
        <v>5000</v>
      </c>
      <c r="C17" s="773">
        <v>5000</v>
      </c>
      <c r="D17" s="684">
        <v>0</v>
      </c>
    </row>
    <row r="18" spans="1:4" ht="12.75">
      <c r="A18" s="4" t="s">
        <v>846</v>
      </c>
      <c r="B18" s="541">
        <v>1905</v>
      </c>
      <c r="C18" s="773">
        <v>1776</v>
      </c>
      <c r="D18" s="684">
        <v>1776</v>
      </c>
    </row>
    <row r="19" spans="1:4" ht="12.75">
      <c r="A19" s="4" t="s">
        <v>847</v>
      </c>
      <c r="B19" s="541"/>
      <c r="C19" s="773">
        <v>7392</v>
      </c>
      <c r="D19" s="684">
        <v>7392</v>
      </c>
    </row>
    <row r="20" spans="1:4" ht="12.75">
      <c r="A20" s="4" t="s">
        <v>848</v>
      </c>
      <c r="B20" s="541"/>
      <c r="C20" s="773">
        <v>7000</v>
      </c>
      <c r="D20" s="684">
        <v>7000</v>
      </c>
    </row>
    <row r="21" spans="1:4" ht="12.75">
      <c r="A21" s="4" t="s">
        <v>849</v>
      </c>
      <c r="B21" s="541"/>
      <c r="C21" s="773">
        <v>1245</v>
      </c>
      <c r="D21" s="684">
        <v>1245</v>
      </c>
    </row>
    <row r="22" spans="1:4" ht="12.75">
      <c r="A22" s="4"/>
      <c r="B22" s="541"/>
      <c r="C22" s="773"/>
      <c r="D22" s="684"/>
    </row>
    <row r="23" spans="1:4" ht="12.75">
      <c r="A23" s="10" t="s">
        <v>798</v>
      </c>
      <c r="B23" s="542">
        <f>SUM(B24:B50)</f>
        <v>126092</v>
      </c>
      <c r="C23" s="542">
        <f>SUM(C24:C50)</f>
        <v>199963</v>
      </c>
      <c r="D23" s="915">
        <f>SUM(D24:D50)</f>
        <v>215478</v>
      </c>
    </row>
    <row r="24" spans="1:4" ht="12.75">
      <c r="A24" s="4" t="s">
        <v>850</v>
      </c>
      <c r="B24" s="541">
        <v>196</v>
      </c>
      <c r="C24" s="773">
        <v>196</v>
      </c>
      <c r="D24" s="684">
        <v>196</v>
      </c>
    </row>
    <row r="25" spans="1:4" ht="12.75">
      <c r="A25" s="4" t="s">
        <v>851</v>
      </c>
      <c r="B25" s="541">
        <v>22804</v>
      </c>
      <c r="C25" s="773">
        <v>22804</v>
      </c>
      <c r="D25" s="684">
        <f>22804-8659</f>
        <v>14145</v>
      </c>
    </row>
    <row r="26" spans="1:4" ht="12.75" customHeight="1">
      <c r="A26" s="4" t="s">
        <v>852</v>
      </c>
      <c r="B26" s="541">
        <v>2540</v>
      </c>
      <c r="C26" s="773">
        <v>2540</v>
      </c>
      <c r="D26" s="684">
        <v>2540</v>
      </c>
    </row>
    <row r="27" spans="1:4" ht="12.75">
      <c r="A27" s="4" t="s">
        <v>853</v>
      </c>
      <c r="B27" s="541">
        <v>10000</v>
      </c>
      <c r="C27" s="773">
        <v>10000</v>
      </c>
      <c r="D27" s="684">
        <f>10000-1375</f>
        <v>8625</v>
      </c>
    </row>
    <row r="28" spans="1:4" ht="12.75">
      <c r="A28" s="4" t="s">
        <v>854</v>
      </c>
      <c r="B28" s="541">
        <v>1000</v>
      </c>
      <c r="C28" s="773">
        <v>1000</v>
      </c>
      <c r="D28" s="684">
        <v>1000</v>
      </c>
    </row>
    <row r="29" spans="1:4" ht="12" customHeight="1">
      <c r="A29" s="4" t="s">
        <v>981</v>
      </c>
      <c r="B29" s="541">
        <v>500</v>
      </c>
      <c r="C29" s="773">
        <v>500</v>
      </c>
      <c r="D29" s="684">
        <v>680</v>
      </c>
    </row>
    <row r="30" spans="1:4" ht="12.75">
      <c r="A30" s="4" t="s">
        <v>855</v>
      </c>
      <c r="B30" s="541">
        <v>1000</v>
      </c>
      <c r="C30" s="773">
        <v>1000</v>
      </c>
      <c r="D30" s="684">
        <v>1000</v>
      </c>
    </row>
    <row r="31" spans="1:4" ht="12.75">
      <c r="A31" s="4" t="s">
        <v>856</v>
      </c>
      <c r="B31" s="541">
        <f>12000-5000</f>
        <v>7000</v>
      </c>
      <c r="C31" s="773">
        <v>7000</v>
      </c>
      <c r="D31" s="684">
        <v>7000</v>
      </c>
    </row>
    <row r="32" spans="1:4" ht="12.75">
      <c r="A32" s="4" t="s">
        <v>857</v>
      </c>
      <c r="B32" s="541">
        <f>10000-5000</f>
        <v>5000</v>
      </c>
      <c r="C32" s="773">
        <v>5000</v>
      </c>
      <c r="D32" s="684">
        <f>5000-813-327</f>
        <v>3860</v>
      </c>
    </row>
    <row r="33" spans="1:4" ht="12.75">
      <c r="A33" s="4" t="s">
        <v>858</v>
      </c>
      <c r="B33" s="541">
        <v>1772</v>
      </c>
      <c r="C33" s="773">
        <v>1772</v>
      </c>
      <c r="D33" s="684">
        <f>1772+813</f>
        <v>2585</v>
      </c>
    </row>
    <row r="34" spans="1:4" ht="12.75">
      <c r="A34" s="4" t="s">
        <v>859</v>
      </c>
      <c r="B34" s="541">
        <v>10000</v>
      </c>
      <c r="C34" s="773">
        <v>10000</v>
      </c>
      <c r="D34" s="684">
        <v>10000</v>
      </c>
    </row>
    <row r="35" spans="1:4" ht="12.75">
      <c r="A35" s="4" t="s">
        <v>860</v>
      </c>
      <c r="B35" s="541">
        <v>8500</v>
      </c>
      <c r="C35" s="773">
        <v>8500</v>
      </c>
      <c r="D35" s="684">
        <f>8500-400</f>
        <v>8100</v>
      </c>
    </row>
    <row r="36" spans="1:4" ht="12.75">
      <c r="A36" s="4" t="s">
        <v>861</v>
      </c>
      <c r="B36" s="541">
        <f>15000-2000</f>
        <v>13000</v>
      </c>
      <c r="C36" s="773">
        <v>13000</v>
      </c>
      <c r="D36" s="684">
        <v>13000</v>
      </c>
    </row>
    <row r="37" spans="1:4" ht="12.75">
      <c r="A37" s="4" t="s">
        <v>862</v>
      </c>
      <c r="B37" s="541">
        <f>10000+15000</f>
        <v>25000</v>
      </c>
      <c r="C37" s="773">
        <v>50000</v>
      </c>
      <c r="D37" s="684">
        <v>50000</v>
      </c>
    </row>
    <row r="38" spans="1:4" ht="12.75">
      <c r="A38" s="4" t="s">
        <v>863</v>
      </c>
      <c r="B38" s="541">
        <v>2000</v>
      </c>
      <c r="C38" s="773">
        <v>2000</v>
      </c>
      <c r="D38" s="684">
        <v>2000</v>
      </c>
    </row>
    <row r="39" spans="1:4" ht="25.5">
      <c r="A39" s="4" t="s">
        <v>864</v>
      </c>
      <c r="B39" s="541">
        <v>5000</v>
      </c>
      <c r="C39" s="773">
        <v>5000</v>
      </c>
      <c r="D39" s="684">
        <v>6000</v>
      </c>
    </row>
    <row r="40" spans="1:4" ht="12.75">
      <c r="A40" s="4" t="s">
        <v>865</v>
      </c>
      <c r="B40" s="541">
        <v>2000</v>
      </c>
      <c r="C40" s="773">
        <v>2000</v>
      </c>
      <c r="D40" s="684">
        <v>2000</v>
      </c>
    </row>
    <row r="41" spans="1:4" ht="12.75">
      <c r="A41" s="4" t="s">
        <v>866</v>
      </c>
      <c r="B41" s="541">
        <v>4600</v>
      </c>
      <c r="C41" s="773">
        <v>4600</v>
      </c>
      <c r="D41" s="684">
        <v>4600</v>
      </c>
    </row>
    <row r="42" spans="1:4" ht="12.75">
      <c r="A42" s="4" t="s">
        <v>867</v>
      </c>
      <c r="B42" s="541">
        <v>2000</v>
      </c>
      <c r="C42" s="773">
        <v>2000</v>
      </c>
      <c r="D42" s="684">
        <v>2000</v>
      </c>
    </row>
    <row r="43" spans="1:4" s="237" customFormat="1" ht="12.75">
      <c r="A43" s="4" t="s">
        <v>868</v>
      </c>
      <c r="B43" s="541">
        <v>2000</v>
      </c>
      <c r="C43" s="773">
        <v>2000</v>
      </c>
      <c r="D43" s="684">
        <v>2000</v>
      </c>
    </row>
    <row r="44" spans="1:4" s="237" customFormat="1" ht="12.75">
      <c r="A44" s="4" t="s">
        <v>1037</v>
      </c>
      <c r="B44" s="541">
        <v>180</v>
      </c>
      <c r="C44" s="773">
        <v>180</v>
      </c>
      <c r="D44" s="684">
        <v>0</v>
      </c>
    </row>
    <row r="45" spans="1:4" ht="12.75">
      <c r="A45" s="4" t="s">
        <v>869</v>
      </c>
      <c r="B45" s="541"/>
      <c r="C45" s="773">
        <v>448</v>
      </c>
      <c r="D45" s="684">
        <v>448</v>
      </c>
    </row>
    <row r="46" spans="1:4" ht="12.75">
      <c r="A46" s="4" t="s">
        <v>870</v>
      </c>
      <c r="B46" s="541"/>
      <c r="C46" s="773">
        <v>4950</v>
      </c>
      <c r="D46" s="684">
        <v>4950</v>
      </c>
    </row>
    <row r="47" spans="1:4" ht="12.75">
      <c r="A47" s="4" t="s">
        <v>982</v>
      </c>
      <c r="B47" s="541"/>
      <c r="C47" s="773">
        <v>43473</v>
      </c>
      <c r="D47" s="684">
        <f>24473+43473</f>
        <v>67946</v>
      </c>
    </row>
    <row r="48" spans="1:4" ht="12.75">
      <c r="A48" s="4" t="s">
        <v>983</v>
      </c>
      <c r="B48" s="541"/>
      <c r="C48" s="773"/>
      <c r="D48" s="684">
        <v>318</v>
      </c>
    </row>
    <row r="49" spans="1:4" ht="12.75">
      <c r="A49" s="4" t="s">
        <v>984</v>
      </c>
      <c r="B49" s="541"/>
      <c r="C49" s="773"/>
      <c r="D49" s="684">
        <v>485</v>
      </c>
    </row>
    <row r="50" spans="1:4" s="237" customFormat="1" ht="12.75">
      <c r="A50" s="4"/>
      <c r="B50" s="541"/>
      <c r="C50" s="774"/>
      <c r="D50" s="685"/>
    </row>
    <row r="51" spans="1:4" ht="12.75">
      <c r="A51" s="10" t="s">
        <v>169</v>
      </c>
      <c r="B51" s="542">
        <v>0</v>
      </c>
      <c r="C51" s="774">
        <f>SUM(C53)</f>
        <v>971</v>
      </c>
      <c r="D51" s="685">
        <f>SUM(D53)</f>
        <v>1220</v>
      </c>
    </row>
    <row r="52" spans="1:4" ht="12.75">
      <c r="A52" s="643"/>
      <c r="B52" s="777"/>
      <c r="C52" s="774"/>
      <c r="D52" s="685"/>
    </row>
    <row r="53" spans="1:4" s="402" customFormat="1" ht="13.5">
      <c r="A53" s="644" t="s">
        <v>822</v>
      </c>
      <c r="B53" s="778"/>
      <c r="C53" s="775">
        <f>SUM(C54)</f>
        <v>971</v>
      </c>
      <c r="D53" s="686">
        <f>SUM(D54)</f>
        <v>1220</v>
      </c>
    </row>
    <row r="54" spans="1:4" ht="12.75">
      <c r="A54" s="645" t="s">
        <v>985</v>
      </c>
      <c r="B54" s="779"/>
      <c r="C54" s="773">
        <v>971</v>
      </c>
      <c r="D54" s="684">
        <f>971+249</f>
        <v>1220</v>
      </c>
    </row>
    <row r="55" spans="1:4" ht="12.75">
      <c r="A55" s="645"/>
      <c r="B55" s="779"/>
      <c r="C55" s="773"/>
      <c r="D55" s="684"/>
    </row>
    <row r="56" spans="1:4" ht="12.75">
      <c r="A56" s="10" t="s">
        <v>832</v>
      </c>
      <c r="B56" s="542">
        <f>SUM(B57:B64)</f>
        <v>31481</v>
      </c>
      <c r="C56" s="774">
        <f>SUM(C57:C64)</f>
        <v>39981</v>
      </c>
      <c r="D56" s="685">
        <f>SUM(D57:D64)</f>
        <v>39851</v>
      </c>
    </row>
    <row r="57" spans="1:4" ht="12.75">
      <c r="A57" s="4" t="s">
        <v>871</v>
      </c>
      <c r="B57" s="541">
        <v>500</v>
      </c>
      <c r="C57" s="773">
        <v>500</v>
      </c>
      <c r="D57" s="684">
        <v>370</v>
      </c>
    </row>
    <row r="58" spans="1:4" ht="12.75">
      <c r="A58" s="4" t="s">
        <v>872</v>
      </c>
      <c r="B58" s="541">
        <f>2300-2000</f>
        <v>300</v>
      </c>
      <c r="C58" s="773">
        <v>300</v>
      </c>
      <c r="D58" s="684">
        <v>300</v>
      </c>
    </row>
    <row r="59" spans="1:4" ht="12.75">
      <c r="A59" s="4" t="s">
        <v>873</v>
      </c>
      <c r="B59" s="541">
        <v>450</v>
      </c>
      <c r="C59" s="773">
        <v>450</v>
      </c>
      <c r="D59" s="684">
        <v>0</v>
      </c>
    </row>
    <row r="60" spans="1:4" ht="12.75">
      <c r="A60" s="4" t="s">
        <v>986</v>
      </c>
      <c r="B60" s="541"/>
      <c r="C60" s="773"/>
      <c r="D60" s="684">
        <v>450</v>
      </c>
    </row>
    <row r="61" spans="1:4" ht="12" customHeight="1">
      <c r="A61" s="4" t="s">
        <v>874</v>
      </c>
      <c r="B61" s="541">
        <v>25000</v>
      </c>
      <c r="C61" s="773">
        <v>33500</v>
      </c>
      <c r="D61" s="684">
        <v>33500</v>
      </c>
    </row>
    <row r="62" spans="1:4" ht="12" customHeight="1">
      <c r="A62" s="4" t="s">
        <v>875</v>
      </c>
      <c r="B62" s="541">
        <v>650</v>
      </c>
      <c r="C62" s="773">
        <v>650</v>
      </c>
      <c r="D62" s="684">
        <v>650</v>
      </c>
    </row>
    <row r="63" spans="1:4" ht="12.75" customHeight="1">
      <c r="A63" s="4" t="s">
        <v>876</v>
      </c>
      <c r="B63" s="541">
        <v>2000</v>
      </c>
      <c r="C63" s="773">
        <v>2000</v>
      </c>
      <c r="D63" s="684">
        <v>2000</v>
      </c>
    </row>
    <row r="64" spans="1:4" ht="13.5" customHeight="1">
      <c r="A64" s="4" t="s">
        <v>877</v>
      </c>
      <c r="B64" s="541">
        <v>2581</v>
      </c>
      <c r="C64" s="773">
        <v>2581</v>
      </c>
      <c r="D64" s="684">
        <v>2581</v>
      </c>
    </row>
    <row r="65" spans="1:4" ht="12.75">
      <c r="A65" s="4"/>
      <c r="B65" s="541"/>
      <c r="C65" s="773"/>
      <c r="D65" s="684"/>
    </row>
    <row r="66" spans="1:4" s="238" customFormat="1" ht="12.75">
      <c r="A66" s="10" t="s">
        <v>170</v>
      </c>
      <c r="B66" s="542">
        <f>SUM(B67:B67)</f>
        <v>0</v>
      </c>
      <c r="C66" s="774">
        <f>SUM(C67)</f>
        <v>13423</v>
      </c>
      <c r="D66" s="685">
        <f>SUM(D67)</f>
        <v>10423</v>
      </c>
    </row>
    <row r="67" spans="1:4" ht="12.75">
      <c r="A67" s="4" t="s">
        <v>878</v>
      </c>
      <c r="B67" s="541"/>
      <c r="C67" s="773">
        <v>13423</v>
      </c>
      <c r="D67" s="684">
        <v>10423</v>
      </c>
    </row>
    <row r="68" spans="1:4" ht="12.75">
      <c r="A68" s="4"/>
      <c r="B68" s="541"/>
      <c r="C68" s="773"/>
      <c r="D68" s="684"/>
    </row>
    <row r="69" spans="1:4" ht="13.5" thickBot="1">
      <c r="A69" s="14" t="s">
        <v>171</v>
      </c>
      <c r="B69" s="543">
        <f>SUM(B7,B56,B66,B51)</f>
        <v>283400</v>
      </c>
      <c r="C69" s="776">
        <f>SUM(C7,C56,C66,C51)</f>
        <v>388751</v>
      </c>
      <c r="D69" s="687">
        <f>SUM(D7,D56,D66,D51)</f>
        <v>396385</v>
      </c>
    </row>
    <row r="70" spans="1:4" ht="12.75">
      <c r="A70" s="283"/>
      <c r="B70" s="6"/>
      <c r="D70" s="7"/>
    </row>
    <row r="71" spans="1:4" ht="12.75">
      <c r="A71" s="242" t="s">
        <v>1116</v>
      </c>
      <c r="B71" s="6"/>
      <c r="D71" s="7"/>
    </row>
    <row r="72" spans="1:4" ht="12.75">
      <c r="A72" s="1" t="s">
        <v>1117</v>
      </c>
      <c r="B72" s="6"/>
      <c r="D72" s="7"/>
    </row>
    <row r="73" spans="1:4" ht="12.75">
      <c r="A73" s="1" t="s">
        <v>1118</v>
      </c>
      <c r="B73" s="6"/>
      <c r="D73" s="7"/>
    </row>
    <row r="74" spans="1:4" ht="12.75">
      <c r="A74" s="1" t="s">
        <v>1143</v>
      </c>
      <c r="B74" s="6"/>
      <c r="D74" s="7"/>
    </row>
    <row r="75" spans="1:4" ht="12.75">
      <c r="A75" s="283"/>
      <c r="B75" s="6"/>
      <c r="D75" s="7"/>
    </row>
    <row r="76" spans="1:4" ht="12.75">
      <c r="A76" s="283"/>
      <c r="B76" s="6"/>
      <c r="D76" s="7"/>
    </row>
    <row r="77" spans="1:4" ht="12.75">
      <c r="A77" s="283"/>
      <c r="B77" s="6"/>
      <c r="D77" s="7"/>
    </row>
    <row r="78" spans="1:4" ht="12.75">
      <c r="A78" s="283"/>
      <c r="B78" s="6"/>
      <c r="D78" s="7"/>
    </row>
    <row r="79" spans="1:4" ht="12.75">
      <c r="A79" s="283"/>
      <c r="B79" s="6"/>
      <c r="D79" s="7"/>
    </row>
    <row r="80" spans="1:4" ht="12.75">
      <c r="A80" s="283"/>
      <c r="B80" s="6"/>
      <c r="D80" s="7"/>
    </row>
    <row r="81" spans="1:4" ht="12.75">
      <c r="A81" s="283"/>
      <c r="B81" s="6"/>
      <c r="D81" s="7"/>
    </row>
    <row r="82" spans="1:4" ht="12.75">
      <c r="A82" s="283"/>
      <c r="B82" s="6"/>
      <c r="D82" s="7"/>
    </row>
    <row r="83" spans="1:4" ht="12.75">
      <c r="A83" s="283"/>
      <c r="B83" s="6"/>
      <c r="D83" s="7"/>
    </row>
    <row r="84" spans="1:4" ht="12.75">
      <c r="A84" s="283"/>
      <c r="B84" s="6"/>
      <c r="D84" s="7"/>
    </row>
    <row r="85" spans="1:4" ht="12.75">
      <c r="A85" s="283"/>
      <c r="B85" s="6"/>
      <c r="D85" s="7"/>
    </row>
    <row r="86" spans="1:4" ht="12.75">
      <c r="A86" s="283"/>
      <c r="B86" s="6"/>
      <c r="D86" s="7"/>
    </row>
    <row r="87" spans="1:4" ht="12.75">
      <c r="A87" s="283"/>
      <c r="B87" s="6"/>
      <c r="D87" s="7"/>
    </row>
    <row r="88" spans="1:4" ht="12.75">
      <c r="A88" s="283"/>
      <c r="B88" s="6"/>
      <c r="D88" s="7"/>
    </row>
    <row r="89" spans="1:4" ht="12.75">
      <c r="A89" s="283"/>
      <c r="B89" s="6"/>
      <c r="D89" s="7"/>
    </row>
    <row r="90" spans="1:4" ht="12.75">
      <c r="A90" s="283"/>
      <c r="B90" s="6"/>
      <c r="D90" s="7"/>
    </row>
    <row r="91" spans="1:4" ht="12.75">
      <c r="A91" s="283"/>
      <c r="B91" s="6"/>
      <c r="D91" s="7"/>
    </row>
    <row r="92" spans="1:4" ht="12.75">
      <c r="A92" s="283"/>
      <c r="B92" s="6"/>
      <c r="D92" s="7"/>
    </row>
    <row r="93" spans="1:4" ht="12.75">
      <c r="A93" s="283"/>
      <c r="B93" s="6"/>
      <c r="D93" s="7"/>
    </row>
    <row r="94" spans="1:4" ht="12.75">
      <c r="A94" s="283"/>
      <c r="B94" s="6"/>
      <c r="D94" s="7"/>
    </row>
    <row r="95" spans="1:4" ht="12.75">
      <c r="A95" s="283"/>
      <c r="B95" s="6"/>
      <c r="D95" s="7"/>
    </row>
    <row r="96" spans="1:4" ht="12.75">
      <c r="A96" s="283"/>
      <c r="B96" s="6"/>
      <c r="D96" s="7"/>
    </row>
    <row r="97" spans="1:4" ht="12.75">
      <c r="A97" s="283"/>
      <c r="B97" s="6"/>
      <c r="D97" s="7"/>
    </row>
    <row r="98" spans="1:4" ht="12.75">
      <c r="A98" s="283"/>
      <c r="B98" s="6"/>
      <c r="D98" s="7"/>
    </row>
    <row r="99" spans="1:4" ht="12.75">
      <c r="A99" s="283"/>
      <c r="B99" s="6"/>
      <c r="D99" s="7"/>
    </row>
    <row r="100" spans="1:4" ht="12.75">
      <c r="A100" s="283"/>
      <c r="B100" s="6"/>
      <c r="D100" s="7"/>
    </row>
    <row r="101" spans="1:4" ht="12.75">
      <c r="A101" s="283"/>
      <c r="B101" s="6"/>
      <c r="D101" s="7"/>
    </row>
    <row r="102" spans="1:4" ht="12.75">
      <c r="A102" s="283"/>
      <c r="B102" s="6"/>
      <c r="D102" s="7"/>
    </row>
    <row r="103" spans="1:4" ht="12.75">
      <c r="A103" s="283"/>
      <c r="B103" s="6"/>
      <c r="D103" s="7"/>
    </row>
    <row r="104" spans="1:4" ht="12.75">
      <c r="A104" s="283"/>
      <c r="B104" s="6"/>
      <c r="D104" s="7"/>
    </row>
    <row r="105" spans="1:4" ht="12.75">
      <c r="A105" s="283"/>
      <c r="B105" s="6"/>
      <c r="D105" s="7"/>
    </row>
    <row r="106" spans="1:4" ht="12.75">
      <c r="A106" s="283"/>
      <c r="B106" s="6"/>
      <c r="D106" s="7"/>
    </row>
    <row r="107" spans="1:4" ht="12.75">
      <c r="A107" s="283"/>
      <c r="B107" s="6"/>
      <c r="D107" s="7"/>
    </row>
    <row r="108" spans="1:4" ht="12.75">
      <c r="A108" s="283"/>
      <c r="B108" s="6"/>
      <c r="D108" s="7"/>
    </row>
    <row r="109" spans="1:4" ht="12.75">
      <c r="A109" s="283"/>
      <c r="B109" s="6"/>
      <c r="D109" s="7"/>
    </row>
    <row r="110" spans="1:4" ht="12.75">
      <c r="A110" s="283"/>
      <c r="B110" s="6"/>
      <c r="D110" s="7"/>
    </row>
    <row r="111" spans="1:4" ht="12.75">
      <c r="A111" s="283"/>
      <c r="B111" s="6"/>
      <c r="D111" s="7"/>
    </row>
    <row r="112" spans="1:4" ht="12.75">
      <c r="A112" s="283"/>
      <c r="B112" s="6"/>
      <c r="D112" s="7"/>
    </row>
    <row r="113" spans="1:4" ht="12.75">
      <c r="A113" s="283"/>
      <c r="B113" s="6"/>
      <c r="D113" s="7"/>
    </row>
    <row r="114" spans="1:4" ht="12.75">
      <c r="A114" s="283"/>
      <c r="B114" s="6"/>
      <c r="D114" s="7"/>
    </row>
    <row r="115" spans="1:4" ht="12.75">
      <c r="A115" s="283"/>
      <c r="B115" s="6"/>
      <c r="D115" s="7"/>
    </row>
    <row r="116" spans="1:4" ht="12.75">
      <c r="A116" s="283"/>
      <c r="B116" s="6"/>
      <c r="D116" s="7"/>
    </row>
    <row r="117" spans="1:4" ht="12.75">
      <c r="A117" s="283"/>
      <c r="B117" s="6"/>
      <c r="D117" s="7"/>
    </row>
    <row r="118" spans="1:4" ht="12.75">
      <c r="A118" s="283"/>
      <c r="B118" s="6"/>
      <c r="D118" s="7"/>
    </row>
    <row r="119" spans="1:4" ht="12.75">
      <c r="A119" s="283"/>
      <c r="B119" s="6"/>
      <c r="D119" s="7"/>
    </row>
    <row r="120" spans="1:4" ht="12.75">
      <c r="A120" s="283"/>
      <c r="B120" s="6"/>
      <c r="D120" s="7"/>
    </row>
    <row r="121" spans="1:4" ht="12.75">
      <c r="A121" s="283"/>
      <c r="B121" s="6"/>
      <c r="D121" s="7"/>
    </row>
    <row r="122" spans="1:4" ht="12.75">
      <c r="A122" s="283"/>
      <c r="B122" s="6"/>
      <c r="D122" s="7"/>
    </row>
    <row r="123" spans="1:4" ht="12.75">
      <c r="A123" s="283"/>
      <c r="B123" s="6"/>
      <c r="D123" s="7"/>
    </row>
    <row r="124" spans="1:4" ht="12.75">
      <c r="A124" s="283"/>
      <c r="B124" s="6"/>
      <c r="D124" s="7"/>
    </row>
    <row r="125" spans="1:4" ht="12.75">
      <c r="A125" s="283"/>
      <c r="B125" s="6"/>
      <c r="D125" s="7"/>
    </row>
    <row r="126" spans="1:4" ht="12.75">
      <c r="A126" s="283"/>
      <c r="B126" s="6"/>
      <c r="D126" s="7"/>
    </row>
    <row r="127" spans="1:4" ht="12.75">
      <c r="A127" s="283"/>
      <c r="B127" s="6"/>
      <c r="D127" s="7"/>
    </row>
    <row r="128" spans="1:4" ht="12.75">
      <c r="A128" s="283"/>
      <c r="B128" s="6"/>
      <c r="D128" s="7"/>
    </row>
    <row r="129" spans="1:4" ht="12.75">
      <c r="A129" s="283"/>
      <c r="B129" s="6"/>
      <c r="D129" s="7"/>
    </row>
    <row r="130" spans="1:4" ht="12.75">
      <c r="A130" s="283"/>
      <c r="B130" s="6"/>
      <c r="D130" s="7"/>
    </row>
    <row r="131" spans="1:4" ht="12.75">
      <c r="A131" s="283"/>
      <c r="B131" s="6"/>
      <c r="D131" s="7"/>
    </row>
    <row r="132" spans="1:4" ht="12.75">
      <c r="A132" s="283"/>
      <c r="B132" s="6"/>
      <c r="D132" s="7"/>
    </row>
    <row r="133" spans="1:4" ht="12.75">
      <c r="A133" s="283"/>
      <c r="B133" s="6"/>
      <c r="D133" s="7"/>
    </row>
    <row r="134" spans="1:4" ht="12.75">
      <c r="A134" s="283"/>
      <c r="B134" s="6"/>
      <c r="D134" s="7"/>
    </row>
    <row r="135" spans="1:4" ht="12.75">
      <c r="A135" s="283"/>
      <c r="B135" s="6"/>
      <c r="D135" s="7"/>
    </row>
    <row r="136" spans="1:4" ht="12.75">
      <c r="A136" s="283"/>
      <c r="B136" s="6"/>
      <c r="D136" s="7"/>
    </row>
    <row r="137" spans="1:4" ht="12.75">
      <c r="A137" s="283"/>
      <c r="B137" s="6"/>
      <c r="D137" s="7"/>
    </row>
    <row r="138" spans="1:4" ht="12.75">
      <c r="A138" s="283"/>
      <c r="B138" s="6"/>
      <c r="D138" s="7"/>
    </row>
    <row r="139" spans="1:4" ht="12.75">
      <c r="A139" s="283"/>
      <c r="B139" s="6"/>
      <c r="D139" s="7"/>
    </row>
    <row r="140" spans="1:4" ht="12.75">
      <c r="A140" s="283"/>
      <c r="B140" s="6"/>
      <c r="D140" s="7"/>
    </row>
    <row r="141" spans="1:4" ht="12.75">
      <c r="A141" s="283"/>
      <c r="B141" s="6"/>
      <c r="D141" s="7"/>
    </row>
    <row r="142" spans="1:4" ht="12.75">
      <c r="A142" s="283"/>
      <c r="B142" s="6"/>
      <c r="D142" s="7"/>
    </row>
    <row r="143" spans="1:4" ht="12.75">
      <c r="A143" s="283"/>
      <c r="B143" s="6"/>
      <c r="D143" s="7"/>
    </row>
    <row r="144" spans="1:4" ht="12.75">
      <c r="A144" s="283"/>
      <c r="B144" s="6"/>
      <c r="D144" s="7"/>
    </row>
    <row r="145" spans="1:4" ht="12.75">
      <c r="A145" s="283"/>
      <c r="B145" s="6"/>
      <c r="D145" s="7"/>
    </row>
    <row r="146" spans="1:4" ht="12.75">
      <c r="A146" s="283"/>
      <c r="B146" s="6"/>
      <c r="D146" s="7"/>
    </row>
    <row r="147" spans="1:4" ht="12.75">
      <c r="A147" s="283"/>
      <c r="B147" s="6"/>
      <c r="D147" s="7"/>
    </row>
    <row r="148" spans="1:4" ht="12.75">
      <c r="A148" s="283"/>
      <c r="B148" s="6"/>
      <c r="D148" s="7"/>
    </row>
    <row r="149" spans="1:4" ht="12.75">
      <c r="A149" s="283"/>
      <c r="B149" s="6"/>
      <c r="D149" s="7"/>
    </row>
    <row r="150" spans="1:4" ht="12.75">
      <c r="A150" s="283"/>
      <c r="B150" s="6"/>
      <c r="D150" s="7"/>
    </row>
    <row r="151" spans="1:4" ht="12.75">
      <c r="A151" s="283"/>
      <c r="B151" s="6"/>
      <c r="D151" s="7"/>
    </row>
    <row r="152" spans="1:4" ht="12.75">
      <c r="A152" s="283"/>
      <c r="B152" s="6"/>
      <c r="D152" s="7"/>
    </row>
    <row r="153" spans="1:4" ht="12.75">
      <c r="A153" s="283"/>
      <c r="B153" s="6"/>
      <c r="D153" s="7"/>
    </row>
    <row r="154" spans="1:4" ht="12.75">
      <c r="A154" s="283"/>
      <c r="B154" s="6"/>
      <c r="D154" s="7"/>
    </row>
    <row r="155" spans="1:4" ht="12.75">
      <c r="A155" s="283"/>
      <c r="B155" s="6"/>
      <c r="D155" s="7"/>
    </row>
    <row r="156" spans="1:4" ht="12.75">
      <c r="A156" s="283"/>
      <c r="B156" s="6"/>
      <c r="D156" s="7"/>
    </row>
    <row r="157" spans="1:4" ht="12.75">
      <c r="A157" s="283"/>
      <c r="B157" s="6"/>
      <c r="D157" s="7"/>
    </row>
    <row r="158" spans="1:4" ht="12.75">
      <c r="A158" s="283"/>
      <c r="B158" s="6"/>
      <c r="D158" s="7"/>
    </row>
    <row r="159" spans="1:4" ht="12.75">
      <c r="A159" s="283"/>
      <c r="B159" s="6"/>
      <c r="D159" s="7"/>
    </row>
    <row r="160" spans="1:4" ht="12.75">
      <c r="A160" s="283"/>
      <c r="B160" s="6"/>
      <c r="D160" s="7"/>
    </row>
    <row r="161" spans="1:4" ht="12.75">
      <c r="A161" s="283"/>
      <c r="B161" s="6"/>
      <c r="D161" s="7"/>
    </row>
    <row r="162" spans="1:4" ht="12.75">
      <c r="A162" s="283"/>
      <c r="B162" s="6"/>
      <c r="D162" s="7"/>
    </row>
    <row r="163" spans="1:4" ht="12.75">
      <c r="A163" s="283"/>
      <c r="B163" s="6"/>
      <c r="D163" s="7"/>
    </row>
    <row r="164" spans="1:4" ht="12.75">
      <c r="A164" s="283"/>
      <c r="B164" s="6"/>
      <c r="D164" s="7"/>
    </row>
    <row r="165" spans="1:4" ht="12.75">
      <c r="A165" s="283"/>
      <c r="B165" s="6"/>
      <c r="D165" s="7"/>
    </row>
    <row r="166" spans="1:4" ht="12.75">
      <c r="A166" s="283"/>
      <c r="B166" s="6"/>
      <c r="D166" s="7"/>
    </row>
    <row r="167" spans="1:4" ht="12.75">
      <c r="A167" s="283"/>
      <c r="B167" s="6"/>
      <c r="D167" s="7"/>
    </row>
    <row r="168" spans="1:4" ht="12.75">
      <c r="A168" s="283"/>
      <c r="B168" s="6"/>
      <c r="D168" s="7"/>
    </row>
    <row r="169" spans="1:4" ht="12.75">
      <c r="A169" s="283"/>
      <c r="B169" s="6"/>
      <c r="D169" s="7"/>
    </row>
    <row r="170" spans="1:4" ht="12.75">
      <c r="A170" s="283"/>
      <c r="B170" s="6"/>
      <c r="D170" s="7"/>
    </row>
    <row r="171" spans="1:4" ht="12.75">
      <c r="A171" s="283"/>
      <c r="B171" s="6"/>
      <c r="D171" s="7"/>
    </row>
    <row r="172" spans="1:4" ht="12.75">
      <c r="A172" s="283"/>
      <c r="B172" s="6"/>
      <c r="D172" s="7"/>
    </row>
    <row r="173" spans="1:4" ht="12.75">
      <c r="A173" s="283"/>
      <c r="B173" s="6"/>
      <c r="D173" s="7"/>
    </row>
    <row r="174" spans="1:4" ht="12.75">
      <c r="A174" s="283"/>
      <c r="B174" s="6"/>
      <c r="D174" s="7"/>
    </row>
    <row r="175" spans="1:4" ht="12.75">
      <c r="A175" s="283"/>
      <c r="B175" s="6"/>
      <c r="D175" s="7"/>
    </row>
    <row r="176" spans="1:4" ht="12.75">
      <c r="A176" s="283"/>
      <c r="B176" s="6"/>
      <c r="D176" s="7"/>
    </row>
    <row r="177" spans="1:4" ht="12.75">
      <c r="A177" s="283"/>
      <c r="B177" s="6"/>
      <c r="D177" s="7"/>
    </row>
    <row r="178" spans="1:4" ht="12.75">
      <c r="A178" s="283"/>
      <c r="B178" s="6"/>
      <c r="D178" s="7"/>
    </row>
    <row r="179" spans="1:4" ht="12.75">
      <c r="A179" s="283"/>
      <c r="B179" s="6"/>
      <c r="D179" s="7"/>
    </row>
    <row r="180" spans="1:4" ht="12.75">
      <c r="A180" s="283"/>
      <c r="B180" s="6"/>
      <c r="D180" s="7"/>
    </row>
    <row r="181" spans="1:4" ht="12.75">
      <c r="A181" s="283"/>
      <c r="B181" s="6"/>
      <c r="D181" s="7"/>
    </row>
    <row r="182" spans="1:4" ht="12.75">
      <c r="A182" s="283"/>
      <c r="B182" s="6"/>
      <c r="D182" s="7"/>
    </row>
    <row r="183" spans="1:4" ht="12.75">
      <c r="A183" s="283"/>
      <c r="B183" s="6"/>
      <c r="D183" s="7"/>
    </row>
    <row r="184" spans="1:4" ht="12.75">
      <c r="A184" s="283"/>
      <c r="B184" s="6"/>
      <c r="D184" s="7"/>
    </row>
    <row r="185" spans="1:4" ht="12.75">
      <c r="A185" s="283"/>
      <c r="B185" s="6"/>
      <c r="D185" s="7"/>
    </row>
    <row r="186" spans="1:4" ht="12.75">
      <c r="A186" s="283"/>
      <c r="B186" s="6"/>
      <c r="D186" s="7"/>
    </row>
    <row r="187" spans="1:4" ht="12.75">
      <c r="A187" s="283"/>
      <c r="B187" s="6"/>
      <c r="D187" s="7"/>
    </row>
    <row r="188" spans="1:4" ht="12.75">
      <c r="A188" s="283"/>
      <c r="B188" s="6"/>
      <c r="D188" s="7"/>
    </row>
    <row r="189" spans="1:4" ht="12.75">
      <c r="A189" s="283"/>
      <c r="B189" s="6"/>
      <c r="D189" s="7"/>
    </row>
    <row r="190" spans="1:4" ht="12.75">
      <c r="A190" s="283"/>
      <c r="B190" s="6"/>
      <c r="D190" s="7"/>
    </row>
    <row r="191" spans="1:4" ht="12.75">
      <c r="A191" s="283"/>
      <c r="B191" s="6"/>
      <c r="D191" s="7"/>
    </row>
    <row r="192" spans="1:4" ht="12.75">
      <c r="A192" s="283"/>
      <c r="B192" s="6"/>
      <c r="D192" s="7"/>
    </row>
    <row r="193" spans="1:4" ht="12.75">
      <c r="A193" s="283"/>
      <c r="B193" s="6"/>
      <c r="D193" s="7"/>
    </row>
    <row r="194" spans="1:4" ht="12.75">
      <c r="A194" s="283"/>
      <c r="B194" s="6"/>
      <c r="D194" s="7"/>
    </row>
    <row r="195" spans="1:4" ht="12.75">
      <c r="A195" s="283"/>
      <c r="B195" s="6"/>
      <c r="D195" s="7"/>
    </row>
    <row r="196" spans="1:4" ht="12.75">
      <c r="A196" s="283"/>
      <c r="B196" s="6"/>
      <c r="D196" s="7"/>
    </row>
    <row r="197" spans="1:4" ht="12.75">
      <c r="A197" s="283"/>
      <c r="B197" s="6"/>
      <c r="D197" s="7"/>
    </row>
    <row r="198" spans="1:4" ht="12.75">
      <c r="A198" s="283"/>
      <c r="B198" s="6"/>
      <c r="D198" s="7"/>
    </row>
    <row r="199" spans="1:4" ht="12.75">
      <c r="A199" s="283"/>
      <c r="B199" s="6"/>
      <c r="D199" s="7"/>
    </row>
    <row r="200" spans="1:4" ht="12.75">
      <c r="A200" s="283"/>
      <c r="B200" s="6"/>
      <c r="D200" s="7"/>
    </row>
    <row r="201" spans="1:4" ht="12.75">
      <c r="A201" s="283"/>
      <c r="B201" s="6"/>
      <c r="D201" s="7"/>
    </row>
    <row r="202" spans="1:4" ht="12.75">
      <c r="A202" s="283"/>
      <c r="B202" s="6"/>
      <c r="D202" s="7"/>
    </row>
    <row r="203" spans="1:4" ht="12.75">
      <c r="A203" s="283"/>
      <c r="B203" s="6"/>
      <c r="D203" s="7"/>
    </row>
    <row r="204" spans="1:4" ht="12.75">
      <c r="A204" s="283"/>
      <c r="B204" s="6"/>
      <c r="D204" s="7"/>
    </row>
    <row r="205" spans="1:4" ht="12.75">
      <c r="A205" s="283"/>
      <c r="B205" s="6"/>
      <c r="D205" s="7"/>
    </row>
    <row r="206" spans="1:4" ht="12.75">
      <c r="A206" s="283"/>
      <c r="B206" s="6"/>
      <c r="D206" s="7"/>
    </row>
    <row r="207" spans="1:4" ht="12.75">
      <c r="A207" s="283"/>
      <c r="B207" s="6"/>
      <c r="D207" s="7"/>
    </row>
    <row r="208" spans="1:4" ht="12.75">
      <c r="A208" s="283"/>
      <c r="B208" s="6"/>
      <c r="D208" s="7"/>
    </row>
    <row r="209" spans="1:4" ht="12.75">
      <c r="A209" s="283"/>
      <c r="B209" s="6"/>
      <c r="D209" s="7"/>
    </row>
    <row r="210" spans="1:4" ht="12.75">
      <c r="A210" s="283"/>
      <c r="B210" s="6"/>
      <c r="D210" s="7"/>
    </row>
    <row r="211" spans="1:4" ht="12.75">
      <c r="A211" s="283"/>
      <c r="B211" s="6"/>
      <c r="D211" s="7"/>
    </row>
    <row r="212" spans="1:4" ht="12.75">
      <c r="A212" s="283"/>
      <c r="B212" s="6"/>
      <c r="D212" s="7"/>
    </row>
    <row r="213" spans="1:4" ht="12.75">
      <c r="A213" s="283"/>
      <c r="B213" s="6"/>
      <c r="D213" s="7"/>
    </row>
    <row r="214" spans="1:4" ht="12.75">
      <c r="A214" s="283"/>
      <c r="B214" s="6"/>
      <c r="D214" s="7"/>
    </row>
    <row r="215" spans="1:4" ht="12.75">
      <c r="A215" s="283"/>
      <c r="B215" s="6"/>
      <c r="D215" s="7"/>
    </row>
    <row r="216" spans="1:4" ht="12.75">
      <c r="A216" s="283"/>
      <c r="B216" s="6"/>
      <c r="D216" s="7"/>
    </row>
    <row r="217" spans="1:4" ht="12.75">
      <c r="A217" s="283"/>
      <c r="B217" s="6"/>
      <c r="D217" s="7"/>
    </row>
    <row r="218" spans="1:4" ht="12.75">
      <c r="A218" s="283"/>
      <c r="B218" s="6"/>
      <c r="D218" s="7"/>
    </row>
    <row r="219" spans="1:4" ht="12.75">
      <c r="A219" s="283"/>
      <c r="B219" s="6"/>
      <c r="D219" s="7"/>
    </row>
    <row r="220" spans="1:4" ht="12.75">
      <c r="A220" s="283"/>
      <c r="B220" s="6"/>
      <c r="D220" s="7"/>
    </row>
    <row r="221" spans="1:4" ht="12.75">
      <c r="A221" s="283"/>
      <c r="B221" s="6"/>
      <c r="D221" s="7"/>
    </row>
    <row r="222" spans="1:4" ht="12.75">
      <c r="A222" s="283"/>
      <c r="B222" s="6"/>
      <c r="D222" s="7"/>
    </row>
    <row r="223" spans="1:4" ht="12.75">
      <c r="A223" s="283"/>
      <c r="B223" s="6"/>
      <c r="D223" s="7"/>
    </row>
    <row r="224" spans="1:4" ht="12.75">
      <c r="A224" s="283"/>
      <c r="B224" s="6"/>
      <c r="D224" s="7"/>
    </row>
    <row r="225" spans="1:4" ht="12.75">
      <c r="A225" s="283"/>
      <c r="B225" s="6"/>
      <c r="D225" s="7"/>
    </row>
    <row r="226" spans="1:4" ht="12.75">
      <c r="A226" s="283"/>
      <c r="B226" s="6"/>
      <c r="D226" s="7"/>
    </row>
    <row r="227" spans="1:4" ht="12.75">
      <c r="A227" s="283"/>
      <c r="B227" s="6"/>
      <c r="D227" s="7"/>
    </row>
    <row r="228" spans="1:4" ht="12.75">
      <c r="A228" s="283"/>
      <c r="B228" s="6"/>
      <c r="D228" s="7"/>
    </row>
    <row r="229" spans="1:4" ht="12.75">
      <c r="A229" s="283"/>
      <c r="B229" s="6"/>
      <c r="D229" s="7"/>
    </row>
    <row r="230" spans="1:4" ht="12.75">
      <c r="A230" s="283"/>
      <c r="B230" s="6"/>
      <c r="D230" s="7"/>
    </row>
    <row r="231" spans="1:4" ht="12.75">
      <c r="A231" s="283"/>
      <c r="B231" s="6"/>
      <c r="D231" s="7"/>
    </row>
    <row r="232" spans="1:4" ht="12.75">
      <c r="A232" s="283"/>
      <c r="B232" s="6"/>
      <c r="D232" s="7"/>
    </row>
    <row r="233" spans="1:4" ht="12.75">
      <c r="A233" s="283"/>
      <c r="B233" s="6"/>
      <c r="D233" s="7"/>
    </row>
    <row r="234" spans="1:4" ht="12.75">
      <c r="A234" s="283"/>
      <c r="B234" s="6"/>
      <c r="D234" s="7"/>
    </row>
    <row r="235" spans="1:4" ht="12.75">
      <c r="A235" s="283"/>
      <c r="B235" s="6"/>
      <c r="D235" s="7"/>
    </row>
    <row r="236" spans="1:4" ht="12.75">
      <c r="A236" s="283"/>
      <c r="B236" s="6"/>
      <c r="D236" s="7"/>
    </row>
    <row r="237" spans="1:4" ht="12.75">
      <c r="A237" s="283"/>
      <c r="B237" s="6"/>
      <c r="D237" s="7"/>
    </row>
    <row r="238" spans="1:4" ht="12.75">
      <c r="A238" s="283"/>
      <c r="B238" s="6"/>
      <c r="D238" s="7"/>
    </row>
    <row r="239" spans="1:4" ht="12.75">
      <c r="A239" s="283"/>
      <c r="B239" s="6"/>
      <c r="D239" s="7"/>
    </row>
    <row r="240" spans="1:4" ht="12.75">
      <c r="A240" s="283"/>
      <c r="B240" s="6"/>
      <c r="D240" s="7"/>
    </row>
    <row r="241" spans="1:4" ht="12.75">
      <c r="A241" s="283"/>
      <c r="B241" s="6"/>
      <c r="D241" s="7"/>
    </row>
    <row r="242" spans="1:4" ht="12.75">
      <c r="A242" s="283"/>
      <c r="B242" s="6"/>
      <c r="D242" s="7"/>
    </row>
    <row r="243" spans="1:4" ht="12.75">
      <c r="A243" s="283"/>
      <c r="B243" s="6"/>
      <c r="D243" s="7"/>
    </row>
    <row r="244" spans="1:4" ht="12.75">
      <c r="A244" s="283"/>
      <c r="B244" s="6"/>
      <c r="D244" s="7"/>
    </row>
    <row r="245" spans="1:4" ht="12.75">
      <c r="A245" s="283"/>
      <c r="B245" s="6"/>
      <c r="D245" s="7"/>
    </row>
    <row r="246" spans="1:4" ht="12.75">
      <c r="A246" s="283"/>
      <c r="B246" s="6"/>
      <c r="D246" s="7"/>
    </row>
    <row r="247" spans="1:4" ht="12.75">
      <c r="A247" s="283"/>
      <c r="B247" s="6"/>
      <c r="D247" s="7"/>
    </row>
    <row r="248" spans="1:4" ht="12.75">
      <c r="A248" s="283"/>
      <c r="B248" s="6"/>
      <c r="D248" s="7"/>
    </row>
    <row r="249" spans="1:4" ht="12.75">
      <c r="A249" s="283"/>
      <c r="B249" s="6"/>
      <c r="D249" s="7"/>
    </row>
    <row r="250" spans="1:4" ht="12.75">
      <c r="A250" s="283"/>
      <c r="B250" s="6"/>
      <c r="D250" s="7"/>
    </row>
    <row r="251" spans="1:4" ht="12.75">
      <c r="A251" s="283"/>
      <c r="B251" s="6"/>
      <c r="D251" s="7"/>
    </row>
    <row r="252" spans="1:4" ht="12.75">
      <c r="A252" s="283"/>
      <c r="B252" s="6"/>
      <c r="D252" s="7"/>
    </row>
    <row r="253" spans="1:4" ht="12.75">
      <c r="A253" s="283"/>
      <c r="B253" s="6"/>
      <c r="D253" s="7"/>
    </row>
    <row r="254" spans="1:4" ht="12.75">
      <c r="A254" s="283"/>
      <c r="B254" s="6"/>
      <c r="D254" s="7"/>
    </row>
    <row r="255" spans="1:4" ht="12.75">
      <c r="A255" s="283"/>
      <c r="B255" s="6"/>
      <c r="D255" s="7"/>
    </row>
    <row r="256" spans="1:4" ht="12.75">
      <c r="A256" s="283"/>
      <c r="B256" s="6"/>
      <c r="D256" s="7"/>
    </row>
    <row r="257" spans="1:4" ht="12.75">
      <c r="A257" s="283"/>
      <c r="B257" s="6"/>
      <c r="D257" s="7"/>
    </row>
    <row r="258" spans="1:4" ht="12.75">
      <c r="A258" s="283"/>
      <c r="B258" s="6"/>
      <c r="D258" s="7"/>
    </row>
    <row r="259" spans="1:4" ht="12.75">
      <c r="A259" s="283"/>
      <c r="B259" s="6"/>
      <c r="D259" s="7"/>
    </row>
    <row r="260" spans="1:4" ht="12.75">
      <c r="A260" s="283"/>
      <c r="B260" s="6"/>
      <c r="D260" s="7"/>
    </row>
    <row r="261" spans="1:4" ht="12.75">
      <c r="A261" s="283"/>
      <c r="B261" s="6"/>
      <c r="D261" s="7"/>
    </row>
    <row r="262" spans="1:4" ht="12.75">
      <c r="A262" s="283"/>
      <c r="B262" s="6"/>
      <c r="D262" s="7"/>
    </row>
    <row r="263" spans="1:4" ht="12.75">
      <c r="A263" s="283"/>
      <c r="B263" s="6"/>
      <c r="D263" s="7"/>
    </row>
    <row r="264" spans="1:4" ht="12.75">
      <c r="A264" s="283"/>
      <c r="B264" s="6"/>
      <c r="D264" s="7"/>
    </row>
    <row r="265" spans="1:4" ht="12.75">
      <c r="A265" s="283"/>
      <c r="B265" s="6"/>
      <c r="D265" s="7"/>
    </row>
    <row r="266" spans="1:4" ht="12.75">
      <c r="A266" s="283"/>
      <c r="B266" s="6"/>
      <c r="D266" s="7"/>
    </row>
    <row r="267" spans="1:4" ht="12.75">
      <c r="A267" s="283"/>
      <c r="B267" s="6"/>
      <c r="D267" s="7"/>
    </row>
    <row r="268" spans="1:4" ht="12.75">
      <c r="A268" s="283"/>
      <c r="B268" s="6"/>
      <c r="D268" s="7"/>
    </row>
    <row r="269" spans="1:4" ht="12.75">
      <c r="A269" s="283"/>
      <c r="B269" s="6"/>
      <c r="D269" s="7"/>
    </row>
    <row r="270" spans="1:4" ht="12.75">
      <c r="A270" s="283"/>
      <c r="B270" s="6"/>
      <c r="D270" s="7"/>
    </row>
    <row r="271" spans="1:4" ht="12.75">
      <c r="A271" s="283"/>
      <c r="B271" s="6"/>
      <c r="D271" s="7"/>
    </row>
    <row r="272" spans="1:4" ht="12.75">
      <c r="A272" s="283"/>
      <c r="B272" s="6"/>
      <c r="D272" s="7"/>
    </row>
    <row r="273" spans="1:4" ht="12.75">
      <c r="A273" s="283"/>
      <c r="B273" s="6"/>
      <c r="D273" s="7"/>
    </row>
    <row r="274" spans="1:4" ht="12.75">
      <c r="A274" s="283"/>
      <c r="B274" s="6"/>
      <c r="D274" s="7"/>
    </row>
    <row r="275" spans="1:4" ht="12.75">
      <c r="A275" s="283"/>
      <c r="B275" s="6"/>
      <c r="D275" s="7"/>
    </row>
    <row r="276" spans="1:4" ht="12.75">
      <c r="A276" s="283"/>
      <c r="B276" s="6"/>
      <c r="D276" s="7"/>
    </row>
    <row r="277" spans="1:4" ht="12.75">
      <c r="A277" s="283"/>
      <c r="B277" s="6"/>
      <c r="D277" s="7"/>
    </row>
    <row r="278" spans="1:4" ht="12.75">
      <c r="A278" s="283"/>
      <c r="B278" s="6"/>
      <c r="D278" s="7"/>
    </row>
    <row r="279" spans="1:4" ht="12.75">
      <c r="A279" s="283"/>
      <c r="B279" s="6"/>
      <c r="D279" s="7"/>
    </row>
    <row r="280" spans="1:4" ht="12.75">
      <c r="A280" s="283"/>
      <c r="B280" s="6"/>
      <c r="D280" s="7"/>
    </row>
    <row r="281" spans="1:4" ht="12.75">
      <c r="A281" s="283"/>
      <c r="B281" s="6"/>
      <c r="D281" s="7"/>
    </row>
    <row r="282" spans="1:4" ht="12.75">
      <c r="A282" s="283"/>
      <c r="B282" s="6"/>
      <c r="D282" s="7"/>
    </row>
    <row r="283" spans="1:4" ht="12.75">
      <c r="A283" s="283"/>
      <c r="B283" s="6"/>
      <c r="D283" s="7"/>
    </row>
    <row r="284" spans="1:4" ht="12.75">
      <c r="A284" s="283"/>
      <c r="B284" s="6"/>
      <c r="D284" s="7"/>
    </row>
    <row r="285" spans="1:4" ht="12.75">
      <c r="A285" s="283"/>
      <c r="B285" s="6"/>
      <c r="D285" s="7"/>
    </row>
    <row r="286" spans="1:4" ht="12.75">
      <c r="A286" s="283"/>
      <c r="B286" s="6"/>
      <c r="D286" s="7"/>
    </row>
    <row r="287" spans="1:4" ht="12.75">
      <c r="A287" s="283"/>
      <c r="B287" s="6"/>
      <c r="D287" s="7"/>
    </row>
    <row r="288" spans="1:4" ht="12.75">
      <c r="A288" s="283"/>
      <c r="B288" s="6"/>
      <c r="D288" s="7"/>
    </row>
    <row r="289" spans="1:4" ht="12.75">
      <c r="A289" s="283"/>
      <c r="B289" s="6"/>
      <c r="D289" s="7"/>
    </row>
    <row r="290" spans="1:4" ht="12.75">
      <c r="A290" s="283"/>
      <c r="B290" s="6"/>
      <c r="D290" s="7"/>
    </row>
    <row r="291" spans="1:4" ht="12.75">
      <c r="A291" s="283"/>
      <c r="B291" s="6"/>
      <c r="D291" s="7"/>
    </row>
    <row r="292" spans="1:4" ht="12.75">
      <c r="A292" s="283"/>
      <c r="B292" s="6"/>
      <c r="D292" s="7"/>
    </row>
    <row r="293" spans="1:4" ht="12.75">
      <c r="A293" s="283"/>
      <c r="B293" s="6"/>
      <c r="D293" s="7"/>
    </row>
    <row r="294" spans="1:4" ht="12.75">
      <c r="A294" s="283"/>
      <c r="B294" s="6"/>
      <c r="D294" s="7"/>
    </row>
    <row r="295" spans="1:4" ht="12.75">
      <c r="A295" s="283"/>
      <c r="B295" s="6"/>
      <c r="D295" s="7"/>
    </row>
    <row r="296" spans="1:4" ht="12.75">
      <c r="A296" s="283"/>
      <c r="B296" s="6"/>
      <c r="D296" s="7"/>
    </row>
    <row r="297" spans="1:4" ht="12.75">
      <c r="A297" s="283"/>
      <c r="B297" s="6"/>
      <c r="D297" s="7"/>
    </row>
    <row r="298" spans="1:4" ht="12.75">
      <c r="A298" s="283"/>
      <c r="B298" s="6"/>
      <c r="D298" s="7"/>
    </row>
    <row r="299" spans="1:4" ht="12.75">
      <c r="A299" s="283"/>
      <c r="B299" s="6"/>
      <c r="D299" s="7"/>
    </row>
    <row r="300" spans="1:4" ht="12.75">
      <c r="A300" s="283"/>
      <c r="B300" s="6"/>
      <c r="D300" s="7"/>
    </row>
    <row r="301" spans="1:4" ht="12.75">
      <c r="A301" s="283"/>
      <c r="B301" s="6"/>
      <c r="D301" s="7"/>
    </row>
    <row r="302" spans="1:4" ht="12.75">
      <c r="A302" s="283"/>
      <c r="B302" s="6"/>
      <c r="D302" s="7"/>
    </row>
    <row r="303" spans="1:4" ht="12.75">
      <c r="A303" s="283"/>
      <c r="B303" s="6"/>
      <c r="D303" s="7"/>
    </row>
    <row r="304" spans="1:4" ht="12.75">
      <c r="A304" s="283"/>
      <c r="B304" s="6"/>
      <c r="D304" s="7"/>
    </row>
    <row r="305" spans="1:4" ht="12.75">
      <c r="A305" s="283"/>
      <c r="B305" s="6"/>
      <c r="D305" s="7"/>
    </row>
    <row r="306" spans="1:4" ht="12.75">
      <c r="A306" s="283"/>
      <c r="B306" s="6"/>
      <c r="D306" s="7"/>
    </row>
    <row r="307" spans="1:4" ht="12.75">
      <c r="A307" s="283"/>
      <c r="B307" s="6"/>
      <c r="D307" s="7"/>
    </row>
    <row r="308" spans="1:4" ht="12.75">
      <c r="A308" s="283"/>
      <c r="B308" s="6"/>
      <c r="D308" s="7"/>
    </row>
    <row r="309" spans="1:4" ht="12.75">
      <c r="A309" s="283"/>
      <c r="B309" s="6"/>
      <c r="D309" s="7"/>
    </row>
    <row r="310" spans="1:4" ht="12.75">
      <c r="A310" s="283"/>
      <c r="B310" s="6"/>
      <c r="D310" s="7"/>
    </row>
    <row r="311" spans="1:4" ht="12.75">
      <c r="A311" s="283"/>
      <c r="B311" s="6"/>
      <c r="D311" s="7"/>
    </row>
    <row r="312" spans="1:4" ht="12.75">
      <c r="A312" s="283"/>
      <c r="B312" s="6"/>
      <c r="D312" s="7"/>
    </row>
    <row r="313" spans="1:4" ht="12.75">
      <c r="A313" s="283"/>
      <c r="B313" s="6"/>
      <c r="D313" s="7"/>
    </row>
    <row r="314" spans="1:4" ht="12.75">
      <c r="A314" s="283"/>
      <c r="B314" s="6"/>
      <c r="D314" s="7"/>
    </row>
    <row r="315" spans="1:4" ht="12.75">
      <c r="A315" s="283"/>
      <c r="B315" s="6"/>
      <c r="D315" s="7"/>
    </row>
    <row r="316" spans="1:4" ht="12.75">
      <c r="A316" s="283"/>
      <c r="B316" s="6"/>
      <c r="D316" s="7"/>
    </row>
    <row r="317" spans="1:4" ht="12.75">
      <c r="A317" s="283"/>
      <c r="B317" s="6"/>
      <c r="D317" s="7"/>
    </row>
    <row r="318" spans="1:4" ht="12.75">
      <c r="A318" s="283"/>
      <c r="B318" s="6"/>
      <c r="D318" s="7"/>
    </row>
    <row r="319" spans="1:4" ht="12.75">
      <c r="A319" s="283"/>
      <c r="B319" s="6"/>
      <c r="D319" s="7"/>
    </row>
    <row r="320" spans="1:4" ht="12.75">
      <c r="A320" s="283"/>
      <c r="B320" s="6"/>
      <c r="D320" s="7"/>
    </row>
    <row r="321" spans="1:4" ht="12.75">
      <c r="A321" s="283"/>
      <c r="B321" s="6"/>
      <c r="D321" s="7"/>
    </row>
    <row r="322" spans="1:4" ht="12.75">
      <c r="A322" s="283"/>
      <c r="B322" s="6"/>
      <c r="D322" s="7"/>
    </row>
    <row r="323" spans="1:4" ht="12.75">
      <c r="A323" s="283"/>
      <c r="B323" s="6"/>
      <c r="D323" s="7"/>
    </row>
    <row r="324" spans="1:4" ht="12.75">
      <c r="A324" s="283"/>
      <c r="B324" s="6"/>
      <c r="D324" s="7"/>
    </row>
    <row r="325" spans="1:4" ht="12.75">
      <c r="A325" s="283"/>
      <c r="B325" s="6"/>
      <c r="D325" s="7"/>
    </row>
    <row r="326" spans="1:4" ht="12.75">
      <c r="A326" s="283"/>
      <c r="B326" s="6"/>
      <c r="D326" s="7"/>
    </row>
    <row r="327" spans="1:4" ht="12.75">
      <c r="A327" s="283"/>
      <c r="B327" s="6"/>
      <c r="D327" s="7"/>
    </row>
    <row r="328" spans="1:4" ht="12.75">
      <c r="A328" s="283"/>
      <c r="B328" s="6"/>
      <c r="D328" s="7"/>
    </row>
    <row r="329" spans="1:4" ht="12.75">
      <c r="A329" s="283"/>
      <c r="B329" s="6"/>
      <c r="D329" s="7"/>
    </row>
    <row r="330" spans="1:4" ht="12.75">
      <c r="A330" s="283"/>
      <c r="B330" s="6"/>
      <c r="D330" s="7"/>
    </row>
    <row r="331" spans="1:4" ht="12.75">
      <c r="A331" s="283"/>
      <c r="B331" s="6"/>
      <c r="D331" s="7"/>
    </row>
    <row r="332" spans="1:4" ht="12.75">
      <c r="A332" s="283"/>
      <c r="B332" s="6"/>
      <c r="D332" s="7"/>
    </row>
    <row r="333" spans="1:4" ht="12.75">
      <c r="A333" s="283"/>
      <c r="B333" s="6"/>
      <c r="D333" s="7"/>
    </row>
    <row r="334" spans="1:4" ht="12.75">
      <c r="A334" s="283"/>
      <c r="B334" s="6"/>
      <c r="D334" s="7"/>
    </row>
    <row r="335" spans="1:4" ht="12.75">
      <c r="A335" s="283"/>
      <c r="B335" s="6"/>
      <c r="D335" s="7"/>
    </row>
    <row r="336" spans="1:4" ht="12.75">
      <c r="A336" s="283"/>
      <c r="B336" s="6"/>
      <c r="D336" s="7"/>
    </row>
    <row r="337" spans="1:4" ht="12.75">
      <c r="A337" s="283"/>
      <c r="B337" s="6"/>
      <c r="D337" s="7"/>
    </row>
    <row r="338" spans="1:4" ht="12.75">
      <c r="A338" s="283"/>
      <c r="B338" s="6"/>
      <c r="D338" s="7"/>
    </row>
    <row r="339" spans="1:4" ht="12.75">
      <c r="A339" s="283"/>
      <c r="B339" s="6"/>
      <c r="D339" s="7"/>
    </row>
    <row r="340" spans="1:4" ht="12.75">
      <c r="A340" s="283"/>
      <c r="B340" s="6"/>
      <c r="D340" s="7"/>
    </row>
    <row r="341" spans="1:4" ht="12.75">
      <c r="A341" s="283"/>
      <c r="B341" s="6"/>
      <c r="D341" s="7"/>
    </row>
    <row r="342" spans="1:4" ht="12.75">
      <c r="A342" s="283"/>
      <c r="B342" s="6"/>
      <c r="D342" s="7"/>
    </row>
    <row r="343" spans="1:4" ht="12.75">
      <c r="A343" s="283"/>
      <c r="B343" s="6"/>
      <c r="D343" s="7"/>
    </row>
    <row r="344" spans="1:4" ht="12.75">
      <c r="A344" s="283"/>
      <c r="B344" s="6"/>
      <c r="D344" s="7"/>
    </row>
    <row r="345" spans="1:4" ht="12.75">
      <c r="A345" s="283"/>
      <c r="B345" s="6"/>
      <c r="D345" s="7"/>
    </row>
    <row r="346" spans="1:4" ht="12.75">
      <c r="A346" s="283"/>
      <c r="B346" s="6"/>
      <c r="D346" s="7"/>
    </row>
    <row r="347" spans="1:4" ht="12.75">
      <c r="A347" s="283"/>
      <c r="B347" s="6"/>
      <c r="D347" s="7"/>
    </row>
    <row r="348" spans="1:4" ht="12.75">
      <c r="A348" s="283"/>
      <c r="B348" s="6"/>
      <c r="D348" s="7"/>
    </row>
    <row r="349" spans="1:4" ht="12.75">
      <c r="A349" s="283"/>
      <c r="B349" s="6"/>
      <c r="D349" s="7"/>
    </row>
    <row r="350" spans="1:4" ht="12.75">
      <c r="A350" s="283"/>
      <c r="B350" s="6"/>
      <c r="D350" s="7"/>
    </row>
    <row r="351" spans="1:4" ht="12.75">
      <c r="A351" s="283"/>
      <c r="B351" s="6"/>
      <c r="D351" s="7"/>
    </row>
    <row r="352" spans="1:4" ht="12.75">
      <c r="A352" s="283"/>
      <c r="B352" s="6"/>
      <c r="D352" s="7"/>
    </row>
    <row r="353" spans="1:4" ht="12.75">
      <c r="A353" s="283"/>
      <c r="B353" s="6"/>
      <c r="D353" s="7"/>
    </row>
    <row r="354" spans="1:4" ht="12.75">
      <c r="A354" s="283"/>
      <c r="B354" s="6"/>
      <c r="D354" s="7"/>
    </row>
    <row r="355" spans="1:4" ht="12.75">
      <c r="A355" s="283"/>
      <c r="B355" s="6"/>
      <c r="D355" s="7"/>
    </row>
    <row r="356" spans="1:4" ht="12.75">
      <c r="A356" s="283"/>
      <c r="B356" s="6"/>
      <c r="D356" s="7"/>
    </row>
    <row r="357" spans="1:4" ht="12.75">
      <c r="A357" s="283"/>
      <c r="B357" s="6"/>
      <c r="D357" s="7"/>
    </row>
    <row r="358" spans="1:4" ht="12.75">
      <c r="A358" s="283"/>
      <c r="B358" s="6"/>
      <c r="D358" s="7"/>
    </row>
    <row r="359" spans="1:4" ht="12.75">
      <c r="A359" s="283"/>
      <c r="B359" s="6"/>
      <c r="D359" s="7"/>
    </row>
    <row r="360" spans="1:4" ht="12.75">
      <c r="A360" s="283"/>
      <c r="B360" s="6"/>
      <c r="D360" s="7"/>
    </row>
    <row r="361" spans="1:4" ht="12.75">
      <c r="A361" s="283"/>
      <c r="B361" s="6"/>
      <c r="D361" s="7"/>
    </row>
    <row r="362" spans="1:4" ht="12.75">
      <c r="A362" s="283"/>
      <c r="B362" s="6"/>
      <c r="D362" s="7"/>
    </row>
    <row r="363" spans="1:4" ht="12.75">
      <c r="A363" s="283"/>
      <c r="B363" s="6"/>
      <c r="D363" s="7"/>
    </row>
    <row r="364" spans="1:4" ht="12.75">
      <c r="A364" s="283"/>
      <c r="B364" s="6"/>
      <c r="D364" s="7"/>
    </row>
    <row r="365" spans="1:4" ht="12.75">
      <c r="A365" s="283"/>
      <c r="B365" s="6"/>
      <c r="D365" s="7"/>
    </row>
    <row r="366" spans="1:4" ht="12.75">
      <c r="A366" s="283"/>
      <c r="B366" s="6"/>
      <c r="D366" s="7"/>
    </row>
    <row r="367" spans="1:4" ht="12.75">
      <c r="A367" s="283"/>
      <c r="B367" s="6"/>
      <c r="D367" s="7"/>
    </row>
    <row r="368" spans="1:4" ht="12.75">
      <c r="A368" s="283"/>
      <c r="B368" s="6"/>
      <c r="D368" s="7"/>
    </row>
    <row r="369" spans="1:4" ht="12.75">
      <c r="A369" s="283"/>
      <c r="B369" s="6"/>
      <c r="D369" s="7"/>
    </row>
    <row r="370" spans="1:4" ht="12.75">
      <c r="A370" s="283"/>
      <c r="B370" s="6"/>
      <c r="D370" s="7"/>
    </row>
    <row r="371" spans="1:4" ht="12.75">
      <c r="A371" s="283"/>
      <c r="B371" s="6"/>
      <c r="D371" s="7"/>
    </row>
    <row r="372" spans="1:4" ht="12.75">
      <c r="A372" s="283"/>
      <c r="B372" s="6"/>
      <c r="D372" s="7"/>
    </row>
    <row r="373" spans="1:4" ht="12.75">
      <c r="A373" s="283"/>
      <c r="B373" s="6"/>
      <c r="D373" s="7"/>
    </row>
    <row r="374" spans="1:4" ht="12.75">
      <c r="A374" s="283"/>
      <c r="B374" s="6"/>
      <c r="D374" s="7"/>
    </row>
    <row r="375" spans="1:4" ht="12.75">
      <c r="A375" s="283"/>
      <c r="B375" s="6"/>
      <c r="D375" s="7"/>
    </row>
    <row r="376" spans="1:4" ht="12.75">
      <c r="A376" s="283"/>
      <c r="B376" s="6"/>
      <c r="D376" s="7"/>
    </row>
    <row r="377" spans="1:4" ht="12.75">
      <c r="A377" s="283"/>
      <c r="B377" s="6"/>
      <c r="D377" s="7"/>
    </row>
    <row r="378" spans="1:4" ht="12.75">
      <c r="A378" s="283"/>
      <c r="B378" s="6"/>
      <c r="D378" s="7"/>
    </row>
    <row r="379" spans="1:4" ht="12.75">
      <c r="A379" s="283"/>
      <c r="B379" s="6"/>
      <c r="D379" s="7"/>
    </row>
    <row r="380" spans="1:4" ht="12.75">
      <c r="A380" s="283"/>
      <c r="B380" s="6"/>
      <c r="D380" s="7"/>
    </row>
    <row r="381" spans="1:4" ht="12.75">
      <c r="A381" s="283"/>
      <c r="B381" s="6"/>
      <c r="D381" s="7"/>
    </row>
    <row r="382" spans="1:4" ht="12.75">
      <c r="A382" s="283"/>
      <c r="B382" s="6"/>
      <c r="D382" s="7"/>
    </row>
    <row r="383" spans="1:4" ht="12.75">
      <c r="A383" s="283"/>
      <c r="B383" s="6"/>
      <c r="D383" s="7"/>
    </row>
    <row r="384" spans="1:4" ht="12.75">
      <c r="A384" s="283"/>
      <c r="B384" s="6"/>
      <c r="D384" s="7"/>
    </row>
    <row r="385" spans="1:4" ht="12.75">
      <c r="A385" s="283"/>
      <c r="B385" s="6"/>
      <c r="D385" s="7"/>
    </row>
    <row r="386" spans="1:4" ht="12.75">
      <c r="A386" s="283"/>
      <c r="B386" s="6"/>
      <c r="D386" s="7"/>
    </row>
    <row r="387" spans="1:4" ht="12.75">
      <c r="A387" s="283"/>
      <c r="B387" s="6"/>
      <c r="D387" s="7"/>
    </row>
    <row r="388" spans="1:4" ht="12.75">
      <c r="A388" s="283"/>
      <c r="B388" s="6"/>
      <c r="D388" s="7"/>
    </row>
    <row r="389" spans="1:4" ht="12.75">
      <c r="A389" s="283"/>
      <c r="B389" s="6"/>
      <c r="D389" s="7"/>
    </row>
    <row r="390" spans="1:4" ht="12.75">
      <c r="A390" s="283"/>
      <c r="B390" s="6"/>
      <c r="D390" s="7"/>
    </row>
    <row r="391" spans="1:4" ht="12.75">
      <c r="A391" s="283"/>
      <c r="B391" s="6"/>
      <c r="D391" s="7"/>
    </row>
    <row r="392" spans="1:4" ht="12.75">
      <c r="A392" s="283"/>
      <c r="B392" s="6"/>
      <c r="D392" s="7"/>
    </row>
    <row r="393" spans="1:4" ht="12.75">
      <c r="A393" s="283"/>
      <c r="B393" s="6"/>
      <c r="D393" s="7"/>
    </row>
    <row r="394" spans="1:4" ht="12.75">
      <c r="A394" s="283"/>
      <c r="B394" s="6"/>
      <c r="D394" s="7"/>
    </row>
    <row r="395" spans="1:4" ht="12.75">
      <c r="A395" s="283"/>
      <c r="B395" s="6"/>
      <c r="D395" s="7"/>
    </row>
    <row r="396" spans="1:4" ht="12.75">
      <c r="A396" s="283"/>
      <c r="B396" s="6"/>
      <c r="D396" s="7"/>
    </row>
    <row r="397" spans="1:4" ht="12.75">
      <c r="A397" s="283"/>
      <c r="B397" s="6"/>
      <c r="D397" s="7"/>
    </row>
    <row r="398" spans="1:4" ht="12.75">
      <c r="A398" s="283"/>
      <c r="B398" s="6"/>
      <c r="D398" s="7"/>
    </row>
    <row r="399" spans="1:4" ht="12.75">
      <c r="A399" s="283"/>
      <c r="B399" s="6"/>
      <c r="D399" s="7"/>
    </row>
    <row r="400" spans="1:4" ht="12.75">
      <c r="A400" s="283"/>
      <c r="B400" s="6"/>
      <c r="D400" s="7"/>
    </row>
    <row r="401" spans="1:4" ht="12.75">
      <c r="A401" s="283"/>
      <c r="B401" s="6"/>
      <c r="D401" s="7"/>
    </row>
    <row r="402" spans="1:4" ht="12.75">
      <c r="A402" s="283"/>
      <c r="B402" s="6"/>
      <c r="D402" s="7"/>
    </row>
    <row r="403" spans="1:4" ht="12.75">
      <c r="A403" s="283"/>
      <c r="B403" s="6"/>
      <c r="D403" s="7"/>
    </row>
    <row r="404" spans="1:4" ht="12.75">
      <c r="A404" s="283"/>
      <c r="B404" s="6"/>
      <c r="D404" s="7"/>
    </row>
    <row r="405" spans="1:4" ht="12.75">
      <c r="A405" s="283"/>
      <c r="B405" s="6"/>
      <c r="D405" s="7"/>
    </row>
    <row r="406" spans="1:4" ht="12.75">
      <c r="A406" s="283"/>
      <c r="B406" s="6"/>
      <c r="D406" s="7"/>
    </row>
    <row r="407" spans="1:4" ht="12.75">
      <c r="A407" s="283"/>
      <c r="B407" s="6"/>
      <c r="D407" s="7"/>
    </row>
    <row r="408" spans="1:4" ht="12.75">
      <c r="A408" s="283"/>
      <c r="B408" s="6"/>
      <c r="D408" s="7"/>
    </row>
    <row r="409" spans="1:4" ht="12.75">
      <c r="A409" s="283"/>
      <c r="B409" s="6"/>
      <c r="D409" s="7"/>
    </row>
    <row r="410" spans="1:4" ht="12.75">
      <c r="A410" s="283"/>
      <c r="B410" s="6"/>
      <c r="D410" s="7"/>
    </row>
    <row r="411" spans="1:4" ht="12.75">
      <c r="A411" s="283"/>
      <c r="B411" s="6"/>
      <c r="D411" s="7"/>
    </row>
    <row r="412" spans="1:4" ht="12.75">
      <c r="A412" s="283"/>
      <c r="B412" s="6"/>
      <c r="D412" s="7"/>
    </row>
    <row r="413" spans="1:4" ht="12.75">
      <c r="A413" s="283"/>
      <c r="B413" s="6"/>
      <c r="D413" s="7"/>
    </row>
    <row r="414" spans="1:4" ht="12.75">
      <c r="A414" s="283"/>
      <c r="B414" s="6"/>
      <c r="D414" s="7"/>
    </row>
    <row r="415" spans="1:4" ht="12.75">
      <c r="A415" s="283"/>
      <c r="B415" s="6"/>
      <c r="D415" s="7"/>
    </row>
    <row r="416" spans="1:4" ht="12.75">
      <c r="A416" s="283"/>
      <c r="B416" s="6"/>
      <c r="D416" s="7"/>
    </row>
    <row r="417" spans="1:4" ht="12.75">
      <c r="A417" s="283"/>
      <c r="B417" s="6"/>
      <c r="D417" s="7"/>
    </row>
    <row r="418" spans="1:4" ht="12.75">
      <c r="A418" s="283"/>
      <c r="B418" s="6"/>
      <c r="D418" s="7"/>
    </row>
    <row r="419" spans="1:4" ht="12.75">
      <c r="A419" s="283"/>
      <c r="B419" s="6"/>
      <c r="D419" s="7"/>
    </row>
    <row r="420" spans="1:4" ht="12.75">
      <c r="A420" s="283"/>
      <c r="B420" s="6"/>
      <c r="D420" s="7"/>
    </row>
    <row r="421" spans="1:4" ht="12.75">
      <c r="A421" s="283"/>
      <c r="B421" s="6"/>
      <c r="D421" s="7"/>
    </row>
    <row r="422" spans="1:4" ht="12.75">
      <c r="A422" s="283"/>
      <c r="B422" s="6"/>
      <c r="D422" s="7"/>
    </row>
    <row r="423" spans="1:4" ht="12.75">
      <c r="A423" s="283"/>
      <c r="B423" s="6"/>
      <c r="D423" s="7"/>
    </row>
    <row r="424" spans="1:4" ht="12.75">
      <c r="A424" s="283"/>
      <c r="B424" s="6"/>
      <c r="D424" s="7"/>
    </row>
    <row r="425" spans="1:4" ht="12.75">
      <c r="A425" s="283"/>
      <c r="B425" s="6"/>
      <c r="D425" s="7"/>
    </row>
    <row r="426" spans="1:4" ht="12.75">
      <c r="A426" s="283"/>
      <c r="B426" s="6"/>
      <c r="D426" s="7"/>
    </row>
    <row r="427" spans="1:4" ht="12.75">
      <c r="A427" s="283"/>
      <c r="B427" s="6"/>
      <c r="D427" s="7"/>
    </row>
    <row r="428" spans="1:4" ht="12.75">
      <c r="A428" s="283"/>
      <c r="B428" s="6"/>
      <c r="D428" s="7"/>
    </row>
    <row r="429" spans="1:4" ht="12.75">
      <c r="A429" s="283"/>
      <c r="B429" s="6"/>
      <c r="D429" s="7"/>
    </row>
    <row r="430" spans="1:4" ht="12.75">
      <c r="A430" s="283"/>
      <c r="B430" s="6"/>
      <c r="D430" s="7"/>
    </row>
    <row r="431" spans="1:4" ht="12.75">
      <c r="A431" s="283"/>
      <c r="B431" s="6"/>
      <c r="D431" s="7"/>
    </row>
    <row r="432" spans="1:4" ht="12.75">
      <c r="A432" s="283"/>
      <c r="B432" s="6"/>
      <c r="D432" s="7"/>
    </row>
    <row r="433" spans="1:4" ht="12.75">
      <c r="A433" s="283"/>
      <c r="B433" s="6"/>
      <c r="D433" s="7"/>
    </row>
    <row r="434" spans="1:4" ht="12.75">
      <c r="A434" s="283"/>
      <c r="B434" s="6"/>
      <c r="D434" s="7"/>
    </row>
    <row r="435" spans="1:4" ht="12.75">
      <c r="A435" s="283"/>
      <c r="B435" s="6"/>
      <c r="D435" s="7"/>
    </row>
    <row r="436" spans="1:4" ht="12.75">
      <c r="A436" s="283"/>
      <c r="B436" s="6"/>
      <c r="D436" s="7"/>
    </row>
    <row r="437" spans="1:4" ht="12.75">
      <c r="A437" s="283"/>
      <c r="B437" s="6"/>
      <c r="D437" s="7"/>
    </row>
    <row r="438" spans="1:4" ht="12.75">
      <c r="A438" s="283"/>
      <c r="B438" s="6"/>
      <c r="D438" s="7"/>
    </row>
    <row r="439" spans="1:4" ht="12.75">
      <c r="A439" s="283"/>
      <c r="B439" s="6"/>
      <c r="D439" s="7"/>
    </row>
    <row r="440" spans="1:4" ht="12.75">
      <c r="A440" s="283"/>
      <c r="B440" s="6"/>
      <c r="D440" s="7"/>
    </row>
    <row r="441" spans="1:4" ht="12.75">
      <c r="A441" s="283"/>
      <c r="B441" s="6"/>
      <c r="D441" s="7"/>
    </row>
    <row r="442" spans="1:4" ht="12.75">
      <c r="A442" s="283"/>
      <c r="B442" s="6"/>
      <c r="D442" s="7"/>
    </row>
    <row r="443" spans="1:4" ht="12.75">
      <c r="A443" s="283"/>
      <c r="B443" s="6"/>
      <c r="D443" s="7"/>
    </row>
    <row r="444" spans="1:4" ht="12.75">
      <c r="A444" s="283"/>
      <c r="B444" s="6"/>
      <c r="D444" s="7"/>
    </row>
    <row r="445" spans="1:4" ht="12.75">
      <c r="A445" s="283"/>
      <c r="B445" s="6"/>
      <c r="D445" s="7"/>
    </row>
    <row r="446" spans="1:4" ht="12.75">
      <c r="A446" s="283"/>
      <c r="B446" s="6"/>
      <c r="D446" s="7"/>
    </row>
    <row r="447" spans="1:4" ht="12.75">
      <c r="A447" s="283"/>
      <c r="B447" s="6"/>
      <c r="D447" s="7"/>
    </row>
    <row r="448" spans="1:4" ht="12.75">
      <c r="A448" s="283"/>
      <c r="B448" s="6"/>
      <c r="D448" s="7"/>
    </row>
    <row r="449" spans="1:4" ht="12.75">
      <c r="A449" s="283"/>
      <c r="B449" s="6"/>
      <c r="D449" s="7"/>
    </row>
    <row r="450" spans="1:4" ht="12.75">
      <c r="A450" s="283"/>
      <c r="B450" s="6"/>
      <c r="D450" s="7"/>
    </row>
    <row r="451" spans="1:4" ht="12.75">
      <c r="A451" s="283"/>
      <c r="B451" s="6"/>
      <c r="D451" s="7"/>
    </row>
    <row r="452" spans="1:4" ht="12.75">
      <c r="A452" s="283"/>
      <c r="B452" s="6"/>
      <c r="D452" s="7"/>
    </row>
    <row r="453" spans="1:4" ht="12.75">
      <c r="A453" s="283"/>
      <c r="B453" s="6"/>
      <c r="D453" s="7"/>
    </row>
    <row r="454" spans="1:4" ht="12.75">
      <c r="A454" s="283"/>
      <c r="B454" s="6"/>
      <c r="D454" s="7"/>
    </row>
    <row r="455" spans="1:4" ht="12.75">
      <c r="A455" s="283"/>
      <c r="B455" s="6"/>
      <c r="D455" s="7"/>
    </row>
    <row r="456" spans="1:4" ht="12.75">
      <c r="A456" s="283"/>
      <c r="B456" s="6"/>
      <c r="D456" s="7"/>
    </row>
    <row r="457" spans="1:4" ht="12.75">
      <c r="A457" s="283"/>
      <c r="B457" s="6"/>
      <c r="D457" s="7"/>
    </row>
    <row r="458" spans="1:4" ht="12.75">
      <c r="A458" s="283"/>
      <c r="B458" s="6"/>
      <c r="D458" s="7"/>
    </row>
    <row r="459" spans="1:4" ht="12.75">
      <c r="A459" s="283"/>
      <c r="B459" s="6"/>
      <c r="D459" s="7"/>
    </row>
    <row r="460" spans="1:4" ht="12.75">
      <c r="A460" s="283"/>
      <c r="B460" s="6"/>
      <c r="D460" s="7"/>
    </row>
  </sheetData>
  <sheetProtection/>
  <mergeCells count="2">
    <mergeCell ref="A2:D2"/>
    <mergeCell ref="A3:D3"/>
  </mergeCells>
  <printOptions horizontalCentered="1"/>
  <pageMargins left="0.4724409448818898" right="0.2362204724409449" top="0.8807291666666667" bottom="0.8267716535433072" header="0.5118110236220472" footer="0.5118110236220472"/>
  <pageSetup horizontalDpi="600" verticalDpi="600" orientation="portrait" paperSize="9" scale="70" r:id="rId1"/>
  <headerFooter alignWithMargins="0">
    <oddHeader xml:space="preserve">&amp;L 9.melléklet 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G64"/>
  <sheetViews>
    <sheetView view="pageLayout" zoomScaleSheetLayoutView="100" workbookViewId="0" topLeftCell="A1">
      <selection activeCell="A64" sqref="A64"/>
    </sheetView>
  </sheetViews>
  <sheetFormatPr defaultColWidth="9.00390625" defaultRowHeight="12.75"/>
  <cols>
    <col min="1" max="1" width="64.25390625" style="242" customWidth="1"/>
    <col min="2" max="2" width="10.75390625" style="242" customWidth="1"/>
    <col min="3" max="3" width="10.25390625" style="242" customWidth="1"/>
    <col min="4" max="4" width="11.125" style="242" customWidth="1"/>
    <col min="5" max="5" width="10.25390625" style="242" customWidth="1"/>
    <col min="6" max="6" width="11.75390625" style="242" customWidth="1"/>
    <col min="7" max="16384" width="9.125" style="242" customWidth="1"/>
  </cols>
  <sheetData>
    <row r="1" spans="1:7" ht="14.25" customHeight="1">
      <c r="A1" s="1172" t="s">
        <v>150</v>
      </c>
      <c r="B1" s="1172"/>
      <c r="C1" s="1172"/>
      <c r="D1" s="1032"/>
      <c r="E1" s="1032"/>
      <c r="F1" s="1032"/>
      <c r="G1" s="1032"/>
    </row>
    <row r="2" spans="1:7" ht="14.25" customHeight="1">
      <c r="A2" s="1172" t="s">
        <v>120</v>
      </c>
      <c r="B2" s="1172"/>
      <c r="C2" s="1172"/>
      <c r="D2" s="1032"/>
      <c r="E2" s="1032"/>
      <c r="F2" s="1032"/>
      <c r="G2" s="1032"/>
    </row>
    <row r="3" ht="14.25" customHeight="1" thickBot="1">
      <c r="A3" s="243"/>
    </row>
    <row r="4" spans="1:7" ht="51">
      <c r="A4" s="244" t="s">
        <v>121</v>
      </c>
      <c r="B4" s="245" t="s">
        <v>122</v>
      </c>
      <c r="C4" s="535" t="s">
        <v>123</v>
      </c>
      <c r="D4" s="245" t="s">
        <v>888</v>
      </c>
      <c r="E4" s="535" t="s">
        <v>739</v>
      </c>
      <c r="F4" s="688" t="s">
        <v>947</v>
      </c>
      <c r="G4" s="246" t="s">
        <v>739</v>
      </c>
    </row>
    <row r="5" spans="1:7" ht="14.25" customHeight="1">
      <c r="A5" s="247" t="s">
        <v>126</v>
      </c>
      <c r="B5" s="248">
        <v>2500</v>
      </c>
      <c r="C5" s="248"/>
      <c r="D5" s="537">
        <v>2500</v>
      </c>
      <c r="E5" s="537"/>
      <c r="F5" s="689">
        <v>2500</v>
      </c>
      <c r="G5" s="380"/>
    </row>
    <row r="6" spans="1:7" ht="14.25" customHeight="1">
      <c r="A6" s="247" t="s">
        <v>148</v>
      </c>
      <c r="B6" s="248">
        <v>25000</v>
      </c>
      <c r="C6" s="248"/>
      <c r="D6" s="537">
        <v>24980</v>
      </c>
      <c r="E6" s="537"/>
      <c r="F6" s="689">
        <v>19950</v>
      </c>
      <c r="G6" s="380"/>
    </row>
    <row r="7" spans="1:7" ht="14.25" customHeight="1">
      <c r="A7" s="247" t="s">
        <v>127</v>
      </c>
      <c r="B7" s="248">
        <v>150</v>
      </c>
      <c r="C7" s="248"/>
      <c r="D7" s="537">
        <v>300</v>
      </c>
      <c r="E7" s="537"/>
      <c r="F7" s="689">
        <v>300</v>
      </c>
      <c r="G7" s="380"/>
    </row>
    <row r="8" spans="1:7" ht="14.25" customHeight="1">
      <c r="A8" s="247" t="s">
        <v>128</v>
      </c>
      <c r="B8" s="248">
        <v>29000</v>
      </c>
      <c r="C8" s="248"/>
      <c r="D8" s="537">
        <v>29000</v>
      </c>
      <c r="E8" s="537"/>
      <c r="F8" s="689">
        <v>29000</v>
      </c>
      <c r="G8" s="380"/>
    </row>
    <row r="9" spans="1:7" ht="14.25" customHeight="1">
      <c r="A9" s="247" t="s">
        <v>773</v>
      </c>
      <c r="B9" s="248"/>
      <c r="C9" s="248"/>
      <c r="D9" s="537">
        <v>20</v>
      </c>
      <c r="E9" s="537"/>
      <c r="F9" s="689">
        <v>50</v>
      </c>
      <c r="G9" s="380"/>
    </row>
    <row r="10" spans="1:7" ht="14.25" customHeight="1">
      <c r="A10" s="249" t="s">
        <v>124</v>
      </c>
      <c r="B10" s="248"/>
      <c r="C10" s="248">
        <v>48000</v>
      </c>
      <c r="D10" s="537"/>
      <c r="E10" s="537">
        <v>48000</v>
      </c>
      <c r="F10" s="689"/>
      <c r="G10" s="380">
        <v>48000</v>
      </c>
    </row>
    <row r="11" spans="1:7" ht="14.25" customHeight="1">
      <c r="A11" s="247" t="s">
        <v>149</v>
      </c>
      <c r="B11" s="248"/>
      <c r="C11" s="248">
        <v>18000</v>
      </c>
      <c r="D11" s="537"/>
      <c r="E11" s="537">
        <v>18000</v>
      </c>
      <c r="F11" s="689"/>
      <c r="G11" s="380">
        <v>18000</v>
      </c>
    </row>
    <row r="12" spans="1:7" ht="14.25" customHeight="1">
      <c r="A12" s="247" t="s">
        <v>138</v>
      </c>
      <c r="B12" s="248"/>
      <c r="C12" s="248">
        <v>3600</v>
      </c>
      <c r="D12" s="537"/>
      <c r="E12" s="537">
        <v>3600</v>
      </c>
      <c r="F12" s="689"/>
      <c r="G12" s="380">
        <v>3600</v>
      </c>
    </row>
    <row r="13" spans="1:7" ht="14.25" customHeight="1">
      <c r="A13" s="247" t="s">
        <v>125</v>
      </c>
      <c r="B13" s="248"/>
      <c r="C13" s="248">
        <v>18000</v>
      </c>
      <c r="D13" s="537"/>
      <c r="E13" s="537">
        <v>18000</v>
      </c>
      <c r="F13" s="689"/>
      <c r="G13" s="380">
        <v>18000</v>
      </c>
    </row>
    <row r="14" spans="1:7" ht="14.25" customHeight="1">
      <c r="A14" s="247" t="s">
        <v>139</v>
      </c>
      <c r="B14" s="248"/>
      <c r="C14" s="248">
        <v>4950</v>
      </c>
      <c r="D14" s="537"/>
      <c r="E14" s="537">
        <v>4950</v>
      </c>
      <c r="F14" s="689"/>
      <c r="G14" s="380">
        <v>4950</v>
      </c>
    </row>
    <row r="15" spans="1:7" ht="14.25" customHeight="1">
      <c r="A15" s="247" t="s">
        <v>129</v>
      </c>
      <c r="B15" s="248"/>
      <c r="C15" s="248">
        <v>300</v>
      </c>
      <c r="D15" s="537"/>
      <c r="E15" s="537">
        <v>300</v>
      </c>
      <c r="F15" s="689"/>
      <c r="G15" s="380">
        <v>300</v>
      </c>
    </row>
    <row r="16" spans="1:7" s="56" customFormat="1" ht="14.25" customHeight="1">
      <c r="A16" s="250" t="s">
        <v>130</v>
      </c>
      <c r="B16" s="251">
        <f aca="true" t="shared" si="0" ref="B16:G16">SUM(B5:B15)</f>
        <v>56650</v>
      </c>
      <c r="C16" s="251">
        <f t="shared" si="0"/>
        <v>92850</v>
      </c>
      <c r="D16" s="251">
        <f>SUM(D5:D15)</f>
        <v>56800</v>
      </c>
      <c r="E16" s="251">
        <f>SUM(E5:E15)</f>
        <v>92850</v>
      </c>
      <c r="F16" s="690">
        <f t="shared" si="0"/>
        <v>51800</v>
      </c>
      <c r="G16" s="252">
        <f t="shared" si="0"/>
        <v>92850</v>
      </c>
    </row>
    <row r="17" spans="1:7" ht="14.25" customHeight="1">
      <c r="A17" s="253"/>
      <c r="B17" s="254"/>
      <c r="C17" s="248"/>
      <c r="D17" s="537"/>
      <c r="E17" s="537"/>
      <c r="F17" s="689"/>
      <c r="G17" s="380"/>
    </row>
    <row r="18" spans="1:7" ht="14.25" customHeight="1">
      <c r="A18" s="247" t="s">
        <v>131</v>
      </c>
      <c r="B18" s="248">
        <v>2500</v>
      </c>
      <c r="C18" s="248"/>
      <c r="D18" s="537">
        <v>3900</v>
      </c>
      <c r="E18" s="537"/>
      <c r="F18" s="689">
        <v>3900</v>
      </c>
      <c r="G18" s="380"/>
    </row>
    <row r="19" spans="1:7" ht="14.25" customHeight="1">
      <c r="A19" s="247" t="s">
        <v>132</v>
      </c>
      <c r="B19" s="248">
        <v>2500</v>
      </c>
      <c r="C19" s="248"/>
      <c r="D19" s="537">
        <v>2500</v>
      </c>
      <c r="E19" s="537"/>
      <c r="F19" s="689">
        <v>2500</v>
      </c>
      <c r="G19" s="380"/>
    </row>
    <row r="20" spans="1:7" ht="14.25" customHeight="1">
      <c r="A20" s="247" t="s">
        <v>133</v>
      </c>
      <c r="B20" s="248">
        <v>2500</v>
      </c>
      <c r="C20" s="248"/>
      <c r="D20" s="537">
        <v>2500</v>
      </c>
      <c r="E20" s="537"/>
      <c r="F20" s="689">
        <v>2500</v>
      </c>
      <c r="G20" s="380"/>
    </row>
    <row r="21" spans="1:7" ht="14.25" customHeight="1">
      <c r="A21" s="247" t="s">
        <v>134</v>
      </c>
      <c r="B21" s="248"/>
      <c r="C21" s="248"/>
      <c r="D21" s="537"/>
      <c r="E21" s="537"/>
      <c r="F21" s="689">
        <v>5000</v>
      </c>
      <c r="G21" s="380"/>
    </row>
    <row r="22" spans="1:7" s="56" customFormat="1" ht="14.25" customHeight="1">
      <c r="A22" s="250" t="s">
        <v>136</v>
      </c>
      <c r="B22" s="251">
        <f aca="true" t="shared" si="1" ref="B22:G22">SUM(B18+B19+B20+B21)</f>
        <v>7500</v>
      </c>
      <c r="C22" s="251">
        <f t="shared" si="1"/>
        <v>0</v>
      </c>
      <c r="D22" s="251">
        <f>SUM(D18+D19+D20+D21)</f>
        <v>8900</v>
      </c>
      <c r="E22" s="251">
        <f>SUM(E18+E19+E20+E21)</f>
        <v>0</v>
      </c>
      <c r="F22" s="690">
        <f t="shared" si="1"/>
        <v>13900</v>
      </c>
      <c r="G22" s="252">
        <f t="shared" si="1"/>
        <v>0</v>
      </c>
    </row>
    <row r="23" spans="1:7" ht="14.25" customHeight="1">
      <c r="A23" s="247"/>
      <c r="B23" s="248"/>
      <c r="C23" s="248"/>
      <c r="D23" s="537"/>
      <c r="E23" s="537"/>
      <c r="F23" s="689"/>
      <c r="G23" s="380"/>
    </row>
    <row r="24" spans="1:7" s="56" customFormat="1" ht="14.25" customHeight="1" thickBot="1">
      <c r="A24" s="255" t="s">
        <v>137</v>
      </c>
      <c r="B24" s="256">
        <f aca="true" t="shared" si="2" ref="B24:G24">SUM(B16+B22)</f>
        <v>64150</v>
      </c>
      <c r="C24" s="256">
        <f t="shared" si="2"/>
        <v>92850</v>
      </c>
      <c r="D24" s="256">
        <f>SUM(D16+D22)</f>
        <v>65700</v>
      </c>
      <c r="E24" s="256">
        <f>SUM(E16+E22)</f>
        <v>92850</v>
      </c>
      <c r="F24" s="691">
        <f t="shared" si="2"/>
        <v>65700</v>
      </c>
      <c r="G24" s="257">
        <f t="shared" si="2"/>
        <v>92850</v>
      </c>
    </row>
    <row r="25" ht="14.25" customHeight="1"/>
    <row r="26" ht="14.25" customHeight="1"/>
    <row r="27" ht="14.25" customHeight="1"/>
    <row r="28" spans="1:7" ht="14.25" customHeight="1">
      <c r="A28" s="1172" t="s">
        <v>151</v>
      </c>
      <c r="B28" s="1172"/>
      <c r="C28" s="1172"/>
      <c r="D28" s="1032"/>
      <c r="E28" s="1032"/>
      <c r="F28" s="1032"/>
      <c r="G28" s="1032"/>
    </row>
    <row r="29" spans="1:7" ht="14.25" customHeight="1">
      <c r="A29" s="1172" t="s">
        <v>120</v>
      </c>
      <c r="B29" s="1172"/>
      <c r="C29" s="1172"/>
      <c r="D29" s="1032"/>
      <c r="E29" s="1032"/>
      <c r="F29" s="1032"/>
      <c r="G29" s="1032"/>
    </row>
    <row r="30" ht="14.25" customHeight="1" thickBot="1">
      <c r="A30" s="243"/>
    </row>
    <row r="31" spans="1:7" ht="51">
      <c r="A31" s="244" t="s">
        <v>121</v>
      </c>
      <c r="B31" s="245" t="s">
        <v>122</v>
      </c>
      <c r="C31" s="535" t="s">
        <v>123</v>
      </c>
      <c r="D31" s="245" t="s">
        <v>888</v>
      </c>
      <c r="E31" s="535" t="s">
        <v>739</v>
      </c>
      <c r="F31" s="688" t="s">
        <v>947</v>
      </c>
      <c r="G31" s="246" t="s">
        <v>739</v>
      </c>
    </row>
    <row r="32" spans="1:7" ht="14.25" customHeight="1">
      <c r="A32" s="258" t="s">
        <v>140</v>
      </c>
      <c r="B32" s="259"/>
      <c r="C32" s="536"/>
      <c r="D32" s="261"/>
      <c r="E32" s="261"/>
      <c r="F32" s="692"/>
      <c r="G32" s="262"/>
    </row>
    <row r="33" spans="1:7" ht="14.25" customHeight="1">
      <c r="A33" s="249" t="s">
        <v>124</v>
      </c>
      <c r="B33" s="260">
        <v>60000</v>
      </c>
      <c r="C33" s="248"/>
      <c r="D33" s="260">
        <v>60000</v>
      </c>
      <c r="E33" s="261"/>
      <c r="F33" s="780">
        <v>60000</v>
      </c>
      <c r="G33" s="262"/>
    </row>
    <row r="34" spans="1:7" ht="14.25" customHeight="1">
      <c r="A34" s="247" t="s">
        <v>149</v>
      </c>
      <c r="B34" s="248">
        <v>20000</v>
      </c>
      <c r="C34" s="248"/>
      <c r="D34" s="248">
        <v>20000</v>
      </c>
      <c r="E34" s="261"/>
      <c r="F34" s="781">
        <v>20000</v>
      </c>
      <c r="G34" s="262"/>
    </row>
    <row r="35" spans="1:7" ht="14.25" customHeight="1">
      <c r="A35" s="247" t="s">
        <v>138</v>
      </c>
      <c r="B35" s="248">
        <v>4000</v>
      </c>
      <c r="C35" s="248"/>
      <c r="D35" s="248">
        <v>4000</v>
      </c>
      <c r="E35" s="261"/>
      <c r="F35" s="781">
        <v>4000</v>
      </c>
      <c r="G35" s="262"/>
    </row>
    <row r="36" spans="1:7" ht="14.25" customHeight="1">
      <c r="A36" s="247" t="s">
        <v>125</v>
      </c>
      <c r="B36" s="248">
        <v>20000</v>
      </c>
      <c r="C36" s="248"/>
      <c r="D36" s="248">
        <v>20000</v>
      </c>
      <c r="E36" s="261"/>
      <c r="F36" s="781">
        <v>20000</v>
      </c>
      <c r="G36" s="262"/>
    </row>
    <row r="37" spans="1:7" ht="14.25" customHeight="1">
      <c r="A37" s="247" t="s">
        <v>139</v>
      </c>
      <c r="B37" s="248">
        <v>5500</v>
      </c>
      <c r="C37" s="248"/>
      <c r="D37" s="248">
        <v>5500</v>
      </c>
      <c r="E37" s="261"/>
      <c r="F37" s="781">
        <v>5500</v>
      </c>
      <c r="G37" s="262"/>
    </row>
    <row r="38" spans="1:7" ht="14.25" customHeight="1">
      <c r="A38" s="247" t="s">
        <v>129</v>
      </c>
      <c r="B38" s="248">
        <v>300</v>
      </c>
      <c r="C38" s="248"/>
      <c r="D38" s="248">
        <v>300</v>
      </c>
      <c r="E38" s="261"/>
      <c r="F38" s="781">
        <v>8159</v>
      </c>
      <c r="G38" s="262"/>
    </row>
    <row r="39" spans="1:7" s="56" customFormat="1" ht="14.25" customHeight="1">
      <c r="A39" s="250" t="s">
        <v>141</v>
      </c>
      <c r="B39" s="251">
        <f aca="true" t="shared" si="3" ref="B39:G39">SUM(B33:B38)</f>
        <v>109800</v>
      </c>
      <c r="C39" s="251">
        <f t="shared" si="3"/>
        <v>0</v>
      </c>
      <c r="D39" s="251">
        <f>SUM(D33:D38)</f>
        <v>109800</v>
      </c>
      <c r="E39" s="251">
        <f>SUM(E33:E38)</f>
        <v>0</v>
      </c>
      <c r="F39" s="690">
        <f>SUM(F33:F38)</f>
        <v>117659</v>
      </c>
      <c r="G39" s="252">
        <f t="shared" si="3"/>
        <v>0</v>
      </c>
    </row>
    <row r="40" spans="1:7" ht="14.25" customHeight="1">
      <c r="A40" s="247"/>
      <c r="B40" s="248"/>
      <c r="C40" s="248"/>
      <c r="D40" s="261"/>
      <c r="E40" s="261"/>
      <c r="F40" s="692"/>
      <c r="G40" s="262"/>
    </row>
    <row r="41" spans="1:7" s="56" customFormat="1" ht="14.25" customHeight="1">
      <c r="A41" s="250" t="s">
        <v>144</v>
      </c>
      <c r="B41" s="251"/>
      <c r="C41" s="251"/>
      <c r="D41" s="263"/>
      <c r="E41" s="263"/>
      <c r="F41" s="693"/>
      <c r="G41" s="264"/>
    </row>
    <row r="42" spans="1:7" ht="14.25" customHeight="1">
      <c r="A42" s="247" t="s">
        <v>149</v>
      </c>
      <c r="B42" s="248">
        <v>524</v>
      </c>
      <c r="C42" s="248"/>
      <c r="D42" s="248">
        <v>524</v>
      </c>
      <c r="E42" s="261"/>
      <c r="F42" s="781">
        <v>1119</v>
      </c>
      <c r="G42" s="262"/>
    </row>
    <row r="43" spans="1:7" ht="14.25" customHeight="1">
      <c r="A43" s="247" t="s">
        <v>125</v>
      </c>
      <c r="B43" s="248">
        <v>1160</v>
      </c>
      <c r="C43" s="248"/>
      <c r="D43" s="248">
        <v>1160</v>
      </c>
      <c r="E43" s="261"/>
      <c r="F43" s="781">
        <v>1160</v>
      </c>
      <c r="G43" s="262"/>
    </row>
    <row r="44" spans="1:7" ht="14.25" customHeight="1">
      <c r="A44" s="247" t="s">
        <v>124</v>
      </c>
      <c r="B44" s="248">
        <v>5900</v>
      </c>
      <c r="C44" s="248"/>
      <c r="D44" s="248">
        <v>5900</v>
      </c>
      <c r="E44" s="261"/>
      <c r="F44" s="781">
        <v>5305</v>
      </c>
      <c r="G44" s="262"/>
    </row>
    <row r="45" spans="1:7" s="56" customFormat="1" ht="14.25" customHeight="1">
      <c r="A45" s="250" t="s">
        <v>145</v>
      </c>
      <c r="B45" s="251">
        <f aca="true" t="shared" si="4" ref="B45:G45">SUM(B42:B44)</f>
        <v>7584</v>
      </c>
      <c r="C45" s="251">
        <f t="shared" si="4"/>
        <v>0</v>
      </c>
      <c r="D45" s="251">
        <f>SUM(D42:D44)</f>
        <v>7584</v>
      </c>
      <c r="E45" s="251">
        <f>SUM(E42:E44)</f>
        <v>0</v>
      </c>
      <c r="F45" s="690">
        <f t="shared" si="4"/>
        <v>7584</v>
      </c>
      <c r="G45" s="252">
        <f t="shared" si="4"/>
        <v>0</v>
      </c>
    </row>
    <row r="46" spans="1:7" ht="14.25" customHeight="1">
      <c r="A46" s="247"/>
      <c r="B46" s="248"/>
      <c r="C46" s="248"/>
      <c r="D46" s="261"/>
      <c r="E46" s="261"/>
      <c r="F46" s="692"/>
      <c r="G46" s="262"/>
    </row>
    <row r="47" spans="1:7" s="56" customFormat="1" ht="14.25" customHeight="1">
      <c r="A47" s="250" t="s">
        <v>142</v>
      </c>
      <c r="B47" s="251"/>
      <c r="C47" s="251"/>
      <c r="D47" s="263"/>
      <c r="E47" s="263"/>
      <c r="F47" s="693"/>
      <c r="G47" s="264"/>
    </row>
    <row r="48" spans="1:7" ht="14.25" customHeight="1">
      <c r="A48" s="247" t="s">
        <v>149</v>
      </c>
      <c r="B48" s="248">
        <v>205</v>
      </c>
      <c r="C48" s="248"/>
      <c r="D48" s="248">
        <v>205</v>
      </c>
      <c r="E48" s="261"/>
      <c r="F48" s="781">
        <v>365</v>
      </c>
      <c r="G48" s="262"/>
    </row>
    <row r="49" spans="1:7" ht="14.25" customHeight="1">
      <c r="A49" s="247" t="s">
        <v>125</v>
      </c>
      <c r="B49" s="248">
        <v>446</v>
      </c>
      <c r="C49" s="248"/>
      <c r="D49" s="248">
        <v>446</v>
      </c>
      <c r="E49" s="261"/>
      <c r="F49" s="781">
        <v>566</v>
      </c>
      <c r="G49" s="262"/>
    </row>
    <row r="50" spans="1:7" ht="14.25" customHeight="1">
      <c r="A50" s="247" t="s">
        <v>124</v>
      </c>
      <c r="B50" s="248">
        <v>1920</v>
      </c>
      <c r="C50" s="248"/>
      <c r="D50" s="248">
        <v>1920</v>
      </c>
      <c r="E50" s="261"/>
      <c r="F50" s="781">
        <v>2440</v>
      </c>
      <c r="G50" s="262"/>
    </row>
    <row r="51" spans="1:7" s="56" customFormat="1" ht="14.25" customHeight="1">
      <c r="A51" s="250" t="s">
        <v>143</v>
      </c>
      <c r="B51" s="251">
        <f aca="true" t="shared" si="5" ref="B51:G51">SUM(B48:B50)</f>
        <v>2571</v>
      </c>
      <c r="C51" s="251">
        <f t="shared" si="5"/>
        <v>0</v>
      </c>
      <c r="D51" s="251">
        <f>SUM(D48:D50)</f>
        <v>2571</v>
      </c>
      <c r="E51" s="251">
        <f>SUM(E48:E50)</f>
        <v>0</v>
      </c>
      <c r="F51" s="690">
        <f t="shared" si="5"/>
        <v>3371</v>
      </c>
      <c r="G51" s="252">
        <f t="shared" si="5"/>
        <v>0</v>
      </c>
    </row>
    <row r="52" spans="1:7" ht="14.25" customHeight="1">
      <c r="A52" s="247"/>
      <c r="B52" s="248"/>
      <c r="C52" s="248"/>
      <c r="D52" s="261"/>
      <c r="E52" s="261"/>
      <c r="F52" s="692"/>
      <c r="G52" s="262"/>
    </row>
    <row r="53" spans="1:7" s="56" customFormat="1" ht="14.25" customHeight="1">
      <c r="A53" s="250" t="s">
        <v>146</v>
      </c>
      <c r="B53" s="251"/>
      <c r="C53" s="251"/>
      <c r="D53" s="263"/>
      <c r="E53" s="263"/>
      <c r="F53" s="693"/>
      <c r="G53" s="264"/>
    </row>
    <row r="54" spans="1:7" ht="14.25" customHeight="1">
      <c r="A54" s="247" t="s">
        <v>149</v>
      </c>
      <c r="B54" s="248"/>
      <c r="C54" s="248"/>
      <c r="D54" s="261"/>
      <c r="E54" s="261"/>
      <c r="F54" s="692"/>
      <c r="G54" s="262"/>
    </row>
    <row r="55" spans="1:7" ht="14.25" customHeight="1">
      <c r="A55" s="247" t="s">
        <v>125</v>
      </c>
      <c r="B55" s="248"/>
      <c r="C55" s="248"/>
      <c r="D55" s="261"/>
      <c r="E55" s="261"/>
      <c r="F55" s="692">
        <v>30</v>
      </c>
      <c r="G55" s="262"/>
    </row>
    <row r="56" spans="1:7" ht="14.25" customHeight="1">
      <c r="A56" s="247" t="s">
        <v>124</v>
      </c>
      <c r="B56" s="248"/>
      <c r="C56" s="248"/>
      <c r="D56" s="261"/>
      <c r="E56" s="261"/>
      <c r="F56" s="692">
        <v>223</v>
      </c>
      <c r="G56" s="262"/>
    </row>
    <row r="57" spans="1:7" s="56" customFormat="1" ht="14.25" customHeight="1">
      <c r="A57" s="250" t="s">
        <v>147</v>
      </c>
      <c r="B57" s="251">
        <f aca="true" t="shared" si="6" ref="B57:G57">SUM(B54:B56)</f>
        <v>0</v>
      </c>
      <c r="C57" s="251">
        <f t="shared" si="6"/>
        <v>0</v>
      </c>
      <c r="D57" s="251">
        <f>SUM(D54:D56)</f>
        <v>0</v>
      </c>
      <c r="E57" s="251">
        <f>SUM(E54:E56)</f>
        <v>0</v>
      </c>
      <c r="F57" s="690">
        <f t="shared" si="6"/>
        <v>253</v>
      </c>
      <c r="G57" s="252">
        <f t="shared" si="6"/>
        <v>0</v>
      </c>
    </row>
    <row r="58" spans="1:7" ht="14.25" customHeight="1">
      <c r="A58" s="247"/>
      <c r="B58" s="248"/>
      <c r="C58" s="248"/>
      <c r="D58" s="261"/>
      <c r="E58" s="261"/>
      <c r="F58" s="692"/>
      <c r="G58" s="262"/>
    </row>
    <row r="59" spans="1:7" ht="14.25" customHeight="1" thickBot="1">
      <c r="A59" s="255" t="s">
        <v>130</v>
      </c>
      <c r="B59" s="256">
        <f aca="true" t="shared" si="7" ref="B59:G59">SUM(B39,B45,B51,B57)</f>
        <v>119955</v>
      </c>
      <c r="C59" s="256">
        <f t="shared" si="7"/>
        <v>0</v>
      </c>
      <c r="D59" s="256">
        <f>SUM(D39,D45,D51,D57)</f>
        <v>119955</v>
      </c>
      <c r="E59" s="256">
        <f>SUM(E39,E45,E51,E57)</f>
        <v>0</v>
      </c>
      <c r="F59" s="691">
        <f t="shared" si="7"/>
        <v>128867</v>
      </c>
      <c r="G59" s="257">
        <f t="shared" si="7"/>
        <v>0</v>
      </c>
    </row>
    <row r="61" ht="12.75">
      <c r="A61" s="242" t="s">
        <v>1113</v>
      </c>
    </row>
    <row r="62" ht="12.75">
      <c r="A62" s="1" t="s">
        <v>1114</v>
      </c>
    </row>
    <row r="63" ht="12.75">
      <c r="A63" s="1" t="s">
        <v>1115</v>
      </c>
    </row>
    <row r="64" ht="12.75">
      <c r="A64" s="1" t="s">
        <v>1144</v>
      </c>
    </row>
  </sheetData>
  <sheetProtection/>
  <mergeCells count="4">
    <mergeCell ref="A28:G28"/>
    <mergeCell ref="A29:G29"/>
    <mergeCell ref="A1:G1"/>
    <mergeCell ref="A2:G2"/>
  </mergeCells>
  <printOptions horizontalCentered="1"/>
  <pageMargins left="0.7874015748031497" right="0.7874015748031497" top="0.7086614173228347" bottom="0.8661417322834646" header="0.35433070866141736" footer="0.1968503937007874"/>
  <pageSetup horizontalDpi="600" verticalDpi="600" orientation="portrait" paperSize="9" scale="67" r:id="rId1"/>
  <headerFooter alignWithMargins="0">
    <oddHeader xml:space="preserve">&amp;L 10. melléklet 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D145"/>
  <sheetViews>
    <sheetView view="pageLayout" zoomScaleSheetLayoutView="100" workbookViewId="0" topLeftCell="A73">
      <selection activeCell="A145" sqref="A145"/>
    </sheetView>
  </sheetViews>
  <sheetFormatPr defaultColWidth="9.00390625" defaultRowHeight="12.75"/>
  <cols>
    <col min="1" max="1" width="110.875" style="15" customWidth="1"/>
    <col min="2" max="2" width="14.00390625" style="7" customWidth="1"/>
    <col min="3" max="3" width="14.00390625" style="6" customWidth="1"/>
    <col min="4" max="4" width="14.00390625" style="283" customWidth="1"/>
    <col min="5" max="16384" width="9.125" style="6" customWidth="1"/>
  </cols>
  <sheetData>
    <row r="1" spans="1:4" ht="21.75" customHeight="1">
      <c r="A1" s="1173" t="s">
        <v>1013</v>
      </c>
      <c r="B1" s="1173"/>
      <c r="C1" s="1174"/>
      <c r="D1" s="1032"/>
    </row>
    <row r="2" spans="1:2" ht="13.5" thickBot="1">
      <c r="A2" s="284"/>
      <c r="B2" s="285"/>
    </row>
    <row r="3" spans="1:4" ht="12.75">
      <c r="A3" s="13" t="s">
        <v>121</v>
      </c>
      <c r="B3" s="239" t="s">
        <v>162</v>
      </c>
      <c r="C3" s="544" t="s">
        <v>888</v>
      </c>
      <c r="D3" s="725" t="s">
        <v>947</v>
      </c>
    </row>
    <row r="4" spans="1:4" ht="12.75">
      <c r="A4" s="4"/>
      <c r="B4" s="240"/>
      <c r="C4" s="696"/>
      <c r="D4" s="694"/>
    </row>
    <row r="5" spans="1:4" ht="12.75">
      <c r="A5" s="10" t="s">
        <v>226</v>
      </c>
      <c r="B5" s="241"/>
      <c r="C5" s="696"/>
      <c r="D5" s="694"/>
    </row>
    <row r="6" spans="1:4" ht="12.75">
      <c r="A6" s="991"/>
      <c r="B6" s="992"/>
      <c r="C6" s="993"/>
      <c r="D6" s="994"/>
    </row>
    <row r="7" spans="1:4" s="237" customFormat="1" ht="12.75">
      <c r="A7" s="995" t="s">
        <v>247</v>
      </c>
      <c r="B7" s="996">
        <f>SUM(B8:B19)</f>
        <v>326358</v>
      </c>
      <c r="C7" s="997">
        <f>SUM(C8:C19)</f>
        <v>341980</v>
      </c>
      <c r="D7" s="998">
        <f>SUM(D8:D19)</f>
        <v>350024</v>
      </c>
    </row>
    <row r="8" spans="1:4" ht="12.75">
      <c r="A8" s="991" t="s">
        <v>269</v>
      </c>
      <c r="B8" s="992">
        <f>321458-1500</f>
        <v>319958</v>
      </c>
      <c r="C8" s="993">
        <v>336080</v>
      </c>
      <c r="D8" s="994">
        <v>342319</v>
      </c>
    </row>
    <row r="9" spans="1:4" ht="12.75">
      <c r="A9" s="991" t="s">
        <v>232</v>
      </c>
      <c r="B9" s="992">
        <v>2400</v>
      </c>
      <c r="C9" s="993">
        <v>2400</v>
      </c>
      <c r="D9" s="994">
        <v>2400</v>
      </c>
    </row>
    <row r="10" spans="1:4" ht="12.75">
      <c r="A10" s="991" t="s">
        <v>458</v>
      </c>
      <c r="B10" s="992">
        <v>4000</v>
      </c>
      <c r="C10" s="993">
        <v>3500</v>
      </c>
      <c r="D10" s="994">
        <v>3500</v>
      </c>
    </row>
    <row r="11" spans="1:4" ht="12.75">
      <c r="A11" s="991" t="s">
        <v>994</v>
      </c>
      <c r="B11" s="992"/>
      <c r="C11" s="993"/>
      <c r="D11" s="994">
        <v>531</v>
      </c>
    </row>
    <row r="12" spans="1:4" ht="12.75">
      <c r="A12" s="991" t="s">
        <v>995</v>
      </c>
      <c r="B12" s="992"/>
      <c r="C12" s="993"/>
      <c r="D12" s="994">
        <v>182</v>
      </c>
    </row>
    <row r="13" spans="1:4" ht="12.75">
      <c r="A13" s="991" t="s">
        <v>996</v>
      </c>
      <c r="B13" s="992"/>
      <c r="C13" s="993"/>
      <c r="D13" s="994">
        <v>32</v>
      </c>
    </row>
    <row r="14" spans="1:4" ht="12.75">
      <c r="A14" s="991" t="s">
        <v>997</v>
      </c>
      <c r="B14" s="992"/>
      <c r="C14" s="993"/>
      <c r="D14" s="994">
        <v>300</v>
      </c>
    </row>
    <row r="15" spans="1:4" ht="12.75">
      <c r="A15" s="991" t="s">
        <v>998</v>
      </c>
      <c r="B15" s="992"/>
      <c r="C15" s="993"/>
      <c r="D15" s="994">
        <v>100</v>
      </c>
    </row>
    <row r="16" spans="1:4" ht="12.75">
      <c r="A16" s="991" t="s">
        <v>453</v>
      </c>
      <c r="B16" s="992"/>
      <c r="C16" s="993"/>
      <c r="D16" s="994">
        <v>410</v>
      </c>
    </row>
    <row r="17" spans="1:4" ht="12.75">
      <c r="A17" s="991" t="s">
        <v>264</v>
      </c>
      <c r="B17" s="992"/>
      <c r="C17" s="993"/>
      <c r="D17" s="994">
        <v>150</v>
      </c>
    </row>
    <row r="18" spans="1:4" ht="12.75">
      <c r="A18" s="991" t="s">
        <v>272</v>
      </c>
      <c r="B18" s="992"/>
      <c r="C18" s="993"/>
      <c r="D18" s="994">
        <v>100</v>
      </c>
    </row>
    <row r="19" spans="1:4" ht="12.75">
      <c r="A19" s="991"/>
      <c r="B19" s="992"/>
      <c r="C19" s="993"/>
      <c r="D19" s="994"/>
    </row>
    <row r="20" spans="1:4" s="237" customFormat="1" ht="12.75">
      <c r="A20" s="995" t="s">
        <v>249</v>
      </c>
      <c r="B20" s="996">
        <f>SUM(B21:B83)</f>
        <v>508056</v>
      </c>
      <c r="C20" s="996">
        <f>SUM(C21:C83)</f>
        <v>527238</v>
      </c>
      <c r="D20" s="999">
        <f>SUM(D21:D83)</f>
        <v>537303</v>
      </c>
    </row>
    <row r="21" spans="1:4" ht="12.75">
      <c r="A21" s="991" t="s">
        <v>261</v>
      </c>
      <c r="B21" s="992">
        <v>15000</v>
      </c>
      <c r="C21" s="993">
        <v>15000</v>
      </c>
      <c r="D21" s="994">
        <v>15000</v>
      </c>
    </row>
    <row r="22" spans="1:4" ht="12.75">
      <c r="A22" s="991" t="s">
        <v>262</v>
      </c>
      <c r="B22" s="992">
        <v>7000</v>
      </c>
      <c r="C22" s="993">
        <v>7000</v>
      </c>
      <c r="D22" s="994">
        <v>7000</v>
      </c>
    </row>
    <row r="23" spans="1:4" ht="12.75">
      <c r="A23" s="991" t="s">
        <v>457</v>
      </c>
      <c r="B23" s="992">
        <v>137382</v>
      </c>
      <c r="C23" s="993">
        <v>137382</v>
      </c>
      <c r="D23" s="994">
        <v>137382</v>
      </c>
    </row>
    <row r="24" spans="1:4" ht="12.75">
      <c r="A24" s="991" t="s">
        <v>188</v>
      </c>
      <c r="B24" s="992">
        <f>-5525+87240</f>
        <v>81715</v>
      </c>
      <c r="C24" s="993">
        <v>85702</v>
      </c>
      <c r="D24" s="994">
        <v>88512</v>
      </c>
    </row>
    <row r="25" spans="1:4" ht="13.5" customHeight="1">
      <c r="A25" s="991" t="s">
        <v>189</v>
      </c>
      <c r="B25" s="992">
        <v>5525</v>
      </c>
      <c r="C25" s="993">
        <v>5525</v>
      </c>
      <c r="D25" s="994">
        <v>5525</v>
      </c>
    </row>
    <row r="26" spans="1:4" ht="12.75">
      <c r="A26" s="991" t="s">
        <v>443</v>
      </c>
      <c r="B26" s="992">
        <v>40734</v>
      </c>
      <c r="C26" s="993">
        <v>40734</v>
      </c>
      <c r="D26" s="994">
        <v>40734</v>
      </c>
    </row>
    <row r="27" spans="1:4" ht="12.75">
      <c r="A27" s="991" t="s">
        <v>445</v>
      </c>
      <c r="B27" s="992">
        <v>63300</v>
      </c>
      <c r="C27" s="993">
        <v>63700</v>
      </c>
      <c r="D27" s="994">
        <v>65200</v>
      </c>
    </row>
    <row r="28" spans="1:4" ht="12.75">
      <c r="A28" s="991" t="s">
        <v>455</v>
      </c>
      <c r="B28" s="992">
        <v>66000</v>
      </c>
      <c r="C28" s="993">
        <v>66000</v>
      </c>
      <c r="D28" s="994">
        <v>66000</v>
      </c>
    </row>
    <row r="29" spans="1:4" ht="12.75">
      <c r="A29" s="991" t="s">
        <v>264</v>
      </c>
      <c r="B29" s="992">
        <v>3000</v>
      </c>
      <c r="C29" s="993">
        <v>2000</v>
      </c>
      <c r="D29" s="994">
        <v>4150</v>
      </c>
    </row>
    <row r="30" spans="1:4" ht="12.75">
      <c r="A30" s="991" t="s">
        <v>272</v>
      </c>
      <c r="B30" s="992">
        <v>5000</v>
      </c>
      <c r="C30" s="993">
        <v>4800</v>
      </c>
      <c r="D30" s="994">
        <v>2400</v>
      </c>
    </row>
    <row r="31" spans="1:4" ht="12.75">
      <c r="A31" s="991" t="s">
        <v>453</v>
      </c>
      <c r="B31" s="992">
        <v>4000</v>
      </c>
      <c r="C31" s="993">
        <v>3547</v>
      </c>
      <c r="D31" s="994">
        <v>2622</v>
      </c>
    </row>
    <row r="32" spans="1:4" ht="12.75">
      <c r="A32" s="991" t="s">
        <v>263</v>
      </c>
      <c r="B32" s="992">
        <v>340</v>
      </c>
      <c r="C32" s="993">
        <v>340</v>
      </c>
      <c r="D32" s="994">
        <v>348</v>
      </c>
    </row>
    <row r="33" spans="1:4" ht="12.75">
      <c r="A33" s="991" t="s">
        <v>265</v>
      </c>
      <c r="B33" s="992">
        <v>1000</v>
      </c>
      <c r="C33" s="993">
        <v>1000</v>
      </c>
      <c r="D33" s="994">
        <v>1000</v>
      </c>
    </row>
    <row r="34" spans="1:4" ht="12.75">
      <c r="A34" s="991" t="s">
        <v>266</v>
      </c>
      <c r="B34" s="992">
        <v>900</v>
      </c>
      <c r="C34" s="993">
        <v>900</v>
      </c>
      <c r="D34" s="994">
        <v>900</v>
      </c>
    </row>
    <row r="35" spans="1:4" ht="12.75">
      <c r="A35" s="991" t="s">
        <v>267</v>
      </c>
      <c r="B35" s="992">
        <v>5630</v>
      </c>
      <c r="C35" s="993">
        <v>5630</v>
      </c>
      <c r="D35" s="994">
        <v>5360</v>
      </c>
    </row>
    <row r="36" spans="1:4" ht="12.75">
      <c r="A36" s="991" t="s">
        <v>268</v>
      </c>
      <c r="B36" s="992">
        <v>6000</v>
      </c>
      <c r="C36" s="993">
        <v>6000</v>
      </c>
      <c r="D36" s="994">
        <v>6000</v>
      </c>
    </row>
    <row r="37" spans="1:4" ht="12.75">
      <c r="A37" s="991" t="s">
        <v>270</v>
      </c>
      <c r="B37" s="992">
        <v>5500</v>
      </c>
      <c r="C37" s="993">
        <v>5500</v>
      </c>
      <c r="D37" s="994">
        <v>5500</v>
      </c>
    </row>
    <row r="38" spans="1:4" ht="12.75">
      <c r="A38" s="991" t="s">
        <v>271</v>
      </c>
      <c r="B38" s="992">
        <v>1000</v>
      </c>
      <c r="C38" s="993">
        <v>1000</v>
      </c>
      <c r="D38" s="994">
        <v>1000</v>
      </c>
    </row>
    <row r="39" spans="1:4" ht="12.75">
      <c r="A39" s="991" t="s">
        <v>273</v>
      </c>
      <c r="B39" s="992">
        <v>300</v>
      </c>
      <c r="C39" s="993">
        <v>300</v>
      </c>
      <c r="D39" s="994">
        <v>300</v>
      </c>
    </row>
    <row r="40" spans="1:4" ht="12.75">
      <c r="A40" s="991" t="s">
        <v>274</v>
      </c>
      <c r="B40" s="992">
        <v>200</v>
      </c>
      <c r="C40" s="993">
        <v>200</v>
      </c>
      <c r="D40" s="994">
        <v>200</v>
      </c>
    </row>
    <row r="41" spans="1:4" ht="12.75">
      <c r="A41" s="991" t="s">
        <v>275</v>
      </c>
      <c r="B41" s="992">
        <v>500</v>
      </c>
      <c r="C41" s="993">
        <v>1000</v>
      </c>
      <c r="D41" s="994">
        <v>1000</v>
      </c>
    </row>
    <row r="42" spans="1:4" ht="12.75">
      <c r="A42" s="991" t="s">
        <v>436</v>
      </c>
      <c r="B42" s="992">
        <v>1000</v>
      </c>
      <c r="C42" s="993">
        <v>1000</v>
      </c>
      <c r="D42" s="994">
        <v>1000</v>
      </c>
    </row>
    <row r="43" spans="1:4" ht="12.75">
      <c r="A43" s="991" t="s">
        <v>758</v>
      </c>
      <c r="B43" s="992">
        <v>300</v>
      </c>
      <c r="C43" s="993">
        <v>1300</v>
      </c>
      <c r="D43" s="994">
        <v>300</v>
      </c>
    </row>
    <row r="44" spans="1:4" ht="12.75">
      <c r="A44" s="991" t="s">
        <v>437</v>
      </c>
      <c r="B44" s="992">
        <v>300</v>
      </c>
      <c r="C44" s="993">
        <v>300</v>
      </c>
      <c r="D44" s="994">
        <v>300</v>
      </c>
    </row>
    <row r="45" spans="1:4" ht="12.75">
      <c r="A45" s="991" t="s">
        <v>233</v>
      </c>
      <c r="B45" s="992">
        <v>500</v>
      </c>
      <c r="C45" s="993">
        <v>500</v>
      </c>
      <c r="D45" s="994">
        <v>500</v>
      </c>
    </row>
    <row r="46" spans="1:4" ht="12.75">
      <c r="A46" s="991" t="s">
        <v>438</v>
      </c>
      <c r="B46" s="992">
        <v>2100</v>
      </c>
      <c r="C46" s="993">
        <v>2100</v>
      </c>
      <c r="D46" s="994">
        <v>2100</v>
      </c>
    </row>
    <row r="47" spans="1:4" ht="12.75">
      <c r="A47" s="991" t="s">
        <v>440</v>
      </c>
      <c r="B47" s="992">
        <f>500+180</f>
        <v>680</v>
      </c>
      <c r="C47" s="993">
        <v>680</v>
      </c>
      <c r="D47" s="994">
        <v>680</v>
      </c>
    </row>
    <row r="48" spans="1:4" ht="12.75">
      <c r="A48" s="991" t="s">
        <v>442</v>
      </c>
      <c r="B48" s="992">
        <v>4000</v>
      </c>
      <c r="C48" s="993">
        <v>4000</v>
      </c>
      <c r="D48" s="994">
        <v>4000</v>
      </c>
    </row>
    <row r="49" spans="1:4" ht="12.75">
      <c r="A49" s="991" t="s">
        <v>444</v>
      </c>
      <c r="B49" s="992">
        <v>200</v>
      </c>
      <c r="C49" s="993">
        <v>200</v>
      </c>
      <c r="D49" s="994">
        <v>200</v>
      </c>
    </row>
    <row r="50" spans="1:4" ht="12.75">
      <c r="A50" s="991" t="s">
        <v>450</v>
      </c>
      <c r="B50" s="992">
        <v>4500</v>
      </c>
      <c r="C50" s="993">
        <v>4500</v>
      </c>
      <c r="D50" s="994">
        <v>4500</v>
      </c>
    </row>
    <row r="51" spans="1:4" ht="12.75">
      <c r="A51" s="991" t="s">
        <v>451</v>
      </c>
      <c r="B51" s="992">
        <v>17700</v>
      </c>
      <c r="C51" s="993">
        <v>25478</v>
      </c>
      <c r="D51" s="994">
        <v>25478</v>
      </c>
    </row>
    <row r="52" spans="1:4" ht="12.75">
      <c r="A52" s="991" t="s">
        <v>999</v>
      </c>
      <c r="B52" s="992"/>
      <c r="C52" s="993"/>
      <c r="D52" s="994">
        <v>5451</v>
      </c>
    </row>
    <row r="53" spans="1:4" ht="12.75">
      <c r="A53" s="991" t="s">
        <v>454</v>
      </c>
      <c r="B53" s="992">
        <v>3000</v>
      </c>
      <c r="C53" s="993">
        <v>3000</v>
      </c>
      <c r="D53" s="994">
        <v>3000</v>
      </c>
    </row>
    <row r="54" spans="1:4" ht="12.75">
      <c r="A54" s="991" t="s">
        <v>27</v>
      </c>
      <c r="B54" s="992">
        <v>2000</v>
      </c>
      <c r="C54" s="993">
        <v>2000</v>
      </c>
      <c r="D54" s="994">
        <v>2000</v>
      </c>
    </row>
    <row r="55" spans="1:4" ht="12.75">
      <c r="A55" s="991" t="s">
        <v>28</v>
      </c>
      <c r="B55" s="992">
        <v>1000</v>
      </c>
      <c r="C55" s="993">
        <v>1000</v>
      </c>
      <c r="D55" s="994">
        <v>1000</v>
      </c>
    </row>
    <row r="56" spans="1:4" ht="12.75">
      <c r="A56" s="991" t="s">
        <v>29</v>
      </c>
      <c r="B56" s="992">
        <v>1500</v>
      </c>
      <c r="C56" s="993">
        <v>1500</v>
      </c>
      <c r="D56" s="994">
        <v>1500</v>
      </c>
    </row>
    <row r="57" spans="1:4" ht="12.75">
      <c r="A57" s="991" t="s">
        <v>30</v>
      </c>
      <c r="B57" s="992">
        <v>2500</v>
      </c>
      <c r="C57" s="993">
        <v>2500</v>
      </c>
      <c r="D57" s="994">
        <v>2500</v>
      </c>
    </row>
    <row r="58" spans="1:4" ht="12.75">
      <c r="A58" s="991" t="s">
        <v>186</v>
      </c>
      <c r="B58" s="992">
        <v>1750</v>
      </c>
      <c r="C58" s="993">
        <v>1750</v>
      </c>
      <c r="D58" s="994">
        <v>1750</v>
      </c>
    </row>
    <row r="59" spans="1:4" ht="12.75">
      <c r="A59" s="991" t="s">
        <v>456</v>
      </c>
      <c r="B59" s="992">
        <v>15000</v>
      </c>
      <c r="C59" s="993">
        <v>15000</v>
      </c>
      <c r="D59" s="994">
        <v>15000</v>
      </c>
    </row>
    <row r="60" spans="1:4" ht="12.75">
      <c r="A60" s="991" t="s">
        <v>759</v>
      </c>
      <c r="B60" s="992"/>
      <c r="C60" s="993">
        <v>150</v>
      </c>
      <c r="D60" s="994">
        <v>150</v>
      </c>
    </row>
    <row r="61" spans="1:4" ht="12.75">
      <c r="A61" s="991" t="s">
        <v>760</v>
      </c>
      <c r="B61" s="992"/>
      <c r="C61" s="993">
        <v>0</v>
      </c>
      <c r="D61" s="994">
        <v>0</v>
      </c>
    </row>
    <row r="62" spans="1:4" ht="12.75">
      <c r="A62" s="991" t="s">
        <v>882</v>
      </c>
      <c r="B62" s="992"/>
      <c r="C62" s="993">
        <v>5639</v>
      </c>
      <c r="D62" s="994">
        <v>5639</v>
      </c>
    </row>
    <row r="63" spans="1:4" ht="12.75">
      <c r="A63" s="991" t="s">
        <v>1000</v>
      </c>
      <c r="B63" s="992"/>
      <c r="C63" s="993"/>
      <c r="D63" s="994">
        <v>400</v>
      </c>
    </row>
    <row r="64" spans="1:4" ht="12.75">
      <c r="A64" s="991" t="s">
        <v>1001</v>
      </c>
      <c r="B64" s="992"/>
      <c r="C64" s="993"/>
      <c r="D64" s="994">
        <v>100</v>
      </c>
    </row>
    <row r="65" spans="1:4" ht="12.75">
      <c r="A65" s="991" t="s">
        <v>1002</v>
      </c>
      <c r="B65" s="992"/>
      <c r="C65" s="993"/>
      <c r="D65" s="994">
        <v>200</v>
      </c>
    </row>
    <row r="66" spans="1:4" ht="12.75">
      <c r="A66" s="991" t="s">
        <v>1003</v>
      </c>
      <c r="B66" s="992"/>
      <c r="C66" s="993"/>
      <c r="D66" s="994">
        <v>130</v>
      </c>
    </row>
    <row r="67" spans="1:4" ht="12.75">
      <c r="A67" s="991" t="s">
        <v>1004</v>
      </c>
      <c r="B67" s="992"/>
      <c r="C67" s="993"/>
      <c r="D67" s="994">
        <v>504</v>
      </c>
    </row>
    <row r="68" spans="1:4" ht="12.75">
      <c r="A68" s="991" t="s">
        <v>1005</v>
      </c>
      <c r="B68" s="992"/>
      <c r="C68" s="993"/>
      <c r="D68" s="994">
        <v>193</v>
      </c>
    </row>
    <row r="69" spans="1:4" ht="12.75">
      <c r="A69" s="991" t="s">
        <v>153</v>
      </c>
      <c r="B69" s="992"/>
      <c r="C69" s="993"/>
      <c r="D69" s="994"/>
    </row>
    <row r="70" spans="1:4" ht="12.75">
      <c r="A70" s="991" t="s">
        <v>761</v>
      </c>
      <c r="B70" s="992"/>
      <c r="C70" s="993">
        <v>300</v>
      </c>
      <c r="D70" s="994">
        <v>300</v>
      </c>
    </row>
    <row r="71" spans="1:4" ht="12.75">
      <c r="A71" s="991" t="s">
        <v>774</v>
      </c>
      <c r="B71" s="992"/>
      <c r="C71" s="993">
        <v>75</v>
      </c>
      <c r="D71" s="994">
        <v>75</v>
      </c>
    </row>
    <row r="72" spans="1:4" ht="12.75">
      <c r="A72" s="991" t="s">
        <v>775</v>
      </c>
      <c r="B72" s="992"/>
      <c r="C72" s="993">
        <v>400</v>
      </c>
      <c r="D72" s="994">
        <v>400</v>
      </c>
    </row>
    <row r="73" spans="1:4" ht="12.75">
      <c r="A73" s="991" t="s">
        <v>776</v>
      </c>
      <c r="B73" s="992"/>
      <c r="C73" s="993">
        <v>400</v>
      </c>
      <c r="D73" s="994">
        <v>400</v>
      </c>
    </row>
    <row r="74" spans="1:4" ht="12.75">
      <c r="A74" s="991" t="s">
        <v>777</v>
      </c>
      <c r="B74" s="992"/>
      <c r="C74" s="993">
        <v>56</v>
      </c>
      <c r="D74" s="994">
        <v>0</v>
      </c>
    </row>
    <row r="75" spans="1:4" ht="12.75">
      <c r="A75" s="1000" t="s">
        <v>778</v>
      </c>
      <c r="B75" s="992"/>
      <c r="C75" s="993">
        <v>150</v>
      </c>
      <c r="D75" s="994">
        <v>150</v>
      </c>
    </row>
    <row r="76" spans="1:4" ht="12.75">
      <c r="A76" s="1001" t="s">
        <v>1006</v>
      </c>
      <c r="B76" s="1002"/>
      <c r="C76" s="993"/>
      <c r="D76" s="994">
        <v>200</v>
      </c>
    </row>
    <row r="77" spans="1:4" ht="12.75">
      <c r="A77" s="1003" t="s">
        <v>1007</v>
      </c>
      <c r="B77" s="1002"/>
      <c r="C77" s="993"/>
      <c r="D77" s="994">
        <v>100</v>
      </c>
    </row>
    <row r="78" spans="1:4" ht="12.75">
      <c r="A78" s="1003" t="s">
        <v>1008</v>
      </c>
      <c r="B78" s="1002"/>
      <c r="C78" s="993"/>
      <c r="D78" s="994">
        <v>300</v>
      </c>
    </row>
    <row r="79" spans="1:4" ht="12.75">
      <c r="A79" s="1004" t="s">
        <v>1009</v>
      </c>
      <c r="B79" s="1002"/>
      <c r="C79" s="993"/>
      <c r="D79" s="994">
        <v>40</v>
      </c>
    </row>
    <row r="80" spans="1:4" ht="12.75">
      <c r="A80" s="1005" t="s">
        <v>1010</v>
      </c>
      <c r="B80" s="992"/>
      <c r="C80" s="993"/>
      <c r="D80" s="994">
        <v>250</v>
      </c>
    </row>
    <row r="81" spans="1:4" ht="12.75">
      <c r="A81" s="1003" t="s">
        <v>1011</v>
      </c>
      <c r="B81" s="1002"/>
      <c r="C81" s="993"/>
      <c r="D81" s="994">
        <v>300</v>
      </c>
    </row>
    <row r="82" spans="1:4" ht="12.75">
      <c r="A82" s="1003" t="s">
        <v>1012</v>
      </c>
      <c r="B82" s="1002"/>
      <c r="C82" s="993"/>
      <c r="D82" s="994">
        <v>80</v>
      </c>
    </row>
    <row r="83" spans="1:4" ht="12.75">
      <c r="A83" s="1006"/>
      <c r="B83" s="992"/>
      <c r="C83" s="993"/>
      <c r="D83" s="994"/>
    </row>
    <row r="84" spans="1:4" s="402" customFormat="1" ht="13.5">
      <c r="A84" s="1007" t="s">
        <v>250</v>
      </c>
      <c r="B84" s="1008">
        <f>SUM(B7,B20)</f>
        <v>834414</v>
      </c>
      <c r="C84" s="1009">
        <f>SUM(C7,C20)</f>
        <v>869218</v>
      </c>
      <c r="D84" s="1010">
        <f>SUM(D7,D20)</f>
        <v>887327</v>
      </c>
    </row>
    <row r="85" spans="1:4" ht="12.75">
      <c r="A85" s="991"/>
      <c r="B85" s="992"/>
      <c r="C85" s="993"/>
      <c r="D85" s="994"/>
    </row>
    <row r="86" spans="1:4" ht="12.75">
      <c r="A86" s="995" t="s">
        <v>246</v>
      </c>
      <c r="B86" s="996">
        <f>SUM(B87:B87)</f>
        <v>0</v>
      </c>
      <c r="C86" s="1011">
        <v>0</v>
      </c>
      <c r="D86" s="1012">
        <v>0</v>
      </c>
    </row>
    <row r="87" spans="1:4" ht="12.75">
      <c r="A87" s="991"/>
      <c r="B87" s="992"/>
      <c r="C87" s="993"/>
      <c r="D87" s="994"/>
    </row>
    <row r="88" spans="1:4" s="237" customFormat="1" ht="12.75">
      <c r="A88" s="995" t="s">
        <v>248</v>
      </c>
      <c r="B88" s="996">
        <f>SUM(B89:B90)</f>
        <v>6000</v>
      </c>
      <c r="C88" s="997">
        <f>SUM(C89:C90)</f>
        <v>6000</v>
      </c>
      <c r="D88" s="998">
        <f>SUM(D89:D90)</f>
        <v>6000</v>
      </c>
    </row>
    <row r="89" spans="1:4" ht="12.75">
      <c r="A89" s="991" t="s">
        <v>439</v>
      </c>
      <c r="B89" s="992">
        <v>2000</v>
      </c>
      <c r="C89" s="993">
        <v>2000</v>
      </c>
      <c r="D89" s="994">
        <v>2000</v>
      </c>
    </row>
    <row r="90" spans="1:4" ht="12.75">
      <c r="A90" s="991" t="s">
        <v>187</v>
      </c>
      <c r="B90" s="992">
        <v>4000</v>
      </c>
      <c r="C90" s="993">
        <v>4000</v>
      </c>
      <c r="D90" s="994">
        <v>4000</v>
      </c>
    </row>
    <row r="91" spans="1:4" ht="12.75">
      <c r="A91" s="991"/>
      <c r="B91" s="992"/>
      <c r="C91" s="993"/>
      <c r="D91" s="994"/>
    </row>
    <row r="92" spans="1:4" s="402" customFormat="1" ht="13.5">
      <c r="A92" s="1007" t="s">
        <v>251</v>
      </c>
      <c r="B92" s="1008">
        <f>SUM(B88,B86)</f>
        <v>6000</v>
      </c>
      <c r="C92" s="1009">
        <f>SUM(C88,C86)</f>
        <v>6000</v>
      </c>
      <c r="D92" s="1010">
        <f>SUM(D88,D86)</f>
        <v>6000</v>
      </c>
    </row>
    <row r="93" spans="1:4" ht="12.75">
      <c r="A93" s="991"/>
      <c r="B93" s="992"/>
      <c r="C93" s="993"/>
      <c r="D93" s="994"/>
    </row>
    <row r="94" spans="1:4" s="238" customFormat="1" ht="12.75">
      <c r="A94" s="1013" t="s">
        <v>252</v>
      </c>
      <c r="B94" s="1014">
        <f>SUM(B84,B92)</f>
        <v>840414</v>
      </c>
      <c r="C94" s="1015">
        <f>SUM(C84,C92)</f>
        <v>875218</v>
      </c>
      <c r="D94" s="1016">
        <f>SUM(D84,D92)</f>
        <v>893327</v>
      </c>
    </row>
    <row r="95" spans="1:4" s="238" customFormat="1" ht="13.5" thickBot="1">
      <c r="A95" s="1017"/>
      <c r="B95" s="1018"/>
      <c r="C95" s="1019"/>
      <c r="D95" s="1020"/>
    </row>
    <row r="96" spans="1:4" s="237" customFormat="1" ht="12.75">
      <c r="A96" s="1021" t="s">
        <v>253</v>
      </c>
      <c r="B96" s="1022">
        <f>SUM(B97:B99)</f>
        <v>14462</v>
      </c>
      <c r="C96" s="1023">
        <f>SUM(C97:C99)</f>
        <v>16091</v>
      </c>
      <c r="D96" s="1024">
        <f>SUM(D97:D99)</f>
        <v>16091</v>
      </c>
    </row>
    <row r="97" spans="1:4" ht="12.75">
      <c r="A97" s="991" t="s">
        <v>481</v>
      </c>
      <c r="B97" s="992">
        <v>14462</v>
      </c>
      <c r="C97" s="993">
        <v>14462</v>
      </c>
      <c r="D97" s="994">
        <v>14462</v>
      </c>
    </row>
    <row r="98" spans="1:4" ht="12.75">
      <c r="A98" s="991" t="s">
        <v>779</v>
      </c>
      <c r="B98" s="992"/>
      <c r="C98" s="993">
        <v>1629</v>
      </c>
      <c r="D98" s="994">
        <v>1629</v>
      </c>
    </row>
    <row r="99" spans="1:4" ht="12.75">
      <c r="A99" s="991"/>
      <c r="B99" s="992"/>
      <c r="C99" s="993"/>
      <c r="D99" s="994"/>
    </row>
    <row r="100" spans="1:4" s="237" customFormat="1" ht="12" customHeight="1">
      <c r="A100" s="995" t="s">
        <v>254</v>
      </c>
      <c r="B100" s="996">
        <f>SUM(B101:B111)</f>
        <v>59299</v>
      </c>
      <c r="C100" s="996">
        <f>SUM(C101:C111)</f>
        <v>60800</v>
      </c>
      <c r="D100" s="999">
        <f>SUM(D101:D111)</f>
        <v>177552</v>
      </c>
    </row>
    <row r="101" spans="1:4" ht="12.75">
      <c r="A101" s="991" t="s">
        <v>572</v>
      </c>
      <c r="B101" s="992">
        <v>12552</v>
      </c>
      <c r="C101" s="993">
        <v>12552</v>
      </c>
      <c r="D101" s="994">
        <v>12552</v>
      </c>
    </row>
    <row r="102" spans="1:4" ht="12.75">
      <c r="A102" s="991" t="s">
        <v>446</v>
      </c>
      <c r="B102" s="992">
        <v>26500</v>
      </c>
      <c r="C102" s="993">
        <v>26500</v>
      </c>
      <c r="D102" s="994">
        <v>26500</v>
      </c>
    </row>
    <row r="103" spans="1:4" ht="12.75">
      <c r="A103" s="991" t="s">
        <v>234</v>
      </c>
      <c r="B103" s="992">
        <v>12000</v>
      </c>
      <c r="C103" s="993">
        <v>12000</v>
      </c>
      <c r="D103" s="994">
        <v>12000</v>
      </c>
    </row>
    <row r="104" spans="1:4" ht="25.5">
      <c r="A104" s="991" t="s">
        <v>452</v>
      </c>
      <c r="B104" s="992">
        <v>1000</v>
      </c>
      <c r="C104" s="993">
        <v>1000</v>
      </c>
      <c r="D104" s="994">
        <v>1000</v>
      </c>
    </row>
    <row r="105" spans="1:4" ht="12.75">
      <c r="A105" s="991" t="s">
        <v>781</v>
      </c>
      <c r="B105" s="992">
        <f>13247-6000</f>
        <v>7247</v>
      </c>
      <c r="C105" s="993">
        <v>7247</v>
      </c>
      <c r="D105" s="994">
        <v>7247</v>
      </c>
    </row>
    <row r="106" spans="1:4" ht="12.75">
      <c r="A106" s="991" t="s">
        <v>762</v>
      </c>
      <c r="B106" s="992"/>
      <c r="C106" s="993">
        <v>1</v>
      </c>
      <c r="D106" s="994">
        <v>3</v>
      </c>
    </row>
    <row r="107" spans="1:4" ht="12.75">
      <c r="A107" s="991" t="s">
        <v>763</v>
      </c>
      <c r="B107" s="992"/>
      <c r="C107" s="993">
        <v>0</v>
      </c>
      <c r="D107" s="994">
        <v>110000</v>
      </c>
    </row>
    <row r="108" spans="1:4" ht="12.75">
      <c r="A108" s="991" t="s">
        <v>780</v>
      </c>
      <c r="B108" s="992"/>
      <c r="C108" s="993">
        <v>1500</v>
      </c>
      <c r="D108" s="994">
        <v>1500</v>
      </c>
    </row>
    <row r="109" spans="1:4" ht="12.75">
      <c r="A109" s="991" t="s">
        <v>1014</v>
      </c>
      <c r="B109" s="992"/>
      <c r="C109" s="993"/>
      <c r="D109" s="994">
        <v>250</v>
      </c>
    </row>
    <row r="110" spans="1:4" ht="12.75">
      <c r="A110" s="991" t="s">
        <v>1015</v>
      </c>
      <c r="B110" s="992"/>
      <c r="C110" s="993"/>
      <c r="D110" s="994">
        <v>1500</v>
      </c>
    </row>
    <row r="111" spans="1:4" ht="12.75">
      <c r="A111" s="991" t="s">
        <v>1016</v>
      </c>
      <c r="B111" s="992"/>
      <c r="C111" s="993"/>
      <c r="D111" s="994">
        <v>5000</v>
      </c>
    </row>
    <row r="112" spans="1:4" ht="12.75">
      <c r="A112" s="991"/>
      <c r="B112" s="992"/>
      <c r="C112" s="993"/>
      <c r="D112" s="994"/>
    </row>
    <row r="113" spans="1:4" s="402" customFormat="1" ht="13.5">
      <c r="A113" s="1007" t="s">
        <v>255</v>
      </c>
      <c r="B113" s="1008">
        <f>SUM(B96,B100)</f>
        <v>73761</v>
      </c>
      <c r="C113" s="1009">
        <f>SUM(C96,C100)</f>
        <v>76891</v>
      </c>
      <c r="D113" s="1010">
        <f>SUM(D96,D100)</f>
        <v>193643</v>
      </c>
    </row>
    <row r="114" spans="1:4" s="402" customFormat="1" ht="13.5">
      <c r="A114" s="1007"/>
      <c r="B114" s="1008"/>
      <c r="C114" s="1025"/>
      <c r="D114" s="1026"/>
    </row>
    <row r="115" spans="1:4" ht="12.75">
      <c r="A115" s="991"/>
      <c r="B115" s="992"/>
      <c r="C115" s="993"/>
      <c r="D115" s="994"/>
    </row>
    <row r="116" spans="1:4" s="237" customFormat="1" ht="12.75">
      <c r="A116" s="995" t="s">
        <v>502</v>
      </c>
      <c r="B116" s="996">
        <f>SUM(B117:B118)</f>
        <v>808</v>
      </c>
      <c r="C116" s="996">
        <f>SUM(C117:C118)</f>
        <v>808</v>
      </c>
      <c r="D116" s="999">
        <f>SUM(D117:D118)</f>
        <v>1808</v>
      </c>
    </row>
    <row r="117" spans="1:4" ht="12.75">
      <c r="A117" s="991" t="s">
        <v>503</v>
      </c>
      <c r="B117" s="992">
        <v>808</v>
      </c>
      <c r="C117" s="993">
        <v>808</v>
      </c>
      <c r="D117" s="994">
        <v>808</v>
      </c>
    </row>
    <row r="118" spans="1:4" ht="12.75">
      <c r="A118" s="991" t="s">
        <v>1017</v>
      </c>
      <c r="B118" s="992"/>
      <c r="C118" s="993"/>
      <c r="D118" s="994">
        <v>1000</v>
      </c>
    </row>
    <row r="119" spans="1:4" ht="12.75">
      <c r="A119" s="991"/>
      <c r="B119" s="992"/>
      <c r="C119" s="993"/>
      <c r="D119" s="994"/>
    </row>
    <row r="120" spans="1:4" s="237" customFormat="1" ht="12.75">
      <c r="A120" s="995" t="s">
        <v>256</v>
      </c>
      <c r="B120" s="996">
        <f>SUM(B121:B121)</f>
        <v>0</v>
      </c>
      <c r="C120" s="1011"/>
      <c r="D120" s="1012"/>
    </row>
    <row r="121" spans="1:4" ht="12.75">
      <c r="A121" s="991"/>
      <c r="B121" s="992"/>
      <c r="C121" s="993"/>
      <c r="D121" s="994"/>
    </row>
    <row r="122" spans="1:4" s="237" customFormat="1" ht="12.75">
      <c r="A122" s="995" t="s">
        <v>257</v>
      </c>
      <c r="B122" s="996">
        <f>SUM(B123:B123)</f>
        <v>3500</v>
      </c>
      <c r="C122" s="997">
        <f>SUM(C123:C123)</f>
        <v>3350</v>
      </c>
      <c r="D122" s="998">
        <f>SUM(D123:D123)</f>
        <v>3350</v>
      </c>
    </row>
    <row r="123" spans="1:4" ht="12.75">
      <c r="A123" s="991" t="s">
        <v>276</v>
      </c>
      <c r="B123" s="992">
        <v>3500</v>
      </c>
      <c r="C123" s="993">
        <v>3350</v>
      </c>
      <c r="D123" s="994">
        <v>3350</v>
      </c>
    </row>
    <row r="124" spans="1:4" ht="12.75">
      <c r="A124" s="991"/>
      <c r="B124" s="992"/>
      <c r="C124" s="993"/>
      <c r="D124" s="994"/>
    </row>
    <row r="125" spans="1:4" s="402" customFormat="1" ht="13.5">
      <c r="A125" s="1007" t="s">
        <v>258</v>
      </c>
      <c r="B125" s="1008">
        <f>SUM(B120,B122,B116)</f>
        <v>4308</v>
      </c>
      <c r="C125" s="1009">
        <f>SUM(C120,C122,C116)</f>
        <v>4158</v>
      </c>
      <c r="D125" s="1010">
        <f>SUM(D120,D122,D116)</f>
        <v>5158</v>
      </c>
    </row>
    <row r="126" spans="1:4" ht="12.75">
      <c r="A126" s="991"/>
      <c r="B126" s="992"/>
      <c r="C126" s="993"/>
      <c r="D126" s="994"/>
    </row>
    <row r="127" spans="1:4" s="237" customFormat="1" ht="12.75">
      <c r="A127" s="991"/>
      <c r="B127" s="996"/>
      <c r="C127" s="1011"/>
      <c r="D127" s="1012"/>
    </row>
    <row r="128" spans="1:4" s="238" customFormat="1" ht="12.75">
      <c r="A128" s="1013" t="s">
        <v>259</v>
      </c>
      <c r="B128" s="1014">
        <f>SUM(B113,B125)</f>
        <v>78069</v>
      </c>
      <c r="C128" s="1015">
        <f>SUM(C113,C125)</f>
        <v>81049</v>
      </c>
      <c r="D128" s="1016">
        <f>SUM(D113,D125)</f>
        <v>198801</v>
      </c>
    </row>
    <row r="129" spans="1:4" s="237" customFormat="1" ht="12.75">
      <c r="A129" s="995"/>
      <c r="B129" s="996"/>
      <c r="C129" s="1011"/>
      <c r="D129" s="1012"/>
    </row>
    <row r="130" spans="1:4" ht="12.75">
      <c r="A130" s="991"/>
      <c r="B130" s="992"/>
      <c r="C130" s="993"/>
      <c r="D130" s="994"/>
    </row>
    <row r="131" spans="1:4" s="237" customFormat="1" ht="33.75" customHeight="1" thickBot="1">
      <c r="A131" s="1027" t="s">
        <v>482</v>
      </c>
      <c r="B131" s="1028">
        <f>SUM(B94,B128)</f>
        <v>918483</v>
      </c>
      <c r="C131" s="1029">
        <f>SUM(C94,C128)</f>
        <v>956267</v>
      </c>
      <c r="D131" s="1030">
        <f>SUM(D94,D128)</f>
        <v>1092128</v>
      </c>
    </row>
    <row r="132" spans="1:4" s="404" customFormat="1" ht="36.75" customHeight="1" thickBot="1">
      <c r="A132" s="538"/>
      <c r="B132" s="539"/>
      <c r="C132" s="265"/>
      <c r="D132" s="403"/>
    </row>
    <row r="133" spans="1:4" ht="15.75" customHeight="1">
      <c r="A133" s="13" t="s">
        <v>260</v>
      </c>
      <c r="B133" s="540" t="s">
        <v>162</v>
      </c>
      <c r="C133" s="540" t="s">
        <v>888</v>
      </c>
      <c r="D133" s="683" t="s">
        <v>947</v>
      </c>
    </row>
    <row r="134" spans="1:4" ht="12.75">
      <c r="A134" s="4"/>
      <c r="B134" s="541"/>
      <c r="C134" s="696"/>
      <c r="D134" s="694"/>
    </row>
    <row r="135" spans="1:4" ht="12.75">
      <c r="A135" s="4"/>
      <c r="B135" s="541"/>
      <c r="C135" s="696"/>
      <c r="D135" s="694"/>
    </row>
    <row r="136" spans="1:4" ht="12.75">
      <c r="A136" s="10" t="s">
        <v>257</v>
      </c>
      <c r="B136" s="542">
        <f>SUM(B137:B138)</f>
        <v>1000</v>
      </c>
      <c r="C136" s="542">
        <f>SUM(C137:C138)</f>
        <v>1000</v>
      </c>
      <c r="D136" s="685">
        <f>SUM(D137:D138)</f>
        <v>1000</v>
      </c>
    </row>
    <row r="137" spans="1:4" ht="12.75">
      <c r="A137" s="4" t="s">
        <v>459</v>
      </c>
      <c r="B137" s="541">
        <v>1000</v>
      </c>
      <c r="C137" s="696">
        <v>1000</v>
      </c>
      <c r="D137" s="694">
        <v>1000</v>
      </c>
    </row>
    <row r="138" spans="1:4" ht="12.75">
      <c r="A138" s="4"/>
      <c r="B138" s="541"/>
      <c r="C138" s="696"/>
      <c r="D138" s="694"/>
    </row>
    <row r="139" spans="1:4" ht="12.75">
      <c r="A139" s="4"/>
      <c r="B139" s="541"/>
      <c r="C139" s="696"/>
      <c r="D139" s="694"/>
    </row>
    <row r="140" spans="1:4" ht="30.75" customHeight="1" thickBot="1">
      <c r="A140" s="59" t="s">
        <v>483</v>
      </c>
      <c r="B140" s="543">
        <f>SUM(B136)</f>
        <v>1000</v>
      </c>
      <c r="C140" s="543">
        <f>SUM(C136)</f>
        <v>1000</v>
      </c>
      <c r="D140" s="687">
        <f>SUM(D136)</f>
        <v>1000</v>
      </c>
    </row>
    <row r="142" ht="12.75">
      <c r="A142" s="242" t="s">
        <v>1110</v>
      </c>
    </row>
    <row r="143" ht="12.75">
      <c r="A143" s="1" t="s">
        <v>1111</v>
      </c>
    </row>
    <row r="144" ht="12.75">
      <c r="A144" s="1" t="s">
        <v>1112</v>
      </c>
    </row>
    <row r="145" ht="12.75">
      <c r="A145" s="1" t="s">
        <v>1145</v>
      </c>
    </row>
  </sheetData>
  <sheetProtection/>
  <mergeCells count="1">
    <mergeCell ref="A1:D1"/>
  </mergeCells>
  <printOptions horizontalCentered="1"/>
  <pageMargins left="0.4724409448818898" right="0.2362204724409449" top="0.9583333333333334" bottom="0.4330708661417323" header="0.5118110236220472" footer="0.3937007874015748"/>
  <pageSetup horizontalDpi="600" verticalDpi="600" orientation="portrait" paperSize="9" scale="59" r:id="rId1"/>
  <headerFooter alignWithMargins="0">
    <oddHeader xml:space="preserve">&amp;L 11.melléklet </oddHeader>
  </headerFooter>
  <rowBreaks count="1" manualBreakCount="1">
    <brk id="95" max="3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dimension ref="A1:E132"/>
  <sheetViews>
    <sheetView view="pageBreakPreview" zoomScaleSheetLayoutView="100" workbookViewId="0" topLeftCell="A99">
      <selection activeCell="A132" sqref="A132"/>
    </sheetView>
  </sheetViews>
  <sheetFormatPr defaultColWidth="9.00390625" defaultRowHeight="12.75"/>
  <cols>
    <col min="1" max="1" width="82.00390625" style="12" customWidth="1"/>
    <col min="2" max="2" width="12.25390625" style="3" customWidth="1"/>
    <col min="3" max="3" width="12.25390625" style="6" customWidth="1"/>
    <col min="4" max="4" width="12.625" style="283" customWidth="1"/>
    <col min="5" max="5" width="9.125" style="3" customWidth="1"/>
    <col min="6" max="16384" width="9.125" style="2" customWidth="1"/>
  </cols>
  <sheetData>
    <row r="1" spans="1:2" ht="12.75">
      <c r="A1" s="16"/>
      <c r="B1" s="8"/>
    </row>
    <row r="2" spans="1:4" ht="32.25" customHeight="1">
      <c r="A2" s="1175" t="s">
        <v>406</v>
      </c>
      <c r="B2" s="1175"/>
      <c r="C2" s="1032"/>
      <c r="D2" s="1032"/>
    </row>
    <row r="3" spans="1:4" ht="15.75">
      <c r="A3" s="1176" t="s">
        <v>173</v>
      </c>
      <c r="B3" s="1176"/>
      <c r="C3" s="1032"/>
      <c r="D3" s="1032"/>
    </row>
    <row r="4" spans="1:2" ht="13.5" thickBot="1">
      <c r="A4" s="547"/>
      <c r="B4" s="548"/>
    </row>
    <row r="5" spans="1:4" ht="12.75">
      <c r="A5" s="13" t="s">
        <v>121</v>
      </c>
      <c r="B5" s="544" t="s">
        <v>162</v>
      </c>
      <c r="C5" s="540" t="s">
        <v>888</v>
      </c>
      <c r="D5" s="683" t="s">
        <v>947</v>
      </c>
    </row>
    <row r="6" spans="1:4" ht="12.75">
      <c r="A6" s="4"/>
      <c r="B6" s="541"/>
      <c r="C6" s="696"/>
      <c r="D6" s="694"/>
    </row>
    <row r="7" spans="1:4" ht="12.75">
      <c r="A7" s="10" t="s">
        <v>226</v>
      </c>
      <c r="B7" s="542"/>
      <c r="C7" s="696"/>
      <c r="D7" s="694"/>
    </row>
    <row r="8" spans="1:4" ht="12.75">
      <c r="A8" s="4"/>
      <c r="B8" s="541"/>
      <c r="C8" s="696"/>
      <c r="D8" s="694"/>
    </row>
    <row r="9" spans="1:5" s="9" customFormat="1" ht="12.75">
      <c r="A9" s="10" t="s">
        <v>468</v>
      </c>
      <c r="B9" s="542">
        <f>SUM(B10:B26)</f>
        <v>143448</v>
      </c>
      <c r="C9" s="542">
        <f>SUM(C10:C26)</f>
        <v>198556</v>
      </c>
      <c r="D9" s="685">
        <f>SUM(D10:D26)</f>
        <v>248021</v>
      </c>
      <c r="E9" s="11"/>
    </row>
    <row r="10" spans="1:4" ht="12.75">
      <c r="A10" s="4" t="s">
        <v>484</v>
      </c>
      <c r="B10" s="541">
        <v>6000</v>
      </c>
      <c r="C10" s="696">
        <v>6000</v>
      </c>
      <c r="D10" s="694">
        <v>6000</v>
      </c>
    </row>
    <row r="11" spans="1:4" ht="12.75">
      <c r="A11" s="4" t="s">
        <v>683</v>
      </c>
      <c r="B11" s="541">
        <v>14560</v>
      </c>
      <c r="C11" s="696">
        <v>14560</v>
      </c>
      <c r="D11" s="694">
        <v>14560</v>
      </c>
    </row>
    <row r="12" spans="1:4" ht="12.75">
      <c r="A12" s="4" t="s">
        <v>472</v>
      </c>
      <c r="B12" s="541">
        <v>8000</v>
      </c>
      <c r="C12" s="696">
        <v>8000</v>
      </c>
      <c r="D12" s="694">
        <v>8000</v>
      </c>
    </row>
    <row r="13" spans="1:4" ht="12.75">
      <c r="A13" s="4" t="s">
        <v>475</v>
      </c>
      <c r="B13" s="541">
        <v>61650</v>
      </c>
      <c r="C13" s="696">
        <v>61650</v>
      </c>
      <c r="D13" s="694">
        <v>102280</v>
      </c>
    </row>
    <row r="14" spans="1:4" ht="12.75">
      <c r="A14" s="4" t="s">
        <v>476</v>
      </c>
      <c r="B14" s="541">
        <v>25548</v>
      </c>
      <c r="C14" s="696">
        <v>25548</v>
      </c>
      <c r="D14" s="694">
        <v>25548</v>
      </c>
    </row>
    <row r="15" spans="1:4" ht="25.5">
      <c r="A15" s="4" t="s">
        <v>489</v>
      </c>
      <c r="B15" s="541">
        <v>2000</v>
      </c>
      <c r="C15" s="696">
        <v>2000</v>
      </c>
      <c r="D15" s="694">
        <v>2000</v>
      </c>
    </row>
    <row r="16" spans="1:4" ht="12.75">
      <c r="A16" s="4" t="s">
        <v>488</v>
      </c>
      <c r="B16" s="541">
        <v>7500</v>
      </c>
      <c r="C16" s="696">
        <v>7500</v>
      </c>
      <c r="D16" s="694">
        <v>7500</v>
      </c>
    </row>
    <row r="17" spans="1:4" ht="12.75">
      <c r="A17" s="4" t="s">
        <v>490</v>
      </c>
      <c r="B17" s="541">
        <v>4000</v>
      </c>
      <c r="C17" s="696">
        <v>4000</v>
      </c>
      <c r="D17" s="694">
        <v>4100</v>
      </c>
    </row>
    <row r="18" spans="1:4" ht="12.75">
      <c r="A18" s="412" t="s">
        <v>757</v>
      </c>
      <c r="B18" s="541">
        <v>6572</v>
      </c>
      <c r="C18" s="696">
        <v>9178</v>
      </c>
      <c r="D18" s="694">
        <v>10054</v>
      </c>
    </row>
    <row r="19" spans="1:4" ht="12.75">
      <c r="A19" s="4" t="s">
        <v>497</v>
      </c>
      <c r="B19" s="541">
        <v>4600</v>
      </c>
      <c r="C19" s="696">
        <v>4600</v>
      </c>
      <c r="D19" s="694">
        <v>4600</v>
      </c>
    </row>
    <row r="20" spans="1:4" ht="12.75">
      <c r="A20" s="4" t="s">
        <v>485</v>
      </c>
      <c r="B20" s="541">
        <v>750</v>
      </c>
      <c r="C20" s="696">
        <v>750</v>
      </c>
      <c r="D20" s="694">
        <v>750</v>
      </c>
    </row>
    <row r="21" spans="1:4" ht="12.75">
      <c r="A21" s="4" t="s">
        <v>5</v>
      </c>
      <c r="B21" s="541">
        <v>2268</v>
      </c>
      <c r="C21" s="696">
        <v>2268</v>
      </c>
      <c r="D21" s="694">
        <v>2268</v>
      </c>
    </row>
    <row r="22" spans="1:4" ht="12.75">
      <c r="A22" s="4" t="s">
        <v>184</v>
      </c>
      <c r="B22" s="541"/>
      <c r="C22" s="696">
        <v>30002</v>
      </c>
      <c r="D22" s="694">
        <v>30002</v>
      </c>
    </row>
    <row r="23" spans="1:4" ht="12.75">
      <c r="A23" s="4" t="s">
        <v>185</v>
      </c>
      <c r="B23" s="541"/>
      <c r="C23" s="696">
        <v>16000</v>
      </c>
      <c r="D23" s="694">
        <v>16000</v>
      </c>
    </row>
    <row r="24" spans="1:4" ht="12.75">
      <c r="A24" s="4" t="s">
        <v>770</v>
      </c>
      <c r="B24" s="541"/>
      <c r="C24" s="696">
        <v>6500</v>
      </c>
      <c r="D24" s="694">
        <v>6500</v>
      </c>
    </row>
    <row r="25" spans="1:4" ht="12.75">
      <c r="A25" s="4" t="s">
        <v>1018</v>
      </c>
      <c r="B25" s="541"/>
      <c r="C25" s="696"/>
      <c r="D25" s="694">
        <v>7859</v>
      </c>
    </row>
    <row r="26" spans="1:4" ht="12.75">
      <c r="A26" s="4"/>
      <c r="B26" s="541"/>
      <c r="C26" s="696"/>
      <c r="D26" s="694"/>
    </row>
    <row r="27" spans="1:5" s="9" customFormat="1" ht="12.75">
      <c r="A27" s="10" t="s">
        <v>469</v>
      </c>
      <c r="B27" s="542">
        <f>SUM(B28:B32)</f>
        <v>3840</v>
      </c>
      <c r="C27" s="542">
        <f>SUM(C28:C32)</f>
        <v>3779</v>
      </c>
      <c r="D27" s="685">
        <f>SUM(D28:D32)</f>
        <v>3779</v>
      </c>
      <c r="E27" s="11"/>
    </row>
    <row r="28" spans="1:4" ht="12.75">
      <c r="A28" s="4" t="s">
        <v>474</v>
      </c>
      <c r="B28" s="541">
        <v>2700</v>
      </c>
      <c r="C28" s="696">
        <v>2700</v>
      </c>
      <c r="D28" s="694">
        <v>2700</v>
      </c>
    </row>
    <row r="29" spans="1:4" ht="12.75">
      <c r="A29" s="4" t="s">
        <v>498</v>
      </c>
      <c r="B29" s="541">
        <v>140</v>
      </c>
      <c r="C29" s="696">
        <v>140</v>
      </c>
      <c r="D29" s="694">
        <v>140</v>
      </c>
    </row>
    <row r="30" spans="1:4" ht="12.75">
      <c r="A30" s="4" t="s">
        <v>499</v>
      </c>
      <c r="B30" s="541">
        <v>1000</v>
      </c>
      <c r="C30" s="696">
        <v>0</v>
      </c>
      <c r="D30" s="694">
        <v>0</v>
      </c>
    </row>
    <row r="31" spans="1:4" ht="12.75">
      <c r="A31" s="4" t="s">
        <v>771</v>
      </c>
      <c r="B31" s="541"/>
      <c r="C31" s="696">
        <v>100</v>
      </c>
      <c r="D31" s="694">
        <v>100</v>
      </c>
    </row>
    <row r="32" spans="1:4" ht="25.5">
      <c r="A32" s="4" t="s">
        <v>782</v>
      </c>
      <c r="B32" s="541"/>
      <c r="C32" s="696">
        <v>839</v>
      </c>
      <c r="D32" s="694">
        <v>839</v>
      </c>
    </row>
    <row r="33" spans="1:4" ht="12.75">
      <c r="A33" s="4"/>
      <c r="B33" s="541"/>
      <c r="C33" s="696"/>
      <c r="D33" s="694"/>
    </row>
    <row r="34" spans="1:5" s="19" customFormat="1" ht="13.5">
      <c r="A34" s="17" t="s">
        <v>470</v>
      </c>
      <c r="B34" s="546">
        <f>SUM(B9,B27)</f>
        <v>147288</v>
      </c>
      <c r="C34" s="546">
        <f>SUM(C9,C27)</f>
        <v>202335</v>
      </c>
      <c r="D34" s="686">
        <f>SUM(D9,D27)</f>
        <v>251800</v>
      </c>
      <c r="E34" s="18"/>
    </row>
    <row r="35" spans="1:4" ht="12.75">
      <c r="A35" s="4"/>
      <c r="B35" s="541"/>
      <c r="C35" s="696"/>
      <c r="D35" s="694"/>
    </row>
    <row r="36" spans="1:4" ht="12.75">
      <c r="A36" s="10" t="s">
        <v>465</v>
      </c>
      <c r="B36" s="542">
        <f>SUM(B37:B37)</f>
        <v>0</v>
      </c>
      <c r="C36" s="542">
        <f>SUM(C37:C37)</f>
        <v>0</v>
      </c>
      <c r="D36" s="685">
        <f>SUM(D37:D37)</f>
        <v>0</v>
      </c>
    </row>
    <row r="37" spans="1:4" ht="12.75">
      <c r="A37" s="4"/>
      <c r="B37" s="541"/>
      <c r="C37" s="696"/>
      <c r="D37" s="694"/>
    </row>
    <row r="38" spans="1:5" s="9" customFormat="1" ht="12.75">
      <c r="A38" s="10" t="s">
        <v>460</v>
      </c>
      <c r="B38" s="542">
        <f>SUM(B39:B42)</f>
        <v>154763</v>
      </c>
      <c r="C38" s="542">
        <f>SUM(C39:C42)</f>
        <v>154763</v>
      </c>
      <c r="D38" s="685">
        <f>SUM(D39:D42)</f>
        <v>70489</v>
      </c>
      <c r="E38" s="11"/>
    </row>
    <row r="39" spans="1:5" s="9" customFormat="1" ht="12.75">
      <c r="A39" s="4" t="s">
        <v>348</v>
      </c>
      <c r="B39" s="541">
        <v>68489</v>
      </c>
      <c r="C39" s="696">
        <v>68489</v>
      </c>
      <c r="D39" s="694">
        <v>68489</v>
      </c>
      <c r="E39" s="11"/>
    </row>
    <row r="40" spans="1:5" s="9" customFormat="1" ht="12.75">
      <c r="A40" s="4" t="s">
        <v>493</v>
      </c>
      <c r="B40" s="541">
        <v>2000</v>
      </c>
      <c r="C40" s="696">
        <v>2000</v>
      </c>
      <c r="D40" s="694">
        <v>2000</v>
      </c>
      <c r="E40" s="11"/>
    </row>
    <row r="41" spans="1:5" s="9" customFormat="1" ht="12.75">
      <c r="A41" s="4" t="s">
        <v>235</v>
      </c>
      <c r="B41" s="541">
        <v>84274</v>
      </c>
      <c r="C41" s="696">
        <v>84274</v>
      </c>
      <c r="D41" s="694">
        <v>0</v>
      </c>
      <c r="E41" s="11"/>
    </row>
    <row r="42" spans="1:4" ht="12.75">
      <c r="A42" s="4"/>
      <c r="B42" s="541"/>
      <c r="C42" s="696"/>
      <c r="D42" s="694"/>
    </row>
    <row r="43" spans="1:5" s="9" customFormat="1" ht="12.75">
      <c r="A43" s="10" t="s">
        <v>702</v>
      </c>
      <c r="B43" s="542">
        <f>SUM(B44)</f>
        <v>20090</v>
      </c>
      <c r="C43" s="542">
        <f>SUM(C44)</f>
        <v>20090</v>
      </c>
      <c r="D43" s="685">
        <f>SUM(D44)</f>
        <v>0</v>
      </c>
      <c r="E43" s="11"/>
    </row>
    <row r="44" spans="1:4" ht="12.75">
      <c r="A44" s="4" t="s">
        <v>703</v>
      </c>
      <c r="B44" s="541">
        <v>20090</v>
      </c>
      <c r="C44" s="696">
        <v>20090</v>
      </c>
      <c r="D44" s="694">
        <v>0</v>
      </c>
    </row>
    <row r="45" spans="1:4" ht="12.75">
      <c r="A45" s="4"/>
      <c r="B45" s="541"/>
      <c r="C45" s="696"/>
      <c r="D45" s="694"/>
    </row>
    <row r="46" spans="1:5" s="19" customFormat="1" ht="13.5">
      <c r="A46" s="17" t="s">
        <v>466</v>
      </c>
      <c r="B46" s="546">
        <f>SUM(B38,B36,B43)</f>
        <v>174853</v>
      </c>
      <c r="C46" s="546">
        <f>SUM(C38,C36,C43)</f>
        <v>174853</v>
      </c>
      <c r="D46" s="686">
        <f>SUM(D38,D36,D43)</f>
        <v>70489</v>
      </c>
      <c r="E46" s="18"/>
    </row>
    <row r="47" spans="1:4" ht="12.75">
      <c r="A47" s="4"/>
      <c r="B47" s="541"/>
      <c r="C47" s="696"/>
      <c r="D47" s="694"/>
    </row>
    <row r="48" spans="1:4" ht="12.75">
      <c r="A48" s="4"/>
      <c r="B48" s="541"/>
      <c r="C48" s="696"/>
      <c r="D48" s="694"/>
    </row>
    <row r="49" spans="1:5" s="9" customFormat="1" ht="12.75">
      <c r="A49" s="10" t="s">
        <v>467</v>
      </c>
      <c r="B49" s="542">
        <f>SUM(B50:B69)</f>
        <v>1690328</v>
      </c>
      <c r="C49" s="542">
        <f>SUM(C50:C69)</f>
        <v>1637404</v>
      </c>
      <c r="D49" s="915">
        <f>SUM(D50:D69)</f>
        <v>2024348</v>
      </c>
      <c r="E49" s="11"/>
    </row>
    <row r="50" spans="1:5" s="9" customFormat="1" ht="12.75">
      <c r="A50" s="4" t="s">
        <v>164</v>
      </c>
      <c r="B50" s="541">
        <v>183132</v>
      </c>
      <c r="C50" s="696">
        <v>183132</v>
      </c>
      <c r="D50" s="694">
        <v>183132</v>
      </c>
      <c r="E50" s="11"/>
    </row>
    <row r="51" spans="1:5" s="9" customFormat="1" ht="25.5" customHeight="1">
      <c r="A51" s="4" t="s">
        <v>504</v>
      </c>
      <c r="B51" s="541">
        <f>295252+48445</f>
        <v>343697</v>
      </c>
      <c r="C51" s="696">
        <v>343697</v>
      </c>
      <c r="D51" s="694">
        <v>343697</v>
      </c>
      <c r="E51" s="11"/>
    </row>
    <row r="52" spans="1:5" s="9" customFormat="1" ht="12.75">
      <c r="A52" s="4" t="s">
        <v>168</v>
      </c>
      <c r="B52" s="541">
        <v>185000</v>
      </c>
      <c r="C52" s="696">
        <v>185000</v>
      </c>
      <c r="D52" s="694">
        <v>185000</v>
      </c>
      <c r="E52" s="11"/>
    </row>
    <row r="53" spans="1:5" s="9" customFormat="1" ht="12.75">
      <c r="A53" s="4" t="s">
        <v>221</v>
      </c>
      <c r="B53" s="541">
        <v>4000</v>
      </c>
      <c r="C53" s="696">
        <v>4000</v>
      </c>
      <c r="D53" s="694">
        <v>4000</v>
      </c>
      <c r="E53" s="11"/>
    </row>
    <row r="54" spans="1:5" s="9" customFormat="1" ht="12.75">
      <c r="A54" s="4" t="s">
        <v>506</v>
      </c>
      <c r="B54" s="541">
        <v>6922</v>
      </c>
      <c r="C54" s="696">
        <v>0</v>
      </c>
      <c r="D54" s="694">
        <v>0</v>
      </c>
      <c r="E54" s="11"/>
    </row>
    <row r="55" spans="1:5" s="9" customFormat="1" ht="25.5">
      <c r="A55" s="4" t="s">
        <v>180</v>
      </c>
      <c r="B55" s="541">
        <v>133565</v>
      </c>
      <c r="C55" s="696">
        <v>133565</v>
      </c>
      <c r="D55" s="694">
        <v>133565</v>
      </c>
      <c r="E55" s="11"/>
    </row>
    <row r="56" spans="1:5" s="9" customFormat="1" ht="12.75">
      <c r="A56" s="4" t="s">
        <v>167</v>
      </c>
      <c r="B56" s="541">
        <v>90625</v>
      </c>
      <c r="C56" s="696">
        <v>90625</v>
      </c>
      <c r="D56" s="694">
        <v>90625</v>
      </c>
      <c r="E56" s="11"/>
    </row>
    <row r="57" spans="1:5" s="9" customFormat="1" ht="25.5">
      <c r="A57" s="4" t="s">
        <v>181</v>
      </c>
      <c r="B57" s="541">
        <f>44600-12340</f>
        <v>32260</v>
      </c>
      <c r="C57" s="696">
        <v>32260</v>
      </c>
      <c r="D57" s="694">
        <v>32260</v>
      </c>
      <c r="E57" s="11"/>
    </row>
    <row r="58" spans="1:5" s="9" customFormat="1" ht="25.5">
      <c r="A58" s="4" t="s">
        <v>183</v>
      </c>
      <c r="B58" s="541">
        <v>15000</v>
      </c>
      <c r="C58" s="696">
        <v>15000</v>
      </c>
      <c r="D58" s="694">
        <v>15000</v>
      </c>
      <c r="E58" s="11"/>
    </row>
    <row r="59" spans="1:5" s="9" customFormat="1" ht="12.75">
      <c r="A59" s="4" t="s">
        <v>182</v>
      </c>
      <c r="B59" s="541">
        <v>44957</v>
      </c>
      <c r="C59" s="696">
        <v>44957</v>
      </c>
      <c r="D59" s="694">
        <v>44957</v>
      </c>
      <c r="E59" s="11"/>
    </row>
    <row r="60" spans="1:5" s="9" customFormat="1" ht="25.5">
      <c r="A60" s="4" t="s">
        <v>166</v>
      </c>
      <c r="B60" s="541">
        <v>1174</v>
      </c>
      <c r="C60" s="696">
        <v>1174</v>
      </c>
      <c r="D60" s="694">
        <v>1174</v>
      </c>
      <c r="E60" s="11"/>
    </row>
    <row r="61" spans="1:5" s="9" customFormat="1" ht="12.75">
      <c r="A61" s="4" t="s">
        <v>172</v>
      </c>
      <c r="B61" s="541">
        <v>52290</v>
      </c>
      <c r="C61" s="696">
        <v>52290</v>
      </c>
      <c r="D61" s="694">
        <v>0</v>
      </c>
      <c r="E61" s="11"/>
    </row>
    <row r="62" spans="1:5" s="9" customFormat="1" ht="12.75">
      <c r="A62" s="4" t="s">
        <v>184</v>
      </c>
      <c r="B62" s="541">
        <f>40000-9998</f>
        <v>30002</v>
      </c>
      <c r="C62" s="696"/>
      <c r="D62" s="694"/>
      <c r="E62" s="11"/>
    </row>
    <row r="63" spans="1:5" s="9" customFormat="1" ht="12.75">
      <c r="A63" s="4" t="s">
        <v>185</v>
      </c>
      <c r="B63" s="541">
        <v>16000</v>
      </c>
      <c r="C63" s="696"/>
      <c r="D63" s="694"/>
      <c r="E63" s="11"/>
    </row>
    <row r="64" spans="1:5" s="9" customFormat="1" ht="12.75">
      <c r="A64" s="4" t="s">
        <v>199</v>
      </c>
      <c r="B64" s="541">
        <v>192845</v>
      </c>
      <c r="C64" s="696">
        <v>192845</v>
      </c>
      <c r="D64" s="694">
        <v>192845</v>
      </c>
      <c r="E64" s="11"/>
    </row>
    <row r="65" spans="1:5" s="9" customFormat="1" ht="12.75">
      <c r="A65" s="4" t="s">
        <v>200</v>
      </c>
      <c r="B65" s="541">
        <v>190000</v>
      </c>
      <c r="C65" s="696">
        <v>190000</v>
      </c>
      <c r="D65" s="694">
        <v>30000</v>
      </c>
      <c r="E65" s="11"/>
    </row>
    <row r="66" spans="1:5" s="9" customFormat="1" ht="12.75">
      <c r="A66" s="4" t="s">
        <v>201</v>
      </c>
      <c r="B66" s="541">
        <v>25000</v>
      </c>
      <c r="C66" s="696">
        <v>25000</v>
      </c>
      <c r="D66" s="694">
        <v>0</v>
      </c>
      <c r="E66" s="11"/>
    </row>
    <row r="67" spans="1:5" s="9" customFormat="1" ht="12.75">
      <c r="A67" s="4" t="s">
        <v>216</v>
      </c>
      <c r="B67" s="541">
        <v>143859</v>
      </c>
      <c r="C67" s="696">
        <v>143859</v>
      </c>
      <c r="D67" s="916">
        <v>143859</v>
      </c>
      <c r="E67" s="11"/>
    </row>
    <row r="68" spans="1:5" s="9" customFormat="1" ht="12.75">
      <c r="A68" s="4" t="s">
        <v>178</v>
      </c>
      <c r="B68" s="541"/>
      <c r="C68" s="696"/>
      <c r="D68" s="916">
        <v>622234</v>
      </c>
      <c r="E68" s="11"/>
    </row>
    <row r="69" spans="1:5" s="9" customFormat="1" ht="13.5" thickBot="1">
      <c r="A69" s="948" t="s">
        <v>179</v>
      </c>
      <c r="B69" s="949"/>
      <c r="C69" s="950"/>
      <c r="D69" s="951">
        <v>2000</v>
      </c>
      <c r="E69" s="11"/>
    </row>
    <row r="70" spans="1:4" ht="12.75">
      <c r="A70" s="944"/>
      <c r="B70" s="945"/>
      <c r="C70" s="946"/>
      <c r="D70" s="947"/>
    </row>
    <row r="71" spans="1:4" ht="12.75">
      <c r="A71" s="10" t="s">
        <v>4</v>
      </c>
      <c r="B71" s="542">
        <f>SUM(B72:B73)</f>
        <v>624234</v>
      </c>
      <c r="C71" s="542">
        <f>SUM(C72:C73)</f>
        <v>624234</v>
      </c>
      <c r="D71" s="685">
        <f>SUM(D72:D73)</f>
        <v>0</v>
      </c>
    </row>
    <row r="72" spans="1:4" ht="12.75">
      <c r="A72" s="4" t="s">
        <v>178</v>
      </c>
      <c r="B72" s="541">
        <f>400000+222234</f>
        <v>622234</v>
      </c>
      <c r="C72" s="696">
        <v>622234</v>
      </c>
      <c r="D72" s="694">
        <v>0</v>
      </c>
    </row>
    <row r="73" spans="1:5" s="9" customFormat="1" ht="12.75">
      <c r="A73" s="4" t="s">
        <v>179</v>
      </c>
      <c r="B73" s="541">
        <v>2000</v>
      </c>
      <c r="C73" s="696">
        <v>2000</v>
      </c>
      <c r="D73" s="694">
        <v>0</v>
      </c>
      <c r="E73" s="11"/>
    </row>
    <row r="74" spans="1:4" ht="12.75">
      <c r="A74" s="4"/>
      <c r="B74" s="541"/>
      <c r="C74" s="696"/>
      <c r="D74" s="694"/>
    </row>
    <row r="75" spans="1:5" s="19" customFormat="1" ht="13.5">
      <c r="A75" s="17" t="s">
        <v>471</v>
      </c>
      <c r="B75" s="546">
        <f>SUM(B49+B71)</f>
        <v>2314562</v>
      </c>
      <c r="C75" s="546">
        <f>SUM(C49+C71)</f>
        <v>2261638</v>
      </c>
      <c r="D75" s="686">
        <f>SUM(D49+D71)</f>
        <v>2024348</v>
      </c>
      <c r="E75" s="18"/>
    </row>
    <row r="76" spans="1:5" s="19" customFormat="1" ht="13.5">
      <c r="A76" s="17"/>
      <c r="B76" s="546"/>
      <c r="C76" s="699"/>
      <c r="D76" s="697"/>
      <c r="E76" s="18"/>
    </row>
    <row r="77" spans="1:5" s="9" customFormat="1" ht="12.75" customHeight="1">
      <c r="A77" s="17" t="s">
        <v>464</v>
      </c>
      <c r="B77" s="546">
        <f>SUM(B78:B78)</f>
        <v>0</v>
      </c>
      <c r="C77" s="700">
        <v>0</v>
      </c>
      <c r="D77" s="698">
        <v>0</v>
      </c>
      <c r="E77" s="11"/>
    </row>
    <row r="78" spans="1:4" ht="12.75">
      <c r="A78" s="4"/>
      <c r="B78" s="541"/>
      <c r="C78" s="696"/>
      <c r="D78" s="694"/>
    </row>
    <row r="79" spans="1:5" s="9" customFormat="1" ht="12.75">
      <c r="A79" s="10" t="s">
        <v>462</v>
      </c>
      <c r="B79" s="542">
        <f>SUM(B80:B82)</f>
        <v>108523</v>
      </c>
      <c r="C79" s="542">
        <f>SUM(C80:C82)</f>
        <v>115529</v>
      </c>
      <c r="D79" s="915">
        <f>SUM(D80:D82)</f>
        <v>97633</v>
      </c>
      <c r="E79" s="11"/>
    </row>
    <row r="80" spans="1:4" ht="12.75">
      <c r="A80" s="4" t="s">
        <v>492</v>
      </c>
      <c r="B80" s="541">
        <v>106323</v>
      </c>
      <c r="C80" s="696">
        <v>106323</v>
      </c>
      <c r="D80" s="694">
        <v>95433</v>
      </c>
    </row>
    <row r="81" spans="1:4" ht="12.75">
      <c r="A81" s="4" t="s">
        <v>494</v>
      </c>
      <c r="B81" s="541">
        <v>2200</v>
      </c>
      <c r="C81" s="696">
        <v>2200</v>
      </c>
      <c r="D81" s="694">
        <v>2200</v>
      </c>
    </row>
    <row r="82" spans="1:4" ht="12.75">
      <c r="A82" s="4" t="s">
        <v>1023</v>
      </c>
      <c r="B82" s="541"/>
      <c r="C82" s="696">
        <v>7006</v>
      </c>
      <c r="D82" s="694">
        <v>0</v>
      </c>
    </row>
    <row r="83" spans="1:4" ht="12.75">
      <c r="A83" s="4"/>
      <c r="B83" s="541"/>
      <c r="C83" s="696"/>
      <c r="D83" s="694"/>
    </row>
    <row r="84" spans="1:4" ht="13.5">
      <c r="A84" s="17" t="s">
        <v>461</v>
      </c>
      <c r="B84" s="546">
        <f>SUM(B85:B90)</f>
        <v>600</v>
      </c>
      <c r="C84" s="546">
        <f>SUM(C85:C90)</f>
        <v>600</v>
      </c>
      <c r="D84" s="920">
        <f>SUM(D85:D90)</f>
        <v>37960</v>
      </c>
    </row>
    <row r="85" spans="1:4" ht="25.5">
      <c r="A85" s="4" t="s">
        <v>473</v>
      </c>
      <c r="B85" s="541">
        <v>600</v>
      </c>
      <c r="C85" s="696">
        <v>600</v>
      </c>
      <c r="D85" s="694">
        <v>600</v>
      </c>
    </row>
    <row r="86" spans="1:4" ht="12.75">
      <c r="A86" s="4" t="s">
        <v>1023</v>
      </c>
      <c r="B86" s="541"/>
      <c r="C86" s="696"/>
      <c r="D86" s="694">
        <v>7010</v>
      </c>
    </row>
    <row r="87" spans="1:4" ht="12.75">
      <c r="A87" s="4" t="s">
        <v>1022</v>
      </c>
      <c r="B87" s="541"/>
      <c r="C87" s="696"/>
      <c r="D87" s="694">
        <v>28100</v>
      </c>
    </row>
    <row r="88" spans="1:4" ht="12.75">
      <c r="A88" s="4" t="s">
        <v>1020</v>
      </c>
      <c r="B88" s="541"/>
      <c r="C88" s="696"/>
      <c r="D88" s="694">
        <v>250</v>
      </c>
    </row>
    <row r="89" spans="1:4" ht="12.75">
      <c r="A89" s="4" t="s">
        <v>772</v>
      </c>
      <c r="B89" s="541"/>
      <c r="C89" s="696"/>
      <c r="D89" s="694"/>
    </row>
    <row r="90" spans="1:4" ht="12.75">
      <c r="A90" s="4" t="s">
        <v>1021</v>
      </c>
      <c r="B90" s="541"/>
      <c r="C90" s="696"/>
      <c r="D90" s="694">
        <v>2000</v>
      </c>
    </row>
    <row r="91" spans="1:4" ht="12.75">
      <c r="A91" s="4"/>
      <c r="B91" s="541"/>
      <c r="C91" s="696"/>
      <c r="D91" s="694"/>
    </row>
    <row r="92" spans="1:5" s="19" customFormat="1" ht="13.5">
      <c r="A92" s="17" t="s">
        <v>463</v>
      </c>
      <c r="B92" s="546">
        <f>SUM(B79+B84)</f>
        <v>109123</v>
      </c>
      <c r="C92" s="546">
        <f>SUM(C79+C84)</f>
        <v>116129</v>
      </c>
      <c r="D92" s="686">
        <f>SUM(D79+D84)</f>
        <v>135593</v>
      </c>
      <c r="E92" s="18"/>
    </row>
    <row r="93" spans="1:5" s="19" customFormat="1" ht="13.5">
      <c r="A93" s="17"/>
      <c r="B93" s="546"/>
      <c r="C93" s="699"/>
      <c r="D93" s="697"/>
      <c r="E93" s="18"/>
    </row>
    <row r="94" spans="1:5" s="5" customFormat="1" ht="12.75">
      <c r="A94" s="4"/>
      <c r="B94" s="541"/>
      <c r="C94" s="696"/>
      <c r="D94" s="694"/>
      <c r="E94" s="23"/>
    </row>
    <row r="95" spans="1:5" s="9" customFormat="1" ht="26.25" thickBot="1">
      <c r="A95" s="59" t="s">
        <v>486</v>
      </c>
      <c r="B95" s="543">
        <f>SUM(B34+B46+B75+B77+B92)</f>
        <v>2745826</v>
      </c>
      <c r="C95" s="543">
        <f>SUM(C34+C46+C75+C77+C92)</f>
        <v>2754955</v>
      </c>
      <c r="D95" s="687">
        <f>SUM(D34+D46+D75+D77+D92)</f>
        <v>2482230</v>
      </c>
      <c r="E95" s="11"/>
    </row>
    <row r="96" spans="1:5" s="58" customFormat="1" ht="37.5" customHeight="1" thickBot="1">
      <c r="A96" s="154"/>
      <c r="B96" s="155"/>
      <c r="C96" s="265"/>
      <c r="D96" s="403"/>
      <c r="E96" s="57"/>
    </row>
    <row r="97" spans="1:4" ht="12.75">
      <c r="A97" s="13" t="s">
        <v>260</v>
      </c>
      <c r="B97" s="544" t="s">
        <v>162</v>
      </c>
      <c r="C97" s="540" t="s">
        <v>888</v>
      </c>
      <c r="D97" s="683" t="s">
        <v>947</v>
      </c>
    </row>
    <row r="98" spans="1:4" ht="12.75">
      <c r="A98" s="4"/>
      <c r="B98" s="541"/>
      <c r="C98" s="696"/>
      <c r="D98" s="694"/>
    </row>
    <row r="99" spans="1:5" s="22" customFormat="1" ht="12.75">
      <c r="A99" s="20" t="s">
        <v>140</v>
      </c>
      <c r="B99" s="545">
        <f>SUM(B100,B104)</f>
        <v>2950</v>
      </c>
      <c r="C99" s="545">
        <f>SUM(C100,C104)</f>
        <v>10396</v>
      </c>
      <c r="D99" s="695">
        <f>SUM(D100,D104)</f>
        <v>14717</v>
      </c>
      <c r="E99" s="21"/>
    </row>
    <row r="100" spans="1:4" ht="12.75">
      <c r="A100" s="10" t="s">
        <v>468</v>
      </c>
      <c r="B100" s="542">
        <f>SUM(B101:B102)</f>
        <v>1950</v>
      </c>
      <c r="C100" s="542">
        <f>SUM(C101:C102)</f>
        <v>9396</v>
      </c>
      <c r="D100" s="685">
        <f>SUM(D101:D102)</f>
        <v>13717</v>
      </c>
    </row>
    <row r="101" spans="1:4" ht="25.5">
      <c r="A101" s="4" t="s">
        <v>491</v>
      </c>
      <c r="B101" s="541">
        <v>1950</v>
      </c>
      <c r="C101" s="696">
        <v>1950</v>
      </c>
      <c r="D101" s="694">
        <v>1950</v>
      </c>
    </row>
    <row r="102" spans="1:4" ht="12.75">
      <c r="A102" s="4" t="s">
        <v>884</v>
      </c>
      <c r="B102" s="541"/>
      <c r="C102" s="696">
        <v>7446</v>
      </c>
      <c r="D102" s="694">
        <v>11767</v>
      </c>
    </row>
    <row r="103" spans="1:4" ht="12.75">
      <c r="A103" s="4"/>
      <c r="B103" s="541"/>
      <c r="C103" s="696"/>
      <c r="D103" s="694"/>
    </row>
    <row r="104" spans="1:4" ht="12.75">
      <c r="A104" s="10" t="s">
        <v>462</v>
      </c>
      <c r="B104" s="542">
        <f>SUM(B105:B107)</f>
        <v>1000</v>
      </c>
      <c r="C104" s="542">
        <f>SUM(C105:C107)</f>
        <v>1000</v>
      </c>
      <c r="D104" s="685">
        <f>SUM(D105:D107)</f>
        <v>1000</v>
      </c>
    </row>
    <row r="105" spans="1:4" ht="12.75">
      <c r="A105" s="4" t="s">
        <v>495</v>
      </c>
      <c r="B105" s="541">
        <v>800</v>
      </c>
      <c r="C105" s="696">
        <v>800</v>
      </c>
      <c r="D105" s="694">
        <v>800</v>
      </c>
    </row>
    <row r="106" spans="1:4" ht="12.75">
      <c r="A106" s="4" t="s">
        <v>496</v>
      </c>
      <c r="B106" s="541">
        <v>200</v>
      </c>
      <c r="C106" s="696">
        <v>200</v>
      </c>
      <c r="D106" s="694">
        <v>200</v>
      </c>
    </row>
    <row r="107" spans="1:4" ht="12.75">
      <c r="A107" s="4"/>
      <c r="B107" s="541"/>
      <c r="C107" s="696"/>
      <c r="D107" s="694"/>
    </row>
    <row r="108" spans="1:5" s="22" customFormat="1" ht="12.75">
      <c r="A108" s="20" t="s">
        <v>144</v>
      </c>
      <c r="B108" s="545">
        <f>SUM(B109)</f>
        <v>10410</v>
      </c>
      <c r="C108" s="545">
        <f>SUM(C109)</f>
        <v>10943</v>
      </c>
      <c r="D108" s="695">
        <f>SUM(D109)</f>
        <v>11340</v>
      </c>
      <c r="E108" s="21"/>
    </row>
    <row r="109" spans="1:4" ht="12.75">
      <c r="A109" s="10" t="s">
        <v>468</v>
      </c>
      <c r="B109" s="542">
        <f>SUM(B110:B111)</f>
        <v>10410</v>
      </c>
      <c r="C109" s="542">
        <f>SUM(C110:C111)</f>
        <v>10943</v>
      </c>
      <c r="D109" s="685">
        <f>SUM(D110:D111)</f>
        <v>11340</v>
      </c>
    </row>
    <row r="110" spans="1:4" ht="12.75">
      <c r="A110" s="4" t="s">
        <v>31</v>
      </c>
      <c r="B110" s="541">
        <f>6424+2826+1160</f>
        <v>10410</v>
      </c>
      <c r="C110" s="696">
        <v>10410</v>
      </c>
      <c r="D110" s="694">
        <v>10410</v>
      </c>
    </row>
    <row r="111" spans="1:4" ht="12.75">
      <c r="A111" s="4" t="s">
        <v>884</v>
      </c>
      <c r="B111" s="541"/>
      <c r="C111" s="696">
        <v>533</v>
      </c>
      <c r="D111" s="694">
        <v>930</v>
      </c>
    </row>
    <row r="112" spans="1:4" ht="12.75">
      <c r="A112" s="4"/>
      <c r="B112" s="541"/>
      <c r="C112" s="696"/>
      <c r="D112" s="694"/>
    </row>
    <row r="113" spans="1:4" ht="12.75">
      <c r="A113" s="20" t="s">
        <v>142</v>
      </c>
      <c r="B113" s="545">
        <f>SUM(B114)</f>
        <v>6990</v>
      </c>
      <c r="C113" s="545">
        <f>SUM(C114)</f>
        <v>7522</v>
      </c>
      <c r="D113" s="695">
        <f>SUM(D114)</f>
        <v>8756</v>
      </c>
    </row>
    <row r="114" spans="1:4" ht="12.75">
      <c r="A114" s="10" t="s">
        <v>468</v>
      </c>
      <c r="B114" s="542">
        <f>SUM(B115:B116)</f>
        <v>6990</v>
      </c>
      <c r="C114" s="542">
        <f>SUM(C115:C116)</f>
        <v>7522</v>
      </c>
      <c r="D114" s="685">
        <f>SUM(D115:D116)</f>
        <v>8756</v>
      </c>
    </row>
    <row r="115" spans="1:4" ht="12.75">
      <c r="A115" s="4" t="s">
        <v>79</v>
      </c>
      <c r="B115" s="541">
        <f>4419+446+2125</f>
        <v>6990</v>
      </c>
      <c r="C115" s="696">
        <v>6990</v>
      </c>
      <c r="D115" s="694">
        <v>7713</v>
      </c>
    </row>
    <row r="116" spans="1:4" ht="12.75">
      <c r="A116" s="4" t="s">
        <v>884</v>
      </c>
      <c r="B116" s="541"/>
      <c r="C116" s="696">
        <v>532</v>
      </c>
      <c r="D116" s="694">
        <v>1043</v>
      </c>
    </row>
    <row r="117" spans="1:4" ht="12.75">
      <c r="A117" s="4"/>
      <c r="B117" s="541"/>
      <c r="C117" s="696"/>
      <c r="D117" s="694"/>
    </row>
    <row r="118" spans="1:5" s="22" customFormat="1" ht="12.75">
      <c r="A118" s="20" t="s">
        <v>146</v>
      </c>
      <c r="B118" s="545">
        <f>SUM(B119)</f>
        <v>1680</v>
      </c>
      <c r="C118" s="545">
        <f>SUM(C119)</f>
        <v>2048</v>
      </c>
      <c r="D118" s="695">
        <f>SUM(D119)</f>
        <v>3217</v>
      </c>
      <c r="E118" s="21"/>
    </row>
    <row r="119" spans="1:5" s="9" customFormat="1" ht="12.75">
      <c r="A119" s="10" t="s">
        <v>468</v>
      </c>
      <c r="B119" s="542">
        <f>SUM(B120:B121)</f>
        <v>1680</v>
      </c>
      <c r="C119" s="542">
        <f>SUM(C120:C121)</f>
        <v>2048</v>
      </c>
      <c r="D119" s="685">
        <f>SUM(D120:D121)</f>
        <v>3217</v>
      </c>
      <c r="E119" s="11"/>
    </row>
    <row r="120" spans="1:4" ht="12.75">
      <c r="A120" s="4" t="s">
        <v>80</v>
      </c>
      <c r="B120" s="541">
        <v>1680</v>
      </c>
      <c r="C120" s="696">
        <v>1680</v>
      </c>
      <c r="D120" s="694">
        <v>2325</v>
      </c>
    </row>
    <row r="121" spans="1:4" ht="12.75">
      <c r="A121" s="4" t="s">
        <v>884</v>
      </c>
      <c r="B121" s="541"/>
      <c r="C121" s="696">
        <v>368</v>
      </c>
      <c r="D121" s="694">
        <v>892</v>
      </c>
    </row>
    <row r="122" spans="1:4" ht="12.75">
      <c r="A122" s="4"/>
      <c r="B122" s="541"/>
      <c r="C122" s="696"/>
      <c r="D122" s="694"/>
    </row>
    <row r="123" spans="1:5" s="19" customFormat="1" ht="13.5">
      <c r="A123" s="17" t="s">
        <v>470</v>
      </c>
      <c r="B123" s="546">
        <f>SUM(B100,B109,B114,B119)</f>
        <v>21030</v>
      </c>
      <c r="C123" s="546">
        <f>SUM(C100,C109,C114,C119)</f>
        <v>29909</v>
      </c>
      <c r="D123" s="686">
        <f>SUM(D100,D109,D114,D119)</f>
        <v>37030</v>
      </c>
      <c r="E123" s="18"/>
    </row>
    <row r="124" spans="1:4" ht="12.75">
      <c r="A124" s="4"/>
      <c r="B124" s="541"/>
      <c r="C124" s="696"/>
      <c r="D124" s="694"/>
    </row>
    <row r="125" spans="1:5" s="19" customFormat="1" ht="13.5">
      <c r="A125" s="17" t="s">
        <v>471</v>
      </c>
      <c r="B125" s="546">
        <f>SUM(B104)</f>
        <v>1000</v>
      </c>
      <c r="C125" s="546">
        <f>SUM(C104)</f>
        <v>1000</v>
      </c>
      <c r="D125" s="686">
        <f>SUM(D104)</f>
        <v>1000</v>
      </c>
      <c r="E125" s="18"/>
    </row>
    <row r="126" spans="1:4" ht="12.75">
      <c r="A126" s="4"/>
      <c r="B126" s="542"/>
      <c r="C126" s="696"/>
      <c r="D126" s="694"/>
    </row>
    <row r="127" spans="1:4" ht="33.75" customHeight="1" thickBot="1">
      <c r="A127" s="59" t="s">
        <v>487</v>
      </c>
      <c r="B127" s="543">
        <f>SUM(B123,B125)</f>
        <v>22030</v>
      </c>
      <c r="C127" s="543">
        <f>SUM(C123,C125)</f>
        <v>30909</v>
      </c>
      <c r="D127" s="687">
        <f>SUM(D123,D125)</f>
        <v>38030</v>
      </c>
    </row>
    <row r="129" ht="12.75">
      <c r="A129" s="242" t="s">
        <v>1107</v>
      </c>
    </row>
    <row r="130" ht="12.75">
      <c r="A130" s="1" t="s">
        <v>1108</v>
      </c>
    </row>
    <row r="131" ht="12.75">
      <c r="A131" s="1" t="s">
        <v>1109</v>
      </c>
    </row>
    <row r="132" ht="12.75">
      <c r="A132" s="1" t="s">
        <v>1146</v>
      </c>
    </row>
  </sheetData>
  <sheetProtection/>
  <mergeCells count="2">
    <mergeCell ref="A2:D2"/>
    <mergeCell ref="A3:D3"/>
  </mergeCells>
  <printOptions horizontalCentered="1"/>
  <pageMargins left="0.4724409448818898" right="0.2362204724409449" top="0.9078125" bottom="0.7480314960629921" header="0.5118110236220472" footer="0.5118110236220472"/>
  <pageSetup horizontalDpi="600" verticalDpi="600" orientation="portrait" paperSize="9" scale="74" r:id="rId1"/>
  <headerFooter alignWithMargins="0">
    <oddHeader xml:space="preserve">&amp;L12. melléklet </oddHeader>
  </headerFooter>
  <rowBreaks count="1" manualBreakCount="1">
    <brk id="69" max="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D55"/>
  <sheetViews>
    <sheetView view="pageBreakPreview" zoomScale="112" zoomScaleSheetLayoutView="112" workbookViewId="0" topLeftCell="A34">
      <selection activeCell="D55" sqref="D55"/>
    </sheetView>
  </sheetViews>
  <sheetFormatPr defaultColWidth="9.00390625" defaultRowHeight="12.75"/>
  <cols>
    <col min="1" max="1" width="46.875" style="40" customWidth="1"/>
    <col min="2" max="3" width="16.75390625" style="40" customWidth="1"/>
    <col min="4" max="4" width="17.00390625" style="40" customWidth="1"/>
    <col min="5" max="16384" width="9.125" style="40" customWidth="1"/>
  </cols>
  <sheetData>
    <row r="1" spans="1:4" ht="15" customHeight="1">
      <c r="A1" s="1181" t="s">
        <v>3</v>
      </c>
      <c r="B1" s="1181"/>
      <c r="C1" s="1032"/>
      <c r="D1" s="1032"/>
    </row>
    <row r="2" spans="1:2" ht="14.25" customHeight="1" thickBot="1">
      <c r="A2" s="41"/>
      <c r="B2" s="42"/>
    </row>
    <row r="3" spans="1:4" ht="22.5" customHeight="1">
      <c r="A3" s="1179" t="s">
        <v>6</v>
      </c>
      <c r="B3" s="266" t="s">
        <v>7</v>
      </c>
      <c r="C3" s="277" t="s">
        <v>7</v>
      </c>
      <c r="D3" s="275" t="s">
        <v>7</v>
      </c>
    </row>
    <row r="4" spans="1:4" ht="15" customHeight="1" thickBot="1">
      <c r="A4" s="1180"/>
      <c r="B4" s="267" t="s">
        <v>162</v>
      </c>
      <c r="C4" s="554" t="s">
        <v>888</v>
      </c>
      <c r="D4" s="281" t="s">
        <v>947</v>
      </c>
    </row>
    <row r="5" spans="1:4" ht="15" customHeight="1">
      <c r="A5" s="43" t="s">
        <v>9</v>
      </c>
      <c r="B5" s="312">
        <v>22</v>
      </c>
      <c r="C5" s="555">
        <v>22</v>
      </c>
      <c r="D5" s="701">
        <v>22</v>
      </c>
    </row>
    <row r="6" spans="1:4" ht="15" customHeight="1">
      <c r="A6" s="43" t="s">
        <v>10</v>
      </c>
      <c r="B6" s="312">
        <v>7</v>
      </c>
      <c r="C6" s="556">
        <v>0</v>
      </c>
      <c r="D6" s="702">
        <v>0</v>
      </c>
    </row>
    <row r="7" spans="1:4" ht="15" customHeight="1">
      <c r="A7" s="43" t="s">
        <v>11</v>
      </c>
      <c r="B7" s="312">
        <v>18.75</v>
      </c>
      <c r="C7" s="556">
        <v>18.75</v>
      </c>
      <c r="D7" s="702">
        <v>18.75</v>
      </c>
    </row>
    <row r="8" spans="1:4" ht="15" customHeight="1">
      <c r="A8" s="43" t="s">
        <v>894</v>
      </c>
      <c r="B8" s="312"/>
      <c r="C8" s="556">
        <v>3.5</v>
      </c>
      <c r="D8" s="702">
        <v>3.5</v>
      </c>
    </row>
    <row r="9" spans="1:4" ht="15" customHeight="1">
      <c r="A9" s="60" t="s">
        <v>895</v>
      </c>
      <c r="B9" s="314"/>
      <c r="C9" s="736">
        <f>SUM(C7:C8)</f>
        <v>22.25</v>
      </c>
      <c r="D9" s="737">
        <f>SUM(D7:D8)</f>
        <v>22.25</v>
      </c>
    </row>
    <row r="10" spans="1:4" ht="15" customHeight="1">
      <c r="A10" s="43" t="s">
        <v>12</v>
      </c>
      <c r="B10" s="312">
        <v>23</v>
      </c>
      <c r="C10" s="556">
        <v>23</v>
      </c>
      <c r="D10" s="702">
        <v>23</v>
      </c>
    </row>
    <row r="11" spans="1:4" ht="15" customHeight="1">
      <c r="A11" s="43" t="s">
        <v>13</v>
      </c>
      <c r="B11" s="312">
        <v>16.5</v>
      </c>
      <c r="C11" s="556">
        <v>16.5</v>
      </c>
      <c r="D11" s="702">
        <v>16.5</v>
      </c>
    </row>
    <row r="12" spans="1:4" ht="15" customHeight="1">
      <c r="A12" s="43" t="s">
        <v>14</v>
      </c>
      <c r="B12" s="312">
        <v>15</v>
      </c>
      <c r="C12" s="556">
        <v>16</v>
      </c>
      <c r="D12" s="702">
        <v>16</v>
      </c>
    </row>
    <row r="13" spans="1:4" ht="15" customHeight="1">
      <c r="A13" s="43" t="s">
        <v>896</v>
      </c>
      <c r="B13" s="312"/>
      <c r="C13" s="556">
        <v>7</v>
      </c>
      <c r="D13" s="702">
        <v>7</v>
      </c>
    </row>
    <row r="14" spans="1:4" ht="15" customHeight="1">
      <c r="A14" s="60" t="s">
        <v>897</v>
      </c>
      <c r="B14" s="314"/>
      <c r="C14" s="736">
        <f>SUM(C12:C13)</f>
        <v>23</v>
      </c>
      <c r="D14" s="737">
        <f>SUM(D12:D13)</f>
        <v>23</v>
      </c>
    </row>
    <row r="15" spans="1:4" ht="15" customHeight="1">
      <c r="A15" s="43" t="s">
        <v>898</v>
      </c>
      <c r="B15" s="312">
        <v>2.5</v>
      </c>
      <c r="C15" s="556">
        <v>0</v>
      </c>
      <c r="D15" s="702">
        <v>0</v>
      </c>
    </row>
    <row r="16" spans="1:4" ht="15" customHeight="1">
      <c r="A16" s="43" t="s">
        <v>15</v>
      </c>
      <c r="B16" s="312">
        <v>32</v>
      </c>
      <c r="C16" s="556">
        <v>34</v>
      </c>
      <c r="D16" s="702">
        <v>34</v>
      </c>
    </row>
    <row r="17" spans="1:4" ht="15.75" customHeight="1">
      <c r="A17" s="43" t="s">
        <v>16</v>
      </c>
      <c r="B17" s="312">
        <v>9.5</v>
      </c>
      <c r="C17" s="556">
        <v>9.5</v>
      </c>
      <c r="D17" s="702">
        <v>9.5</v>
      </c>
    </row>
    <row r="18" spans="1:4" ht="15" customHeight="1">
      <c r="A18" s="44" t="s">
        <v>24</v>
      </c>
      <c r="B18" s="313">
        <v>20</v>
      </c>
      <c r="C18" s="556">
        <v>20.5</v>
      </c>
      <c r="D18" s="702">
        <v>20.5</v>
      </c>
    </row>
    <row r="19" spans="1:4" ht="15" customHeight="1">
      <c r="A19" s="43" t="s">
        <v>17</v>
      </c>
      <c r="B19" s="312">
        <v>8</v>
      </c>
      <c r="C19" s="556">
        <v>8</v>
      </c>
      <c r="D19" s="702">
        <v>8</v>
      </c>
    </row>
    <row r="20" spans="1:4" ht="15" customHeight="1">
      <c r="A20" s="60" t="s">
        <v>575</v>
      </c>
      <c r="B20" s="314">
        <f>SUM(B5:B19)</f>
        <v>174.25</v>
      </c>
      <c r="C20" s="557">
        <f>SUM(C5+C6+C7+C8+C10+C11+C12+C13+C15+C16+C17+C18+C19)</f>
        <v>178.75</v>
      </c>
      <c r="D20" s="782">
        <f>SUM(D5+D6+D7+D8+D10+D11+D12+D13+D15+D16+D17+D18+D19)</f>
        <v>178.75</v>
      </c>
    </row>
    <row r="21" spans="1:4" ht="15" customHeight="1">
      <c r="A21" s="61" t="s">
        <v>18</v>
      </c>
      <c r="B21" s="315">
        <v>37</v>
      </c>
      <c r="C21" s="558">
        <v>37</v>
      </c>
      <c r="D21" s="783">
        <v>37</v>
      </c>
    </row>
    <row r="22" spans="1:4" ht="15" customHeight="1">
      <c r="A22" s="45" t="s">
        <v>19</v>
      </c>
      <c r="B22" s="316">
        <f>SUM(B20:B21)</f>
        <v>211.25</v>
      </c>
      <c r="C22" s="559">
        <f>SUM(C20:C21)</f>
        <v>215.75</v>
      </c>
      <c r="D22" s="549">
        <f>SUM(D20:D21)</f>
        <v>215.75</v>
      </c>
    </row>
    <row r="23" spans="1:4" ht="15" customHeight="1">
      <c r="A23" s="43"/>
      <c r="B23" s="268"/>
      <c r="C23" s="560"/>
      <c r="D23" s="550"/>
    </row>
    <row r="24" spans="1:4" ht="15" customHeight="1">
      <c r="A24" s="46" t="s">
        <v>169</v>
      </c>
      <c r="B24" s="268"/>
      <c r="C24" s="560"/>
      <c r="D24" s="550"/>
    </row>
    <row r="25" spans="1:4" ht="15" customHeight="1">
      <c r="A25" s="47" t="s">
        <v>20</v>
      </c>
      <c r="B25" s="270">
        <v>72</v>
      </c>
      <c r="C25" s="561">
        <v>76</v>
      </c>
      <c r="D25" s="551">
        <v>76</v>
      </c>
    </row>
    <row r="26" spans="1:4" ht="15" customHeight="1">
      <c r="A26" s="137" t="s">
        <v>427</v>
      </c>
      <c r="B26" s="269">
        <v>5</v>
      </c>
      <c r="C26" s="561">
        <v>5</v>
      </c>
      <c r="D26" s="551">
        <v>5</v>
      </c>
    </row>
    <row r="27" spans="1:4" ht="15" customHeight="1">
      <c r="A27" s="47" t="s">
        <v>426</v>
      </c>
      <c r="B27" s="269">
        <v>3</v>
      </c>
      <c r="C27" s="561">
        <v>3</v>
      </c>
      <c r="D27" s="551">
        <v>3</v>
      </c>
    </row>
    <row r="28" spans="1:4" ht="15" customHeight="1">
      <c r="A28" s="47" t="s">
        <v>21</v>
      </c>
      <c r="B28" s="269">
        <v>6</v>
      </c>
      <c r="C28" s="561">
        <v>6</v>
      </c>
      <c r="D28" s="551">
        <v>6</v>
      </c>
    </row>
    <row r="29" spans="1:4" ht="15" customHeight="1">
      <c r="A29" s="46" t="s">
        <v>428</v>
      </c>
      <c r="B29" s="271">
        <f>SUM(B25:B28)</f>
        <v>86</v>
      </c>
      <c r="C29" s="562">
        <f>SUM(C25:C28)</f>
        <v>90</v>
      </c>
      <c r="D29" s="552">
        <f>SUM(D25:D28)</f>
        <v>90</v>
      </c>
    </row>
    <row r="30" spans="1:4" ht="15" customHeight="1">
      <c r="A30" s="46"/>
      <c r="B30" s="272"/>
      <c r="C30" s="561"/>
      <c r="D30" s="551"/>
    </row>
    <row r="31" spans="1:4" ht="15" customHeight="1">
      <c r="A31" s="46" t="s">
        <v>429</v>
      </c>
      <c r="B31" s="273">
        <v>3</v>
      </c>
      <c r="C31" s="561">
        <v>3</v>
      </c>
      <c r="D31" s="551">
        <v>3</v>
      </c>
    </row>
    <row r="32" spans="1:4" ht="15" customHeight="1" thickBot="1">
      <c r="A32" s="48"/>
      <c r="B32" s="272"/>
      <c r="C32" s="560"/>
      <c r="D32" s="550"/>
    </row>
    <row r="33" spans="1:4" ht="15" customHeight="1" thickBot="1">
      <c r="A33" s="49" t="s">
        <v>522</v>
      </c>
      <c r="B33" s="274">
        <f>SUM(B22+B29+B31)</f>
        <v>300.25</v>
      </c>
      <c r="C33" s="563">
        <f>SUM(C22+C29+C31)</f>
        <v>308.75</v>
      </c>
      <c r="D33" s="553">
        <f>SUM(D22+D29+D31)</f>
        <v>308.75</v>
      </c>
    </row>
    <row r="34" spans="1:2" ht="18.75">
      <c r="A34" s="50"/>
      <c r="B34" s="51"/>
    </row>
    <row r="35" ht="15.75">
      <c r="A35" s="52"/>
    </row>
    <row r="36" spans="1:4" ht="12.75">
      <c r="A36" s="1182" t="s">
        <v>22</v>
      </c>
      <c r="B36" s="1182"/>
      <c r="C36" s="1032"/>
      <c r="D36" s="1032"/>
    </row>
    <row r="37" ht="13.5" thickBot="1"/>
    <row r="38" spans="1:4" ht="25.5">
      <c r="A38" s="1177" t="s">
        <v>121</v>
      </c>
      <c r="B38" s="277" t="s">
        <v>7</v>
      </c>
      <c r="C38" s="277" t="s">
        <v>7</v>
      </c>
      <c r="D38" s="275" t="s">
        <v>7</v>
      </c>
    </row>
    <row r="39" spans="1:4" ht="13.5" thickBot="1">
      <c r="A39" s="1178"/>
      <c r="B39" s="278" t="s">
        <v>162</v>
      </c>
      <c r="C39" s="554" t="s">
        <v>888</v>
      </c>
      <c r="D39" s="276" t="s">
        <v>947</v>
      </c>
    </row>
    <row r="40" spans="1:4" ht="13.5" thickBot="1">
      <c r="A40" s="78" t="s">
        <v>23</v>
      </c>
      <c r="B40" s="279">
        <v>78</v>
      </c>
      <c r="C40" s="565">
        <v>78</v>
      </c>
      <c r="D40" s="784">
        <v>134</v>
      </c>
    </row>
    <row r="41" spans="1:4" s="56" customFormat="1" ht="13.5" thickBot="1">
      <c r="A41" s="55" t="s">
        <v>220</v>
      </c>
      <c r="B41" s="280">
        <f>SUM(B40:B40)</f>
        <v>78</v>
      </c>
      <c r="C41" s="280">
        <f>SUM(C40:C40)</f>
        <v>78</v>
      </c>
      <c r="D41" s="381">
        <f>SUM(D40:D40)</f>
        <v>134</v>
      </c>
    </row>
    <row r="44" spans="1:4" ht="15.75" customHeight="1">
      <c r="A44" s="1172" t="s">
        <v>735</v>
      </c>
      <c r="B44" s="1172"/>
      <c r="C44" s="1032"/>
      <c r="D44" s="1032"/>
    </row>
    <row r="45" ht="13.5" thickBot="1"/>
    <row r="46" spans="1:4" ht="25.5">
      <c r="A46" s="1177" t="s">
        <v>121</v>
      </c>
      <c r="B46" s="277" t="s">
        <v>7</v>
      </c>
      <c r="C46" s="277" t="s">
        <v>7</v>
      </c>
      <c r="D46" s="275" t="s">
        <v>7</v>
      </c>
    </row>
    <row r="47" spans="1:4" ht="13.5" thickBot="1">
      <c r="A47" s="1178"/>
      <c r="B47" s="278" t="s">
        <v>162</v>
      </c>
      <c r="C47" s="554" t="s">
        <v>888</v>
      </c>
      <c r="D47" s="281" t="s">
        <v>947</v>
      </c>
    </row>
    <row r="48" spans="1:4" ht="12.75">
      <c r="A48" s="53" t="s">
        <v>571</v>
      </c>
      <c r="B48" s="279">
        <v>30</v>
      </c>
      <c r="C48" s="279">
        <v>30</v>
      </c>
      <c r="D48" s="785">
        <v>30</v>
      </c>
    </row>
    <row r="49" spans="1:4" ht="13.5" thickBot="1">
      <c r="A49" s="54" t="s">
        <v>736</v>
      </c>
      <c r="B49" s="282">
        <v>2</v>
      </c>
      <c r="C49" s="564">
        <v>2</v>
      </c>
      <c r="D49" s="786">
        <v>2</v>
      </c>
    </row>
    <row r="50" spans="1:4" ht="13.5" thickBot="1">
      <c r="A50" s="55" t="s">
        <v>220</v>
      </c>
      <c r="B50" s="280">
        <f>SUM(B48:B49)</f>
        <v>32</v>
      </c>
      <c r="C50" s="280">
        <f>SUM(C48:C49)</f>
        <v>32</v>
      </c>
      <c r="D50" s="381">
        <f>SUM(D48:D49)</f>
        <v>32</v>
      </c>
    </row>
    <row r="52" ht="12.75">
      <c r="A52" s="242" t="s">
        <v>1104</v>
      </c>
    </row>
    <row r="53" ht="12.75">
      <c r="A53" s="1" t="s">
        <v>1105</v>
      </c>
    </row>
    <row r="54" ht="12.75">
      <c r="A54" s="1" t="s">
        <v>1106</v>
      </c>
    </row>
    <row r="55" ht="12.75">
      <c r="A55" s="1" t="s">
        <v>1147</v>
      </c>
    </row>
  </sheetData>
  <sheetProtection/>
  <mergeCells count="6">
    <mergeCell ref="A46:A47"/>
    <mergeCell ref="A3:A4"/>
    <mergeCell ref="A38:A39"/>
    <mergeCell ref="A1:D1"/>
    <mergeCell ref="A36:D36"/>
    <mergeCell ref="A44:D4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scale="85" r:id="rId1"/>
  <headerFooter alignWithMargins="0">
    <oddHeader xml:space="preserve">&amp;L 13. melléklet 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N79"/>
  <sheetViews>
    <sheetView view="pageLayout" zoomScaleSheetLayoutView="100" workbookViewId="0" topLeftCell="A1">
      <selection activeCell="A79" sqref="A79"/>
    </sheetView>
  </sheetViews>
  <sheetFormatPr defaultColWidth="11.625" defaultRowHeight="14.25" customHeight="1"/>
  <cols>
    <col min="1" max="1" width="5.125" style="37" customWidth="1"/>
    <col min="2" max="2" width="10.375" style="37" customWidth="1"/>
    <col min="3" max="3" width="16.625" style="37" customWidth="1"/>
    <col min="4" max="4" width="11.25390625" style="37" customWidth="1"/>
    <col min="5" max="5" width="12.375" style="37" customWidth="1"/>
    <col min="6" max="6" width="14.00390625" style="37" customWidth="1"/>
    <col min="7" max="7" width="12.25390625" style="37" customWidth="1"/>
    <col min="8" max="8" width="12.875" style="37" customWidth="1"/>
    <col min="9" max="9" width="14.625" style="37" customWidth="1"/>
    <col min="10" max="10" width="11.125" style="37" customWidth="1"/>
    <col min="11" max="11" width="12.375" style="37" customWidth="1"/>
    <col min="12" max="12" width="12.625" style="37" customWidth="1"/>
    <col min="13" max="13" width="12.00390625" style="382" customWidth="1"/>
    <col min="14" max="14" width="12.375" style="0" customWidth="1"/>
  </cols>
  <sheetData>
    <row r="1" spans="1:14" ht="14.25" customHeight="1">
      <c r="A1" s="1207" t="s">
        <v>530</v>
      </c>
      <c r="B1" s="1207"/>
      <c r="C1" s="1207"/>
      <c r="D1" s="1207"/>
      <c r="E1" s="1207"/>
      <c r="F1" s="1207"/>
      <c r="G1" s="1207"/>
      <c r="H1" s="1207"/>
      <c r="I1" s="1207"/>
      <c r="J1" s="1207"/>
      <c r="K1" s="1207"/>
      <c r="L1" s="1207"/>
      <c r="M1" s="1207"/>
      <c r="N1" s="1032"/>
    </row>
    <row r="2" spans="1:12" ht="14.25" customHeight="1">
      <c r="A2" s="24"/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4" ht="14.25" customHeight="1">
      <c r="A3" s="1187" t="s">
        <v>531</v>
      </c>
      <c r="B3" s="1187"/>
      <c r="C3" s="1187"/>
      <c r="D3" s="1187"/>
      <c r="E3" s="1187"/>
      <c r="F3" s="1187"/>
      <c r="G3" s="1187"/>
      <c r="H3" s="1187"/>
      <c r="I3" s="1187"/>
      <c r="J3" s="1187"/>
      <c r="K3" s="1187"/>
      <c r="L3" s="1187"/>
      <c r="M3" s="1187"/>
      <c r="N3" s="1032"/>
    </row>
    <row r="4" spans="1:14" ht="14.25" customHeight="1">
      <c r="A4" s="1187" t="s">
        <v>532</v>
      </c>
      <c r="B4" s="1187"/>
      <c r="C4" s="1187"/>
      <c r="D4" s="1187"/>
      <c r="E4" s="1187"/>
      <c r="F4" s="1187"/>
      <c r="G4" s="1187"/>
      <c r="H4" s="1187"/>
      <c r="I4" s="1187"/>
      <c r="J4" s="1187"/>
      <c r="K4" s="1187"/>
      <c r="L4" s="1187"/>
      <c r="M4" s="1187"/>
      <c r="N4" s="1032"/>
    </row>
    <row r="5" spans="1:12" ht="17.25" customHeight="1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6"/>
    </row>
    <row r="6" spans="1:14" ht="14.25" customHeight="1">
      <c r="A6" s="1208" t="s">
        <v>121</v>
      </c>
      <c r="B6" s="1209"/>
      <c r="C6" s="1198" t="s">
        <v>163</v>
      </c>
      <c r="D6" s="1199"/>
      <c r="E6" s="1199"/>
      <c r="F6" s="1199"/>
      <c r="G6" s="1199"/>
      <c r="H6" s="1199"/>
      <c r="I6" s="1199"/>
      <c r="J6" s="1200"/>
      <c r="K6" s="1201"/>
      <c r="L6" s="1209" t="s">
        <v>750</v>
      </c>
      <c r="M6" s="1215" t="s">
        <v>893</v>
      </c>
      <c r="N6" s="1212" t="s">
        <v>961</v>
      </c>
    </row>
    <row r="7" spans="1:14" ht="14.25" customHeight="1">
      <c r="A7" s="1210"/>
      <c r="B7" s="1196"/>
      <c r="C7" s="1196" t="s">
        <v>751</v>
      </c>
      <c r="D7" s="1196" t="s">
        <v>891</v>
      </c>
      <c r="E7" s="1196" t="s">
        <v>958</v>
      </c>
      <c r="F7" s="1202" t="s">
        <v>546</v>
      </c>
      <c r="G7" s="1203"/>
      <c r="H7" s="1203"/>
      <c r="I7" s="1203"/>
      <c r="J7" s="1203"/>
      <c r="K7" s="1204"/>
      <c r="L7" s="1196"/>
      <c r="M7" s="1216"/>
      <c r="N7" s="1213"/>
    </row>
    <row r="8" spans="1:14" ht="14.25" customHeight="1">
      <c r="A8" s="1210"/>
      <c r="B8" s="1196"/>
      <c r="C8" s="1196"/>
      <c r="D8" s="1196"/>
      <c r="E8" s="1196"/>
      <c r="F8" s="1196" t="s">
        <v>752</v>
      </c>
      <c r="G8" s="1196" t="s">
        <v>890</v>
      </c>
      <c r="H8" s="1196" t="s">
        <v>959</v>
      </c>
      <c r="I8" s="1196" t="s">
        <v>753</v>
      </c>
      <c r="J8" s="1196" t="s">
        <v>892</v>
      </c>
      <c r="K8" s="1196" t="s">
        <v>960</v>
      </c>
      <c r="L8" s="1196"/>
      <c r="M8" s="1216"/>
      <c r="N8" s="1213"/>
    </row>
    <row r="9" spans="1:14" ht="14.25" customHeight="1">
      <c r="A9" s="1210"/>
      <c r="B9" s="1196"/>
      <c r="C9" s="1196"/>
      <c r="D9" s="1196"/>
      <c r="E9" s="1196"/>
      <c r="F9" s="1196"/>
      <c r="G9" s="1196"/>
      <c r="H9" s="1196"/>
      <c r="I9" s="1196"/>
      <c r="J9" s="1196"/>
      <c r="K9" s="1196"/>
      <c r="L9" s="1196"/>
      <c r="M9" s="1216"/>
      <c r="N9" s="1213"/>
    </row>
    <row r="10" spans="1:14" ht="47.25" customHeight="1" thickBot="1">
      <c r="A10" s="1211"/>
      <c r="B10" s="1197"/>
      <c r="C10" s="1197"/>
      <c r="D10" s="1197"/>
      <c r="E10" s="1197"/>
      <c r="F10" s="1197"/>
      <c r="G10" s="1197"/>
      <c r="H10" s="1197"/>
      <c r="I10" s="1197"/>
      <c r="J10" s="1197"/>
      <c r="K10" s="1197"/>
      <c r="L10" s="1197"/>
      <c r="M10" s="1217"/>
      <c r="N10" s="1214"/>
    </row>
    <row r="11" spans="1:14" ht="14.25" customHeight="1">
      <c r="A11" s="1205" t="s">
        <v>547</v>
      </c>
      <c r="B11" s="1206"/>
      <c r="C11" s="27">
        <v>2536077</v>
      </c>
      <c r="D11" s="27">
        <v>0</v>
      </c>
      <c r="E11" s="27">
        <v>0</v>
      </c>
      <c r="F11" s="27">
        <v>44961</v>
      </c>
      <c r="G11" s="27">
        <v>44961</v>
      </c>
      <c r="H11" s="27">
        <v>44961</v>
      </c>
      <c r="I11" s="27">
        <v>250000</v>
      </c>
      <c r="J11" s="566">
        <v>250000</v>
      </c>
      <c r="K11" s="566">
        <v>250000</v>
      </c>
      <c r="L11" s="635">
        <f>SUM(C11+F11+I11)</f>
        <v>2831038</v>
      </c>
      <c r="M11" s="720">
        <f aca="true" t="shared" si="0" ref="M11:M19">D11+G11+J11</f>
        <v>294961</v>
      </c>
      <c r="N11" s="712">
        <f>SUM(E11+H11+K11)</f>
        <v>294961</v>
      </c>
    </row>
    <row r="12" spans="1:14" ht="14.25" customHeight="1">
      <c r="A12" s="28"/>
      <c r="B12" s="29" t="s">
        <v>548</v>
      </c>
      <c r="C12" s="30">
        <v>63402</v>
      </c>
      <c r="D12" s="30">
        <v>0</v>
      </c>
      <c r="E12" s="30">
        <v>0</v>
      </c>
      <c r="F12" s="30">
        <v>16756</v>
      </c>
      <c r="G12" s="30">
        <v>44961</v>
      </c>
      <c r="H12" s="30">
        <v>44961</v>
      </c>
      <c r="I12" s="30">
        <v>96150</v>
      </c>
      <c r="J12" s="30">
        <v>48894</v>
      </c>
      <c r="K12" s="30">
        <v>48894</v>
      </c>
      <c r="L12" s="634">
        <f>SUM(C12+F12+I12)</f>
        <v>176308</v>
      </c>
      <c r="M12" s="567">
        <f t="shared" si="0"/>
        <v>93855</v>
      </c>
      <c r="N12" s="713">
        <f>SUM(E12+H12+K12)</f>
        <v>93855</v>
      </c>
    </row>
    <row r="13" spans="1:14" ht="14.25" customHeight="1" thickBot="1">
      <c r="A13" s="31"/>
      <c r="B13" s="32" t="s">
        <v>549</v>
      </c>
      <c r="C13" s="33">
        <f>C11*0.01</f>
        <v>25360.77</v>
      </c>
      <c r="D13" s="33">
        <v>0</v>
      </c>
      <c r="E13" s="33">
        <v>0</v>
      </c>
      <c r="F13" s="33">
        <v>55</v>
      </c>
      <c r="G13" s="33">
        <v>10</v>
      </c>
      <c r="H13" s="33">
        <v>10</v>
      </c>
      <c r="I13" s="33">
        <v>19500</v>
      </c>
      <c r="J13" s="33">
        <v>19500</v>
      </c>
      <c r="K13" s="33">
        <v>2390</v>
      </c>
      <c r="L13" s="568">
        <f>SUM(C13+F13+I13)</f>
        <v>44915.770000000004</v>
      </c>
      <c r="M13" s="568">
        <f t="shared" si="0"/>
        <v>19510</v>
      </c>
      <c r="N13" s="714">
        <f>SUM(E13+H13+K13)</f>
        <v>2400</v>
      </c>
    </row>
    <row r="14" spans="1:14" ht="14.25" customHeight="1">
      <c r="A14" s="1183" t="s">
        <v>550</v>
      </c>
      <c r="B14" s="1184"/>
      <c r="C14" s="34">
        <f>C11-C12</f>
        <v>2472675</v>
      </c>
      <c r="D14" s="34">
        <v>0</v>
      </c>
      <c r="E14" s="34">
        <v>0</v>
      </c>
      <c r="F14" s="34">
        <f>F11-F12</f>
        <v>28205</v>
      </c>
      <c r="G14" s="34">
        <v>0</v>
      </c>
      <c r="H14" s="34">
        <v>0</v>
      </c>
      <c r="I14" s="34">
        <f>I11-I12</f>
        <v>153850</v>
      </c>
      <c r="J14" s="569">
        <v>201106</v>
      </c>
      <c r="K14" s="569">
        <v>201106</v>
      </c>
      <c r="L14" s="570">
        <f aca="true" t="shared" si="1" ref="L14:L64">SUM(C14:I14)</f>
        <v>2654730</v>
      </c>
      <c r="M14" s="721">
        <f t="shared" si="0"/>
        <v>201106</v>
      </c>
      <c r="N14" s="715">
        <f aca="true" t="shared" si="2" ref="N14:N19">SUM(E14+H14+K14)</f>
        <v>201106</v>
      </c>
    </row>
    <row r="15" spans="1:14" ht="14.25" customHeight="1">
      <c r="A15" s="28"/>
      <c r="B15" s="29" t="s">
        <v>548</v>
      </c>
      <c r="C15" s="30">
        <v>68685</v>
      </c>
      <c r="D15" s="30">
        <v>0</v>
      </c>
      <c r="E15" s="30">
        <v>0</v>
      </c>
      <c r="F15" s="30">
        <v>16756</v>
      </c>
      <c r="G15" s="30">
        <v>0</v>
      </c>
      <c r="H15" s="30">
        <v>0</v>
      </c>
      <c r="I15" s="30">
        <v>76920</v>
      </c>
      <c r="J15" s="30">
        <v>111108</v>
      </c>
      <c r="K15" s="30">
        <v>111108</v>
      </c>
      <c r="L15" s="567">
        <f t="shared" si="1"/>
        <v>162361</v>
      </c>
      <c r="M15" s="722">
        <f t="shared" si="0"/>
        <v>111108</v>
      </c>
      <c r="N15" s="713">
        <f t="shared" si="2"/>
        <v>111108</v>
      </c>
    </row>
    <row r="16" spans="1:14" ht="14.25" customHeight="1" thickBot="1">
      <c r="A16" s="35"/>
      <c r="B16" s="32" t="s">
        <v>549</v>
      </c>
      <c r="C16" s="33">
        <f>C14*0.01</f>
        <v>24726.75</v>
      </c>
      <c r="D16" s="33">
        <v>0</v>
      </c>
      <c r="E16" s="33">
        <v>0</v>
      </c>
      <c r="F16" s="33">
        <v>35</v>
      </c>
      <c r="G16" s="33">
        <v>0</v>
      </c>
      <c r="H16" s="33">
        <v>0</v>
      </c>
      <c r="I16" s="33">
        <v>12000</v>
      </c>
      <c r="J16" s="33">
        <v>15686</v>
      </c>
      <c r="K16" s="33">
        <v>15686</v>
      </c>
      <c r="L16" s="568">
        <f t="shared" si="1"/>
        <v>36761.75</v>
      </c>
      <c r="M16" s="568">
        <f t="shared" si="0"/>
        <v>15686</v>
      </c>
      <c r="N16" s="716">
        <f t="shared" si="2"/>
        <v>15686</v>
      </c>
    </row>
    <row r="17" spans="1:14" ht="14.25" customHeight="1">
      <c r="A17" s="1183" t="s">
        <v>551</v>
      </c>
      <c r="B17" s="1184"/>
      <c r="C17" s="34">
        <f>C14-C15</f>
        <v>2403990</v>
      </c>
      <c r="D17" s="34">
        <v>0</v>
      </c>
      <c r="E17" s="34">
        <v>0</v>
      </c>
      <c r="F17" s="34">
        <f>F14-F15</f>
        <v>11449</v>
      </c>
      <c r="G17" s="34">
        <v>0</v>
      </c>
      <c r="H17" s="34">
        <v>0</v>
      </c>
      <c r="I17" s="34">
        <f>I14-I15</f>
        <v>76930</v>
      </c>
      <c r="J17" s="569">
        <v>89998</v>
      </c>
      <c r="K17" s="569">
        <v>89998</v>
      </c>
      <c r="L17" s="570">
        <f t="shared" si="1"/>
        <v>2492369</v>
      </c>
      <c r="M17" s="721">
        <f t="shared" si="0"/>
        <v>89998</v>
      </c>
      <c r="N17" s="715">
        <f t="shared" si="2"/>
        <v>89998</v>
      </c>
    </row>
    <row r="18" spans="1:14" ht="14.25" customHeight="1">
      <c r="A18" s="36"/>
      <c r="B18" s="29" t="s">
        <v>548</v>
      </c>
      <c r="C18" s="30">
        <v>79252</v>
      </c>
      <c r="D18" s="30">
        <v>0</v>
      </c>
      <c r="E18" s="30">
        <v>0</v>
      </c>
      <c r="F18" s="30">
        <v>11449</v>
      </c>
      <c r="G18" s="30">
        <v>0</v>
      </c>
      <c r="H18" s="30">
        <v>0</v>
      </c>
      <c r="I18" s="30">
        <v>76930</v>
      </c>
      <c r="J18" s="30">
        <v>89998</v>
      </c>
      <c r="K18" s="30">
        <v>89998</v>
      </c>
      <c r="L18" s="567">
        <f t="shared" si="1"/>
        <v>167631</v>
      </c>
      <c r="M18" s="722">
        <f t="shared" si="0"/>
        <v>89998</v>
      </c>
      <c r="N18" s="713">
        <f t="shared" si="2"/>
        <v>89998</v>
      </c>
    </row>
    <row r="19" spans="1:14" ht="14.25" customHeight="1" thickBot="1">
      <c r="A19" s="35"/>
      <c r="B19" s="32" t="s">
        <v>549</v>
      </c>
      <c r="C19" s="33">
        <f>C17*0.01</f>
        <v>24039.9</v>
      </c>
      <c r="D19" s="33">
        <v>0</v>
      </c>
      <c r="E19" s="33">
        <v>0</v>
      </c>
      <c r="F19" s="33">
        <v>14</v>
      </c>
      <c r="G19" s="33">
        <v>0</v>
      </c>
      <c r="H19" s="33">
        <v>0</v>
      </c>
      <c r="I19" s="33">
        <v>6000</v>
      </c>
      <c r="J19" s="33">
        <v>7020</v>
      </c>
      <c r="K19" s="33">
        <v>7020</v>
      </c>
      <c r="L19" s="568">
        <f t="shared" si="1"/>
        <v>30053.9</v>
      </c>
      <c r="M19" s="568">
        <f t="shared" si="0"/>
        <v>7020</v>
      </c>
      <c r="N19" s="716">
        <f t="shared" si="2"/>
        <v>7020</v>
      </c>
    </row>
    <row r="20" spans="1:14" ht="14.25" customHeight="1">
      <c r="A20" s="1183" t="s">
        <v>552</v>
      </c>
      <c r="B20" s="1184"/>
      <c r="C20" s="34">
        <f>C17-C18</f>
        <v>2324738</v>
      </c>
      <c r="D20" s="34">
        <v>0</v>
      </c>
      <c r="E20" s="34">
        <v>0</v>
      </c>
      <c r="F20" s="34"/>
      <c r="G20" s="34"/>
      <c r="H20" s="34"/>
      <c r="I20" s="34"/>
      <c r="J20" s="34"/>
      <c r="K20" s="569"/>
      <c r="L20" s="570">
        <f t="shared" si="1"/>
        <v>2324738</v>
      </c>
      <c r="M20" s="721">
        <f>D20+G20+I20</f>
        <v>0</v>
      </c>
      <c r="N20" s="717"/>
    </row>
    <row r="21" spans="1:14" ht="14.25" customHeight="1">
      <c r="A21" s="36"/>
      <c r="B21" s="29" t="s">
        <v>548</v>
      </c>
      <c r="C21" s="30">
        <v>89819</v>
      </c>
      <c r="D21" s="30">
        <v>0</v>
      </c>
      <c r="E21" s="30">
        <v>0</v>
      </c>
      <c r="F21" s="30"/>
      <c r="G21" s="30"/>
      <c r="H21" s="30"/>
      <c r="I21" s="30"/>
      <c r="J21" s="30"/>
      <c r="K21" s="30"/>
      <c r="L21" s="567">
        <f t="shared" si="1"/>
        <v>89819</v>
      </c>
      <c r="M21" s="722">
        <f>D21+G21+I21</f>
        <v>0</v>
      </c>
      <c r="N21" s="718"/>
    </row>
    <row r="22" spans="1:14" ht="14.25" customHeight="1" thickBot="1">
      <c r="A22" s="35"/>
      <c r="B22" s="32" t="s">
        <v>549</v>
      </c>
      <c r="C22" s="33">
        <f>C20*0.01</f>
        <v>23247.38</v>
      </c>
      <c r="D22" s="33">
        <v>0</v>
      </c>
      <c r="E22" s="33">
        <v>0</v>
      </c>
      <c r="F22" s="33"/>
      <c r="G22" s="33"/>
      <c r="H22" s="33"/>
      <c r="I22" s="33"/>
      <c r="J22" s="33"/>
      <c r="K22" s="33"/>
      <c r="L22" s="568">
        <f t="shared" si="1"/>
        <v>23247.38</v>
      </c>
      <c r="M22" s="568">
        <f>SUM(D22:J22)</f>
        <v>0</v>
      </c>
      <c r="N22" s="719"/>
    </row>
    <row r="23" spans="1:14" ht="14.25" customHeight="1">
      <c r="A23" s="1183" t="s">
        <v>553</v>
      </c>
      <c r="B23" s="1184"/>
      <c r="C23" s="34">
        <f>C20-C21</f>
        <v>2234919</v>
      </c>
      <c r="D23" s="34">
        <v>0</v>
      </c>
      <c r="E23" s="34">
        <v>0</v>
      </c>
      <c r="F23" s="34"/>
      <c r="G23" s="34"/>
      <c r="H23" s="34"/>
      <c r="I23" s="34"/>
      <c r="J23" s="34"/>
      <c r="K23" s="569"/>
      <c r="L23" s="570">
        <f t="shared" si="1"/>
        <v>2234919</v>
      </c>
      <c r="M23" s="721">
        <f>D23+G23+I23</f>
        <v>0</v>
      </c>
      <c r="N23" s="717"/>
    </row>
    <row r="24" spans="1:14" ht="14.25" customHeight="1">
      <c r="A24" s="36"/>
      <c r="B24" s="29" t="s">
        <v>548</v>
      </c>
      <c r="C24" s="30">
        <v>95103</v>
      </c>
      <c r="D24" s="30">
        <v>0</v>
      </c>
      <c r="E24" s="30">
        <v>0</v>
      </c>
      <c r="F24" s="30"/>
      <c r="G24" s="30"/>
      <c r="H24" s="30"/>
      <c r="I24" s="30"/>
      <c r="J24" s="30"/>
      <c r="K24" s="30"/>
      <c r="L24" s="567">
        <f t="shared" si="1"/>
        <v>95103</v>
      </c>
      <c r="M24" s="722">
        <f>D24+G24+I24</f>
        <v>0</v>
      </c>
      <c r="N24" s="718"/>
    </row>
    <row r="25" spans="1:14" ht="14.25" customHeight="1" thickBot="1">
      <c r="A25" s="35"/>
      <c r="B25" s="32" t="s">
        <v>549</v>
      </c>
      <c r="C25" s="33">
        <f>C23*0.01</f>
        <v>22349.19</v>
      </c>
      <c r="D25" s="33">
        <v>0</v>
      </c>
      <c r="E25" s="33">
        <v>0</v>
      </c>
      <c r="F25" s="33"/>
      <c r="G25" s="33"/>
      <c r="H25" s="33"/>
      <c r="I25" s="33"/>
      <c r="J25" s="33"/>
      <c r="K25" s="33"/>
      <c r="L25" s="568">
        <f t="shared" si="1"/>
        <v>22349.19</v>
      </c>
      <c r="M25" s="568">
        <f>SUM(D25:J25)</f>
        <v>0</v>
      </c>
      <c r="N25" s="719"/>
    </row>
    <row r="26" spans="1:14" ht="14.25" customHeight="1">
      <c r="A26" s="1183" t="s">
        <v>554</v>
      </c>
      <c r="B26" s="1184"/>
      <c r="C26" s="34">
        <f>C23-C24</f>
        <v>2139816</v>
      </c>
      <c r="D26" s="34">
        <v>0</v>
      </c>
      <c r="E26" s="34">
        <v>0</v>
      </c>
      <c r="F26" s="34"/>
      <c r="G26" s="34"/>
      <c r="H26" s="34"/>
      <c r="I26" s="34"/>
      <c r="J26" s="34"/>
      <c r="K26" s="569"/>
      <c r="L26" s="570">
        <f t="shared" si="1"/>
        <v>2139816</v>
      </c>
      <c r="M26" s="721">
        <f>D26+G26+I26</f>
        <v>0</v>
      </c>
      <c r="N26" s="717"/>
    </row>
    <row r="27" spans="1:14" ht="14.25" customHeight="1">
      <c r="A27" s="36"/>
      <c r="B27" s="29" t="s">
        <v>548</v>
      </c>
      <c r="C27" s="30">
        <v>100386</v>
      </c>
      <c r="D27" s="30">
        <v>0</v>
      </c>
      <c r="E27" s="30">
        <v>0</v>
      </c>
      <c r="F27" s="30"/>
      <c r="G27" s="30"/>
      <c r="H27" s="30"/>
      <c r="I27" s="30"/>
      <c r="J27" s="30"/>
      <c r="K27" s="30"/>
      <c r="L27" s="567">
        <f t="shared" si="1"/>
        <v>100386</v>
      </c>
      <c r="M27" s="722">
        <f>D27+G27+I27</f>
        <v>0</v>
      </c>
      <c r="N27" s="718"/>
    </row>
    <row r="28" spans="1:14" ht="14.25" customHeight="1" thickBot="1">
      <c r="A28" s="35"/>
      <c r="B28" s="32" t="s">
        <v>549</v>
      </c>
      <c r="C28" s="33">
        <f>C26*0.01</f>
        <v>21398.16</v>
      </c>
      <c r="D28" s="33">
        <v>0</v>
      </c>
      <c r="E28" s="33">
        <v>0</v>
      </c>
      <c r="F28" s="33"/>
      <c r="G28" s="33"/>
      <c r="H28" s="33"/>
      <c r="I28" s="33"/>
      <c r="J28" s="33"/>
      <c r="K28" s="33"/>
      <c r="L28" s="568">
        <f t="shared" si="1"/>
        <v>21398.16</v>
      </c>
      <c r="M28" s="568">
        <f>SUM(D28:J28)</f>
        <v>0</v>
      </c>
      <c r="N28" s="719"/>
    </row>
    <row r="29" spans="1:14" ht="14.25" customHeight="1">
      <c r="A29" s="1183" t="s">
        <v>555</v>
      </c>
      <c r="B29" s="1184"/>
      <c r="C29" s="34">
        <f>C26-C27</f>
        <v>2039430</v>
      </c>
      <c r="D29" s="34">
        <v>0</v>
      </c>
      <c r="E29" s="34">
        <v>0</v>
      </c>
      <c r="F29" s="34"/>
      <c r="G29" s="34"/>
      <c r="H29" s="34"/>
      <c r="I29" s="34"/>
      <c r="J29" s="34"/>
      <c r="K29" s="569"/>
      <c r="L29" s="570">
        <f t="shared" si="1"/>
        <v>2039430</v>
      </c>
      <c r="M29" s="721">
        <f>D29+G29+I29</f>
        <v>0</v>
      </c>
      <c r="N29" s="717"/>
    </row>
    <row r="30" spans="1:14" ht="14.25" customHeight="1">
      <c r="A30" s="36"/>
      <c r="B30" s="29" t="s">
        <v>548</v>
      </c>
      <c r="C30" s="30">
        <v>105670</v>
      </c>
      <c r="D30" s="30">
        <v>0</v>
      </c>
      <c r="E30" s="30">
        <v>0</v>
      </c>
      <c r="F30" s="30"/>
      <c r="G30" s="30"/>
      <c r="H30" s="30"/>
      <c r="I30" s="30"/>
      <c r="J30" s="30"/>
      <c r="K30" s="30"/>
      <c r="L30" s="567">
        <f t="shared" si="1"/>
        <v>105670</v>
      </c>
      <c r="M30" s="722">
        <f>D30+G30+I30</f>
        <v>0</v>
      </c>
      <c r="N30" s="718"/>
    </row>
    <row r="31" spans="1:14" ht="14.25" customHeight="1" thickBot="1">
      <c r="A31" s="35"/>
      <c r="B31" s="32" t="s">
        <v>549</v>
      </c>
      <c r="C31" s="33">
        <f>C29*0.01</f>
        <v>20394.3</v>
      </c>
      <c r="D31" s="33">
        <v>0</v>
      </c>
      <c r="E31" s="33">
        <v>0</v>
      </c>
      <c r="F31" s="33"/>
      <c r="G31" s="33"/>
      <c r="H31" s="33"/>
      <c r="I31" s="33"/>
      <c r="J31" s="33"/>
      <c r="K31" s="33"/>
      <c r="L31" s="568">
        <f t="shared" si="1"/>
        <v>20394.3</v>
      </c>
      <c r="M31" s="568">
        <f>SUM(D31:J31)</f>
        <v>0</v>
      </c>
      <c r="N31" s="719"/>
    </row>
    <row r="32" spans="1:14" ht="14.25" customHeight="1">
      <c r="A32" s="1183" t="s">
        <v>556</v>
      </c>
      <c r="B32" s="1184"/>
      <c r="C32" s="34">
        <f>C29-C30</f>
        <v>1933760</v>
      </c>
      <c r="D32" s="34">
        <v>0</v>
      </c>
      <c r="E32" s="34">
        <v>0</v>
      </c>
      <c r="F32" s="34"/>
      <c r="G32" s="34"/>
      <c r="H32" s="34"/>
      <c r="I32" s="34"/>
      <c r="J32" s="34"/>
      <c r="K32" s="569"/>
      <c r="L32" s="570">
        <f t="shared" si="1"/>
        <v>1933760</v>
      </c>
      <c r="M32" s="721">
        <f>D32+G32+I32</f>
        <v>0</v>
      </c>
      <c r="N32" s="717"/>
    </row>
    <row r="33" spans="1:14" ht="14.25" customHeight="1">
      <c r="A33" s="36"/>
      <c r="B33" s="29" t="s">
        <v>548</v>
      </c>
      <c r="C33" s="30">
        <v>116237</v>
      </c>
      <c r="D33" s="30">
        <v>0</v>
      </c>
      <c r="E33" s="30">
        <v>0</v>
      </c>
      <c r="F33" s="30"/>
      <c r="G33" s="30"/>
      <c r="H33" s="30"/>
      <c r="I33" s="30"/>
      <c r="J33" s="30"/>
      <c r="K33" s="30"/>
      <c r="L33" s="567">
        <f t="shared" si="1"/>
        <v>116237</v>
      </c>
      <c r="M33" s="722">
        <f>D33+G33+I33</f>
        <v>0</v>
      </c>
      <c r="N33" s="718"/>
    </row>
    <row r="34" spans="1:14" ht="14.25" customHeight="1" thickBot="1">
      <c r="A34" s="35"/>
      <c r="B34" s="32" t="s">
        <v>549</v>
      </c>
      <c r="C34" s="33">
        <f>C32*0.01</f>
        <v>19337.600000000002</v>
      </c>
      <c r="D34" s="33">
        <v>0</v>
      </c>
      <c r="E34" s="33">
        <v>0</v>
      </c>
      <c r="F34" s="33"/>
      <c r="G34" s="33"/>
      <c r="H34" s="33"/>
      <c r="I34" s="33"/>
      <c r="J34" s="33"/>
      <c r="K34" s="33"/>
      <c r="L34" s="568">
        <f t="shared" si="1"/>
        <v>19337.600000000002</v>
      </c>
      <c r="M34" s="568">
        <f>SUM(D34:J34)</f>
        <v>0</v>
      </c>
      <c r="N34" s="719"/>
    </row>
    <row r="35" spans="1:14" ht="14.25" customHeight="1">
      <c r="A35" s="1183" t="s">
        <v>557</v>
      </c>
      <c r="B35" s="1184"/>
      <c r="C35" s="34">
        <f>C32-C33</f>
        <v>1817523</v>
      </c>
      <c r="D35" s="34">
        <v>0</v>
      </c>
      <c r="E35" s="34">
        <v>0</v>
      </c>
      <c r="F35" s="34"/>
      <c r="G35" s="34"/>
      <c r="H35" s="34"/>
      <c r="I35" s="34"/>
      <c r="J35" s="34"/>
      <c r="K35" s="569"/>
      <c r="L35" s="570">
        <f t="shared" si="1"/>
        <v>1817523</v>
      </c>
      <c r="M35" s="721">
        <f>D35+G35+I35</f>
        <v>0</v>
      </c>
      <c r="N35" s="717"/>
    </row>
    <row r="36" spans="1:14" ht="14.25" customHeight="1">
      <c r="A36" s="36"/>
      <c r="B36" s="29" t="s">
        <v>548</v>
      </c>
      <c r="C36" s="30">
        <v>121520</v>
      </c>
      <c r="D36" s="30">
        <v>0</v>
      </c>
      <c r="E36" s="30">
        <v>0</v>
      </c>
      <c r="F36" s="30"/>
      <c r="G36" s="30"/>
      <c r="H36" s="30"/>
      <c r="I36" s="30"/>
      <c r="J36" s="30"/>
      <c r="K36" s="30"/>
      <c r="L36" s="567">
        <f t="shared" si="1"/>
        <v>121520</v>
      </c>
      <c r="M36" s="722">
        <f>D36+G36+I36</f>
        <v>0</v>
      </c>
      <c r="N36" s="718"/>
    </row>
    <row r="37" spans="1:14" ht="14.25" customHeight="1" thickBot="1">
      <c r="A37" s="35"/>
      <c r="B37" s="32" t="s">
        <v>549</v>
      </c>
      <c r="C37" s="33">
        <f>C35*0.01</f>
        <v>18175.23</v>
      </c>
      <c r="D37" s="33">
        <v>0</v>
      </c>
      <c r="E37" s="33">
        <v>0</v>
      </c>
      <c r="F37" s="33"/>
      <c r="G37" s="33"/>
      <c r="H37" s="33"/>
      <c r="I37" s="33"/>
      <c r="J37" s="33"/>
      <c r="K37" s="33"/>
      <c r="L37" s="568">
        <f t="shared" si="1"/>
        <v>18175.23</v>
      </c>
      <c r="M37" s="568">
        <f>SUM(D37:J37)</f>
        <v>0</v>
      </c>
      <c r="N37" s="719"/>
    </row>
    <row r="38" spans="1:14" ht="14.25" customHeight="1">
      <c r="A38" s="1183" t="s">
        <v>558</v>
      </c>
      <c r="B38" s="1184"/>
      <c r="C38" s="34">
        <f>C35-C36</f>
        <v>1696003</v>
      </c>
      <c r="D38" s="34">
        <v>0</v>
      </c>
      <c r="E38" s="34">
        <v>0</v>
      </c>
      <c r="F38" s="34"/>
      <c r="G38" s="34"/>
      <c r="H38" s="34"/>
      <c r="I38" s="34"/>
      <c r="J38" s="34"/>
      <c r="K38" s="569"/>
      <c r="L38" s="570">
        <f t="shared" si="1"/>
        <v>1696003</v>
      </c>
      <c r="M38" s="721">
        <f>D38+G38+I38</f>
        <v>0</v>
      </c>
      <c r="N38" s="717"/>
    </row>
    <row r="39" spans="1:14" ht="14.25" customHeight="1">
      <c r="A39" s="36"/>
      <c r="B39" s="29" t="s">
        <v>548</v>
      </c>
      <c r="C39" s="30">
        <v>126804</v>
      </c>
      <c r="D39" s="30">
        <v>0</v>
      </c>
      <c r="E39" s="30">
        <v>0</v>
      </c>
      <c r="F39" s="30"/>
      <c r="G39" s="30"/>
      <c r="H39" s="30"/>
      <c r="I39" s="30"/>
      <c r="J39" s="30"/>
      <c r="K39" s="30"/>
      <c r="L39" s="567">
        <f t="shared" si="1"/>
        <v>126804</v>
      </c>
      <c r="M39" s="722">
        <f>D39+G39+I39</f>
        <v>0</v>
      </c>
      <c r="N39" s="718"/>
    </row>
    <row r="40" spans="1:14" ht="14.25" customHeight="1" thickBot="1">
      <c r="A40" s="35"/>
      <c r="B40" s="32" t="s">
        <v>549</v>
      </c>
      <c r="C40" s="33">
        <f>C38*0.01</f>
        <v>16960.03</v>
      </c>
      <c r="D40" s="33">
        <v>0</v>
      </c>
      <c r="E40" s="33">
        <v>0</v>
      </c>
      <c r="F40" s="33"/>
      <c r="G40" s="33"/>
      <c r="H40" s="33"/>
      <c r="I40" s="33"/>
      <c r="J40" s="33"/>
      <c r="K40" s="33"/>
      <c r="L40" s="568">
        <f t="shared" si="1"/>
        <v>16960.03</v>
      </c>
      <c r="M40" s="568">
        <f>SUM(D40:J40)</f>
        <v>0</v>
      </c>
      <c r="N40" s="719"/>
    </row>
    <row r="41" spans="1:14" ht="14.25" customHeight="1">
      <c r="A41" s="1183" t="s">
        <v>559</v>
      </c>
      <c r="B41" s="1184"/>
      <c r="C41" s="34">
        <f>C38-C39</f>
        <v>1569199</v>
      </c>
      <c r="D41" s="34">
        <v>0</v>
      </c>
      <c r="E41" s="34">
        <v>0</v>
      </c>
      <c r="F41" s="34"/>
      <c r="G41" s="34"/>
      <c r="H41" s="34"/>
      <c r="I41" s="34"/>
      <c r="J41" s="34"/>
      <c r="K41" s="569"/>
      <c r="L41" s="570">
        <f t="shared" si="1"/>
        <v>1569199</v>
      </c>
      <c r="M41" s="721">
        <f>D41+G41+I41</f>
        <v>0</v>
      </c>
      <c r="N41" s="717"/>
    </row>
    <row r="42" spans="1:14" ht="14.25" customHeight="1">
      <c r="A42" s="36"/>
      <c r="B42" s="29" t="s">
        <v>548</v>
      </c>
      <c r="C42" s="30">
        <v>132087</v>
      </c>
      <c r="D42" s="30">
        <v>0</v>
      </c>
      <c r="E42" s="30">
        <v>0</v>
      </c>
      <c r="F42" s="30"/>
      <c r="G42" s="30"/>
      <c r="H42" s="30"/>
      <c r="I42" s="30"/>
      <c r="J42" s="30"/>
      <c r="K42" s="30"/>
      <c r="L42" s="567">
        <f t="shared" si="1"/>
        <v>132087</v>
      </c>
      <c r="M42" s="722">
        <f>D42+G42+I42</f>
        <v>0</v>
      </c>
      <c r="N42" s="718"/>
    </row>
    <row r="43" spans="1:14" ht="14.25" customHeight="1" thickBot="1">
      <c r="A43" s="35"/>
      <c r="B43" s="32" t="s">
        <v>549</v>
      </c>
      <c r="C43" s="33">
        <f>C41*0.01</f>
        <v>15691.99</v>
      </c>
      <c r="D43" s="33">
        <v>0</v>
      </c>
      <c r="E43" s="33">
        <v>0</v>
      </c>
      <c r="F43" s="33"/>
      <c r="G43" s="33"/>
      <c r="H43" s="33"/>
      <c r="I43" s="33"/>
      <c r="J43" s="33"/>
      <c r="K43" s="33"/>
      <c r="L43" s="568">
        <f t="shared" si="1"/>
        <v>15691.99</v>
      </c>
      <c r="M43" s="568">
        <f>SUM(D43:J43)</f>
        <v>0</v>
      </c>
      <c r="N43" s="719"/>
    </row>
    <row r="44" spans="1:14" ht="14.25" customHeight="1">
      <c r="A44" s="1183" t="s">
        <v>560</v>
      </c>
      <c r="B44" s="1184"/>
      <c r="C44" s="34">
        <f>C41-C42</f>
        <v>1437112</v>
      </c>
      <c r="D44" s="34">
        <v>0</v>
      </c>
      <c r="E44" s="34">
        <v>0</v>
      </c>
      <c r="F44" s="34"/>
      <c r="G44" s="34"/>
      <c r="H44" s="34"/>
      <c r="I44" s="34"/>
      <c r="J44" s="34"/>
      <c r="K44" s="569"/>
      <c r="L44" s="570">
        <f t="shared" si="1"/>
        <v>1437112</v>
      </c>
      <c r="M44" s="721">
        <f>D44+G44+I44</f>
        <v>0</v>
      </c>
      <c r="N44" s="717"/>
    </row>
    <row r="45" spans="1:14" ht="14.25" customHeight="1">
      <c r="A45" s="36"/>
      <c r="B45" s="29" t="s">
        <v>548</v>
      </c>
      <c r="C45" s="30">
        <v>163788</v>
      </c>
      <c r="D45" s="30">
        <v>0</v>
      </c>
      <c r="E45" s="30">
        <v>0</v>
      </c>
      <c r="F45" s="30"/>
      <c r="G45" s="30"/>
      <c r="H45" s="30"/>
      <c r="I45" s="30"/>
      <c r="J45" s="30"/>
      <c r="K45" s="30"/>
      <c r="L45" s="567">
        <f t="shared" si="1"/>
        <v>163788</v>
      </c>
      <c r="M45" s="722">
        <f>D45+G45+I45</f>
        <v>0</v>
      </c>
      <c r="N45" s="718"/>
    </row>
    <row r="46" spans="1:14" ht="14.25" customHeight="1" thickBot="1">
      <c r="A46" s="35"/>
      <c r="B46" s="32" t="s">
        <v>549</v>
      </c>
      <c r="C46" s="33">
        <f>C44*0.01</f>
        <v>14371.12</v>
      </c>
      <c r="D46" s="33">
        <v>0</v>
      </c>
      <c r="E46" s="33">
        <v>0</v>
      </c>
      <c r="F46" s="33"/>
      <c r="G46" s="33"/>
      <c r="H46" s="33"/>
      <c r="I46" s="33"/>
      <c r="J46" s="33"/>
      <c r="K46" s="33"/>
      <c r="L46" s="568">
        <f t="shared" si="1"/>
        <v>14371.12</v>
      </c>
      <c r="M46" s="568">
        <f>SUM(D46:J46)</f>
        <v>0</v>
      </c>
      <c r="N46" s="719"/>
    </row>
    <row r="47" spans="1:14" ht="14.25" customHeight="1">
      <c r="A47" s="1183" t="s">
        <v>561</v>
      </c>
      <c r="B47" s="1184"/>
      <c r="C47" s="34">
        <f>C44-C45</f>
        <v>1273324</v>
      </c>
      <c r="D47" s="34">
        <v>0</v>
      </c>
      <c r="E47" s="34">
        <v>0</v>
      </c>
      <c r="F47" s="34"/>
      <c r="G47" s="34"/>
      <c r="H47" s="34"/>
      <c r="I47" s="34"/>
      <c r="J47" s="34"/>
      <c r="K47" s="569"/>
      <c r="L47" s="570">
        <f t="shared" si="1"/>
        <v>1273324</v>
      </c>
      <c r="M47" s="721">
        <f>D47+G47+I47</f>
        <v>0</v>
      </c>
      <c r="N47" s="717"/>
    </row>
    <row r="48" spans="1:14" ht="14.25" customHeight="1">
      <c r="A48" s="36"/>
      <c r="B48" s="29" t="s">
        <v>548</v>
      </c>
      <c r="C48" s="30">
        <v>174355</v>
      </c>
      <c r="D48" s="30">
        <v>0</v>
      </c>
      <c r="E48" s="30">
        <v>0</v>
      </c>
      <c r="F48" s="30"/>
      <c r="G48" s="30"/>
      <c r="H48" s="30"/>
      <c r="I48" s="30"/>
      <c r="J48" s="30"/>
      <c r="K48" s="30"/>
      <c r="L48" s="567">
        <f t="shared" si="1"/>
        <v>174355</v>
      </c>
      <c r="M48" s="722">
        <f>D48+G48+I48</f>
        <v>0</v>
      </c>
      <c r="N48" s="718"/>
    </row>
    <row r="49" spans="1:14" ht="14.25" customHeight="1" thickBot="1">
      <c r="A49" s="35"/>
      <c r="B49" s="32" t="s">
        <v>549</v>
      </c>
      <c r="C49" s="33">
        <f>C47*0.01</f>
        <v>12733.24</v>
      </c>
      <c r="D49" s="33">
        <v>0</v>
      </c>
      <c r="E49" s="33">
        <v>0</v>
      </c>
      <c r="F49" s="33"/>
      <c r="G49" s="33"/>
      <c r="H49" s="33"/>
      <c r="I49" s="33"/>
      <c r="J49" s="33"/>
      <c r="K49" s="33"/>
      <c r="L49" s="568">
        <f t="shared" si="1"/>
        <v>12733.24</v>
      </c>
      <c r="M49" s="568">
        <f>SUM(D49:J49)</f>
        <v>0</v>
      </c>
      <c r="N49" s="719"/>
    </row>
    <row r="50" spans="1:14" ht="14.25" customHeight="1">
      <c r="A50" s="1183" t="s">
        <v>562</v>
      </c>
      <c r="B50" s="1184"/>
      <c r="C50" s="34">
        <f>C47-C48</f>
        <v>1098969</v>
      </c>
      <c r="D50" s="34">
        <v>0</v>
      </c>
      <c r="E50" s="34">
        <v>0</v>
      </c>
      <c r="F50" s="34"/>
      <c r="G50" s="34"/>
      <c r="H50" s="34"/>
      <c r="I50" s="34"/>
      <c r="J50" s="34"/>
      <c r="K50" s="569"/>
      <c r="L50" s="570">
        <f t="shared" si="1"/>
        <v>1098969</v>
      </c>
      <c r="M50" s="721">
        <f>D50+G50+I50</f>
        <v>0</v>
      </c>
      <c r="N50" s="717"/>
    </row>
    <row r="51" spans="1:14" ht="14.25" customHeight="1">
      <c r="A51" s="36"/>
      <c r="B51" s="29" t="s">
        <v>548</v>
      </c>
      <c r="C51" s="30">
        <v>184922</v>
      </c>
      <c r="D51" s="30">
        <v>0</v>
      </c>
      <c r="E51" s="30">
        <v>0</v>
      </c>
      <c r="F51" s="30"/>
      <c r="G51" s="30"/>
      <c r="H51" s="30"/>
      <c r="I51" s="30"/>
      <c r="J51" s="30"/>
      <c r="K51" s="30"/>
      <c r="L51" s="567">
        <f t="shared" si="1"/>
        <v>184922</v>
      </c>
      <c r="M51" s="722">
        <f>D51+G51+I51</f>
        <v>0</v>
      </c>
      <c r="N51" s="718"/>
    </row>
    <row r="52" spans="1:14" ht="14.25" customHeight="1" thickBot="1">
      <c r="A52" s="31"/>
      <c r="B52" s="32" t="s">
        <v>549</v>
      </c>
      <c r="C52" s="33">
        <f>C50*0.01</f>
        <v>10989.69</v>
      </c>
      <c r="D52" s="33">
        <v>0</v>
      </c>
      <c r="E52" s="33">
        <v>0</v>
      </c>
      <c r="F52" s="32"/>
      <c r="G52" s="32"/>
      <c r="H52" s="32"/>
      <c r="I52" s="32"/>
      <c r="J52" s="32"/>
      <c r="K52" s="32"/>
      <c r="L52" s="568">
        <f t="shared" si="1"/>
        <v>10989.69</v>
      </c>
      <c r="M52" s="568">
        <f>SUM(D52:J52)</f>
        <v>0</v>
      </c>
      <c r="N52" s="719"/>
    </row>
    <row r="53" spans="1:14" ht="14.25" customHeight="1">
      <c r="A53" s="1183" t="s">
        <v>563</v>
      </c>
      <c r="B53" s="1184"/>
      <c r="C53" s="34">
        <f>C50-C51</f>
        <v>914047</v>
      </c>
      <c r="D53" s="34">
        <v>0</v>
      </c>
      <c r="E53" s="34">
        <v>0</v>
      </c>
      <c r="F53" s="34"/>
      <c r="G53" s="34"/>
      <c r="H53" s="34"/>
      <c r="I53" s="34"/>
      <c r="J53" s="34"/>
      <c r="K53" s="569"/>
      <c r="L53" s="570">
        <f t="shared" si="1"/>
        <v>914047</v>
      </c>
      <c r="M53" s="721">
        <f>D53+G53+I53</f>
        <v>0</v>
      </c>
      <c r="N53" s="717"/>
    </row>
    <row r="54" spans="1:14" ht="14.25" customHeight="1">
      <c r="A54" s="36"/>
      <c r="B54" s="29" t="s">
        <v>548</v>
      </c>
      <c r="C54" s="30">
        <v>195489</v>
      </c>
      <c r="D54" s="30">
        <v>0</v>
      </c>
      <c r="E54" s="30">
        <v>0</v>
      </c>
      <c r="F54" s="30"/>
      <c r="G54" s="30"/>
      <c r="H54" s="30"/>
      <c r="I54" s="30"/>
      <c r="J54" s="30"/>
      <c r="K54" s="30"/>
      <c r="L54" s="567">
        <f t="shared" si="1"/>
        <v>195489</v>
      </c>
      <c r="M54" s="722">
        <f>D54+G54+I54</f>
        <v>0</v>
      </c>
      <c r="N54" s="718"/>
    </row>
    <row r="55" spans="1:14" ht="14.25" customHeight="1" thickBot="1">
      <c r="A55" s="31"/>
      <c r="B55" s="32" t="s">
        <v>549</v>
      </c>
      <c r="C55" s="33">
        <f>C53*0.01</f>
        <v>9140.47</v>
      </c>
      <c r="D55" s="33">
        <v>0</v>
      </c>
      <c r="E55" s="33">
        <v>0</v>
      </c>
      <c r="F55" s="32"/>
      <c r="G55" s="32"/>
      <c r="H55" s="32"/>
      <c r="I55" s="32"/>
      <c r="J55" s="32"/>
      <c r="K55" s="32"/>
      <c r="L55" s="568">
        <f t="shared" si="1"/>
        <v>9140.47</v>
      </c>
      <c r="M55" s="568">
        <f>SUM(D55:J55)</f>
        <v>0</v>
      </c>
      <c r="N55" s="719"/>
    </row>
    <row r="56" spans="1:14" ht="14.25" customHeight="1">
      <c r="A56" s="1183" t="s">
        <v>564</v>
      </c>
      <c r="B56" s="1184"/>
      <c r="C56" s="34">
        <f>C53-C54</f>
        <v>718558</v>
      </c>
      <c r="D56" s="34">
        <v>0</v>
      </c>
      <c r="E56" s="34">
        <v>0</v>
      </c>
      <c r="F56" s="34"/>
      <c r="G56" s="34"/>
      <c r="H56" s="34"/>
      <c r="I56" s="34"/>
      <c r="J56" s="34"/>
      <c r="K56" s="569"/>
      <c r="L56" s="570">
        <f t="shared" si="1"/>
        <v>718558</v>
      </c>
      <c r="M56" s="721">
        <f>D56+G56+I56</f>
        <v>0</v>
      </c>
      <c r="N56" s="717"/>
    </row>
    <row r="57" spans="1:14" ht="14.25" customHeight="1">
      <c r="A57" s="36"/>
      <c r="B57" s="29" t="s">
        <v>548</v>
      </c>
      <c r="C57" s="30">
        <v>221907</v>
      </c>
      <c r="D57" s="30">
        <v>0</v>
      </c>
      <c r="E57" s="30">
        <v>0</v>
      </c>
      <c r="F57" s="30"/>
      <c r="G57" s="30"/>
      <c r="H57" s="30"/>
      <c r="I57" s="30"/>
      <c r="J57" s="30"/>
      <c r="K57" s="30"/>
      <c r="L57" s="567">
        <f t="shared" si="1"/>
        <v>221907</v>
      </c>
      <c r="M57" s="722">
        <f>D57+G57+I57</f>
        <v>0</v>
      </c>
      <c r="N57" s="718"/>
    </row>
    <row r="58" spans="1:14" ht="14.25" customHeight="1" thickBot="1">
      <c r="A58" s="31"/>
      <c r="B58" s="32" t="s">
        <v>549</v>
      </c>
      <c r="C58" s="33">
        <f>C56*0.01</f>
        <v>7185.58</v>
      </c>
      <c r="D58" s="33">
        <v>0</v>
      </c>
      <c r="E58" s="33">
        <v>0</v>
      </c>
      <c r="F58" s="32"/>
      <c r="G58" s="32"/>
      <c r="H58" s="32"/>
      <c r="I58" s="32"/>
      <c r="J58" s="32"/>
      <c r="K58" s="32"/>
      <c r="L58" s="568">
        <f t="shared" si="1"/>
        <v>7185.58</v>
      </c>
      <c r="M58" s="568">
        <f>SUM(D58:J58)</f>
        <v>0</v>
      </c>
      <c r="N58" s="719"/>
    </row>
    <row r="59" spans="1:14" ht="14.25" customHeight="1">
      <c r="A59" s="1183" t="s">
        <v>565</v>
      </c>
      <c r="B59" s="1184"/>
      <c r="C59" s="34">
        <f>C56-C57</f>
        <v>496651</v>
      </c>
      <c r="D59" s="34">
        <v>0</v>
      </c>
      <c r="E59" s="34">
        <v>0</v>
      </c>
      <c r="F59" s="34"/>
      <c r="G59" s="34"/>
      <c r="H59" s="34"/>
      <c r="I59" s="34"/>
      <c r="J59" s="34"/>
      <c r="K59" s="569"/>
      <c r="L59" s="570">
        <f t="shared" si="1"/>
        <v>496651</v>
      </c>
      <c r="M59" s="721">
        <f>D59+G59+I59</f>
        <v>0</v>
      </c>
      <c r="N59" s="717"/>
    </row>
    <row r="60" spans="1:14" ht="14.25" customHeight="1">
      <c r="A60" s="36"/>
      <c r="B60" s="29" t="s">
        <v>548</v>
      </c>
      <c r="C60" s="30">
        <v>232474</v>
      </c>
      <c r="D60" s="30">
        <v>0</v>
      </c>
      <c r="E60" s="30">
        <v>0</v>
      </c>
      <c r="F60" s="30"/>
      <c r="G60" s="30"/>
      <c r="H60" s="30"/>
      <c r="I60" s="30"/>
      <c r="J60" s="30"/>
      <c r="K60" s="30"/>
      <c r="L60" s="567">
        <f t="shared" si="1"/>
        <v>232474</v>
      </c>
      <c r="M60" s="722">
        <f>D60+G60+I60</f>
        <v>0</v>
      </c>
      <c r="N60" s="718"/>
    </row>
    <row r="61" spans="1:14" ht="14.25" customHeight="1" thickBot="1">
      <c r="A61" s="31"/>
      <c r="B61" s="32" t="s">
        <v>549</v>
      </c>
      <c r="C61" s="33">
        <f>C59*0.01</f>
        <v>4966.51</v>
      </c>
      <c r="D61" s="33">
        <v>0</v>
      </c>
      <c r="E61" s="33">
        <v>0</v>
      </c>
      <c r="F61" s="32"/>
      <c r="G61" s="32"/>
      <c r="H61" s="32"/>
      <c r="I61" s="32"/>
      <c r="J61" s="32"/>
      <c r="K61" s="32"/>
      <c r="L61" s="568">
        <f t="shared" si="1"/>
        <v>4966.51</v>
      </c>
      <c r="M61" s="568">
        <f>SUM(D61:J61)</f>
        <v>0</v>
      </c>
      <c r="N61" s="719"/>
    </row>
    <row r="62" spans="1:14" ht="14.25" customHeight="1">
      <c r="A62" s="1183" t="s">
        <v>566</v>
      </c>
      <c r="B62" s="1184"/>
      <c r="C62" s="34">
        <f>C59-C60</f>
        <v>264177</v>
      </c>
      <c r="D62" s="34">
        <v>0</v>
      </c>
      <c r="E62" s="34">
        <v>0</v>
      </c>
      <c r="F62" s="34"/>
      <c r="G62" s="34"/>
      <c r="H62" s="34"/>
      <c r="I62" s="34"/>
      <c r="J62" s="34"/>
      <c r="K62" s="569"/>
      <c r="L62" s="570">
        <f t="shared" si="1"/>
        <v>264177</v>
      </c>
      <c r="M62" s="721">
        <f>D62+G62+I62</f>
        <v>0</v>
      </c>
      <c r="N62" s="717"/>
    </row>
    <row r="63" spans="1:14" ht="14.25" customHeight="1">
      <c r="A63" s="36"/>
      <c r="B63" s="29" t="s">
        <v>548</v>
      </c>
      <c r="C63" s="30">
        <v>264177</v>
      </c>
      <c r="D63" s="30">
        <v>0</v>
      </c>
      <c r="E63" s="30">
        <v>0</v>
      </c>
      <c r="F63" s="30"/>
      <c r="G63" s="30"/>
      <c r="H63" s="30"/>
      <c r="I63" s="30"/>
      <c r="J63" s="30"/>
      <c r="K63" s="30"/>
      <c r="L63" s="567">
        <f t="shared" si="1"/>
        <v>264177</v>
      </c>
      <c r="M63" s="722">
        <f>D63+G63+I63</f>
        <v>0</v>
      </c>
      <c r="N63" s="718"/>
    </row>
    <row r="64" spans="1:14" ht="14.25" customHeight="1" thickBot="1">
      <c r="A64" s="31"/>
      <c r="B64" s="32" t="s">
        <v>549</v>
      </c>
      <c r="C64" s="33">
        <f>C62*0.01</f>
        <v>2641.77</v>
      </c>
      <c r="D64" s="33">
        <v>0</v>
      </c>
      <c r="E64" s="33">
        <v>0</v>
      </c>
      <c r="F64" s="32"/>
      <c r="G64" s="32"/>
      <c r="H64" s="32"/>
      <c r="I64" s="32"/>
      <c r="J64" s="32"/>
      <c r="K64" s="32"/>
      <c r="L64" s="568">
        <f t="shared" si="1"/>
        <v>2641.77</v>
      </c>
      <c r="M64" s="723">
        <f>D64+G64+I64</f>
        <v>0</v>
      </c>
      <c r="N64" s="719"/>
    </row>
    <row r="65" ht="14.25" customHeight="1">
      <c r="M65" s="401"/>
    </row>
    <row r="67" spans="1:11" ht="14.25" customHeight="1">
      <c r="A67" s="383"/>
      <c r="B67"/>
      <c r="C67" s="1187" t="s">
        <v>754</v>
      </c>
      <c r="D67" s="1187"/>
      <c r="E67" s="1187"/>
      <c r="F67" s="1187"/>
      <c r="G67" s="1187"/>
      <c r="H67" s="1187"/>
      <c r="I67" s="1187"/>
      <c r="J67" s="317"/>
      <c r="K67" s="317"/>
    </row>
    <row r="68" ht="14.25" customHeight="1" thickBot="1"/>
    <row r="69" spans="1:12" ht="14.25" customHeight="1">
      <c r="A69"/>
      <c r="B69" s="38"/>
      <c r="C69" s="1185" t="s">
        <v>121</v>
      </c>
      <c r="D69" s="1188" t="s">
        <v>163</v>
      </c>
      <c r="E69" s="1189"/>
      <c r="F69" s="1189"/>
      <c r="G69" s="1189"/>
      <c r="H69" s="1189"/>
      <c r="I69" s="1189"/>
      <c r="J69" s="1190"/>
      <c r="K69" s="1190"/>
      <c r="L69" s="1191"/>
    </row>
    <row r="70" spans="1:12" ht="14.25" customHeight="1">
      <c r="A70" s="38"/>
      <c r="B70" s="38"/>
      <c r="C70" s="1186"/>
      <c r="D70" s="1192" t="s">
        <v>567</v>
      </c>
      <c r="E70" s="1193"/>
      <c r="F70" s="1193"/>
      <c r="G70" s="1193"/>
      <c r="H70" s="1193"/>
      <c r="I70" s="1193"/>
      <c r="J70" s="1194"/>
      <c r="K70" s="1194"/>
      <c r="L70" s="1195"/>
    </row>
    <row r="71" spans="1:13" s="389" customFormat="1" ht="51.75" customHeight="1">
      <c r="A71" s="384"/>
      <c r="B71" s="384"/>
      <c r="C71" s="1186"/>
      <c r="D71" s="385" t="s">
        <v>755</v>
      </c>
      <c r="E71" s="385" t="s">
        <v>889</v>
      </c>
      <c r="F71" s="385" t="s">
        <v>955</v>
      </c>
      <c r="G71" s="386" t="s">
        <v>1026</v>
      </c>
      <c r="H71" s="386" t="s">
        <v>1027</v>
      </c>
      <c r="I71" s="386" t="s">
        <v>1028</v>
      </c>
      <c r="J71" s="921" t="s">
        <v>756</v>
      </c>
      <c r="K71" s="571" t="s">
        <v>956</v>
      </c>
      <c r="L71" s="387" t="s">
        <v>957</v>
      </c>
      <c r="M71" s="388"/>
    </row>
    <row r="72" spans="1:12" ht="14.25" customHeight="1">
      <c r="A72"/>
      <c r="B72"/>
      <c r="C72" s="390" t="s">
        <v>568</v>
      </c>
      <c r="D72" s="391"/>
      <c r="E72" s="29"/>
      <c r="F72" s="29"/>
      <c r="G72" s="392"/>
      <c r="H72" s="572"/>
      <c r="I72" s="29"/>
      <c r="J72" s="922"/>
      <c r="K72" s="572"/>
      <c r="L72" s="393"/>
    </row>
    <row r="73" spans="1:12" ht="14.25" customHeight="1">
      <c r="A73"/>
      <c r="B73"/>
      <c r="C73" s="390" t="s">
        <v>569</v>
      </c>
      <c r="D73" s="394">
        <v>801</v>
      </c>
      <c r="E73" s="395">
        <v>801</v>
      </c>
      <c r="F73" s="395">
        <v>801</v>
      </c>
      <c r="G73" s="925">
        <v>0</v>
      </c>
      <c r="H73" s="925">
        <v>0</v>
      </c>
      <c r="I73" s="30">
        <v>1000</v>
      </c>
      <c r="J73" s="923">
        <f aca="true" t="shared" si="3" ref="J73:L74">SUM(D73+G73)</f>
        <v>801</v>
      </c>
      <c r="K73" s="573">
        <f t="shared" si="3"/>
        <v>801</v>
      </c>
      <c r="L73" s="396">
        <f t="shared" si="3"/>
        <v>1801</v>
      </c>
    </row>
    <row r="74" spans="1:12" ht="14.25" customHeight="1" thickBot="1">
      <c r="A74"/>
      <c r="B74"/>
      <c r="C74" s="397" t="s">
        <v>570</v>
      </c>
      <c r="D74" s="398">
        <v>7</v>
      </c>
      <c r="E74" s="399">
        <v>7</v>
      </c>
      <c r="F74" s="399">
        <v>7</v>
      </c>
      <c r="G74" s="926">
        <v>0</v>
      </c>
      <c r="H74" s="927">
        <v>0</v>
      </c>
      <c r="I74" s="33">
        <v>0</v>
      </c>
      <c r="J74" s="924">
        <f t="shared" si="3"/>
        <v>7</v>
      </c>
      <c r="K74" s="574">
        <f t="shared" si="3"/>
        <v>7</v>
      </c>
      <c r="L74" s="400">
        <f t="shared" si="3"/>
        <v>7</v>
      </c>
    </row>
    <row r="76" ht="14.25" customHeight="1">
      <c r="A76" s="242" t="s">
        <v>1101</v>
      </c>
    </row>
    <row r="77" ht="14.25" customHeight="1">
      <c r="A77" s="1" t="s">
        <v>1102</v>
      </c>
    </row>
    <row r="78" ht="14.25" customHeight="1">
      <c r="A78" s="1" t="s">
        <v>1103</v>
      </c>
    </row>
    <row r="79" ht="14.25" customHeight="1">
      <c r="A79" s="1" t="s">
        <v>1148</v>
      </c>
    </row>
  </sheetData>
  <sheetProtection/>
  <mergeCells count="40">
    <mergeCell ref="A1:N1"/>
    <mergeCell ref="F8:F10"/>
    <mergeCell ref="J8:J10"/>
    <mergeCell ref="A6:B10"/>
    <mergeCell ref="C7:C10"/>
    <mergeCell ref="A3:N3"/>
    <mergeCell ref="A4:N4"/>
    <mergeCell ref="N6:N10"/>
    <mergeCell ref="L6:L10"/>
    <mergeCell ref="M6:M10"/>
    <mergeCell ref="A20:B20"/>
    <mergeCell ref="H8:H10"/>
    <mergeCell ref="K8:K10"/>
    <mergeCell ref="E7:E10"/>
    <mergeCell ref="A23:B23"/>
    <mergeCell ref="A11:B11"/>
    <mergeCell ref="A14:B14"/>
    <mergeCell ref="A17:B17"/>
    <mergeCell ref="D7:D10"/>
    <mergeCell ref="G8:G10"/>
    <mergeCell ref="I8:I10"/>
    <mergeCell ref="C6:K6"/>
    <mergeCell ref="F7:K7"/>
    <mergeCell ref="A29:B29"/>
    <mergeCell ref="A32:B32"/>
    <mergeCell ref="A59:B59"/>
    <mergeCell ref="A26:B26"/>
    <mergeCell ref="A41:B41"/>
    <mergeCell ref="A56:B56"/>
    <mergeCell ref="A53:B53"/>
    <mergeCell ref="A50:B50"/>
    <mergeCell ref="A44:B44"/>
    <mergeCell ref="A35:B35"/>
    <mergeCell ref="A38:B38"/>
    <mergeCell ref="C69:C71"/>
    <mergeCell ref="A47:B47"/>
    <mergeCell ref="A62:B62"/>
    <mergeCell ref="C67:I67"/>
    <mergeCell ref="D69:L69"/>
    <mergeCell ref="D70:L70"/>
  </mergeCells>
  <printOptions horizontalCentered="1"/>
  <pageMargins left="0.2362204724409449" right="0.2362204724409449" top="0.6333333333333333" bottom="0.8661417322834646" header="0.1968503937007874" footer="0.1968503937007874"/>
  <pageSetup horizontalDpi="600" verticalDpi="600" orientation="portrait" paperSize="9" scale="59" r:id="rId1"/>
  <headerFooter alignWithMargins="0">
    <oddHeader xml:space="preserve">&amp;L 14. melléklet 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2:H36"/>
  <sheetViews>
    <sheetView view="pageLayout" zoomScaleSheetLayoutView="87" workbookViewId="0" topLeftCell="A1">
      <selection activeCell="A36" sqref="A36"/>
    </sheetView>
  </sheetViews>
  <sheetFormatPr defaultColWidth="9.00390625" defaultRowHeight="12.75"/>
  <cols>
    <col min="1" max="1" width="60.75390625" style="184" customWidth="1"/>
    <col min="2" max="2" width="10.75390625" style="184" customWidth="1"/>
    <col min="3" max="3" width="12.875" style="184" customWidth="1"/>
    <col min="4" max="4" width="13.25390625" style="184" customWidth="1"/>
    <col min="5" max="5" width="58.625" style="184" customWidth="1"/>
    <col min="6" max="6" width="10.75390625" style="184" customWidth="1"/>
    <col min="7" max="7" width="12.75390625" style="184" customWidth="1"/>
    <col min="8" max="8" width="13.00390625" style="184" customWidth="1"/>
    <col min="9" max="9" width="15.625" style="184" customWidth="1"/>
    <col min="10" max="10" width="15.00390625" style="184" customWidth="1"/>
    <col min="11" max="16384" width="9.125" style="184" customWidth="1"/>
  </cols>
  <sheetData>
    <row r="1" s="180" customFormat="1" ht="12.75"/>
    <row r="2" spans="1:8" s="180" customFormat="1" ht="12.75">
      <c r="A2" s="1218" t="s">
        <v>538</v>
      </c>
      <c r="B2" s="1218"/>
      <c r="C2" s="1218"/>
      <c r="D2" s="1218"/>
      <c r="E2" s="1218"/>
      <c r="F2" s="1218"/>
      <c r="G2" s="1032"/>
      <c r="H2" s="1032"/>
    </row>
    <row r="3" s="180" customFormat="1" ht="12.75"/>
    <row r="4" s="180" customFormat="1" ht="12.75">
      <c r="A4" s="181" t="s">
        <v>539</v>
      </c>
    </row>
    <row r="5" s="180" customFormat="1" ht="13.5" thickBot="1"/>
    <row r="6" spans="1:8" s="180" customFormat="1" ht="13.5" thickBot="1">
      <c r="A6" s="1221" t="s">
        <v>577</v>
      </c>
      <c r="B6" s="1222"/>
      <c r="C6" s="1223"/>
      <c r="D6" s="1224"/>
      <c r="E6" s="1221" t="s">
        <v>540</v>
      </c>
      <c r="F6" s="1222"/>
      <c r="G6" s="1229"/>
      <c r="H6" s="1230"/>
    </row>
    <row r="7" spans="1:8" s="180" customFormat="1" ht="13.5" thickBot="1">
      <c r="A7" s="185" t="s">
        <v>121</v>
      </c>
      <c r="B7" s="367" t="s">
        <v>162</v>
      </c>
      <c r="C7" s="575" t="s">
        <v>888</v>
      </c>
      <c r="D7" s="703" t="s">
        <v>947</v>
      </c>
      <c r="E7" s="185" t="s">
        <v>121</v>
      </c>
      <c r="F7" s="367" t="s">
        <v>162</v>
      </c>
      <c r="G7" s="575" t="s">
        <v>888</v>
      </c>
      <c r="H7" s="703" t="s">
        <v>947</v>
      </c>
    </row>
    <row r="8" spans="1:8" s="180" customFormat="1" ht="12.75">
      <c r="A8" s="193" t="s">
        <v>539</v>
      </c>
      <c r="B8" s="326">
        <v>50000</v>
      </c>
      <c r="C8" s="633">
        <v>2174</v>
      </c>
      <c r="D8" s="787">
        <v>2174</v>
      </c>
      <c r="E8" s="629" t="s">
        <v>38</v>
      </c>
      <c r="F8" s="318">
        <f>SUM(F9:F11)</f>
        <v>50000</v>
      </c>
      <c r="G8" s="704">
        <f>SUM(G9:G12)</f>
        <v>12172</v>
      </c>
      <c r="H8" s="626">
        <f>SUM(H9:H12)</f>
        <v>12172</v>
      </c>
    </row>
    <row r="9" spans="1:8" s="180" customFormat="1" ht="25.5">
      <c r="A9" s="186"/>
      <c r="B9" s="327"/>
      <c r="C9" s="319"/>
      <c r="D9" s="788"/>
      <c r="E9" s="630" t="s">
        <v>76</v>
      </c>
      <c r="F9" s="319">
        <v>15000</v>
      </c>
      <c r="G9" s="320"/>
      <c r="H9" s="790"/>
    </row>
    <row r="10" spans="1:8" s="180" customFormat="1" ht="12.75">
      <c r="A10" s="371" t="s">
        <v>544</v>
      </c>
      <c r="B10" s="327"/>
      <c r="C10" s="576">
        <f>SUM(C11)</f>
        <v>9998</v>
      </c>
      <c r="D10" s="789">
        <f>SUM(D11)</f>
        <v>9998</v>
      </c>
      <c r="E10" s="186" t="s">
        <v>77</v>
      </c>
      <c r="F10" s="320">
        <v>15000</v>
      </c>
      <c r="G10" s="320"/>
      <c r="H10" s="790"/>
    </row>
    <row r="11" spans="1:8" s="180" customFormat="1" ht="12.75">
      <c r="A11" s="186" t="s">
        <v>747</v>
      </c>
      <c r="B11" s="327"/>
      <c r="C11" s="320">
        <v>9998</v>
      </c>
      <c r="D11" s="790">
        <v>9998</v>
      </c>
      <c r="E11" s="188" t="s">
        <v>78</v>
      </c>
      <c r="F11" s="320">
        <v>20000</v>
      </c>
      <c r="G11" s="320">
        <v>9998</v>
      </c>
      <c r="H11" s="790">
        <v>9998</v>
      </c>
    </row>
    <row r="12" spans="1:8" s="180" customFormat="1" ht="13.5" thickBot="1">
      <c r="A12" s="368"/>
      <c r="B12" s="369"/>
      <c r="C12" s="370"/>
      <c r="D12" s="791"/>
      <c r="E12" s="631" t="s">
        <v>38</v>
      </c>
      <c r="F12" s="370"/>
      <c r="G12" s="792">
        <v>2174</v>
      </c>
      <c r="H12" s="793">
        <v>2174</v>
      </c>
    </row>
    <row r="13" spans="1:8" s="180" customFormat="1" ht="13.5" thickBot="1">
      <c r="A13" s="185" t="s">
        <v>500</v>
      </c>
      <c r="B13" s="328">
        <f>SUM(B8+B10)</f>
        <v>50000</v>
      </c>
      <c r="C13" s="321">
        <f>SUM(C8+C10)</f>
        <v>12172</v>
      </c>
      <c r="D13" s="632">
        <f>SUM(D8+D10)</f>
        <v>12172</v>
      </c>
      <c r="E13" s="185" t="s">
        <v>500</v>
      </c>
      <c r="F13" s="321">
        <f>SUM(F8)</f>
        <v>50000</v>
      </c>
      <c r="G13" s="321">
        <f>SUM(G8)</f>
        <v>12172</v>
      </c>
      <c r="H13" s="632">
        <f>SUM(H8)</f>
        <v>12172</v>
      </c>
    </row>
    <row r="14" s="180" customFormat="1" ht="12.75"/>
    <row r="15" s="180" customFormat="1" ht="12.75"/>
    <row r="16" spans="1:8" s="180" customFormat="1" ht="12.75">
      <c r="A16" s="1219" t="s">
        <v>541</v>
      </c>
      <c r="B16" s="1220"/>
      <c r="C16" s="1220"/>
      <c r="D16" s="1220"/>
      <c r="E16" s="1220"/>
      <c r="F16" s="1220"/>
      <c r="G16" s="1220"/>
      <c r="H16" s="1032"/>
    </row>
    <row r="17" s="180" customFormat="1" ht="13.5" thickBot="1"/>
    <row r="18" spans="1:8" s="180" customFormat="1" ht="13.5" thickBot="1">
      <c r="A18" s="1225" t="s">
        <v>577</v>
      </c>
      <c r="B18" s="1226"/>
      <c r="C18" s="1227"/>
      <c r="D18" s="1228"/>
      <c r="E18" s="1225" t="s">
        <v>540</v>
      </c>
      <c r="F18" s="1226"/>
      <c r="G18" s="1229"/>
      <c r="H18" s="1230"/>
    </row>
    <row r="19" spans="1:8" s="180" customFormat="1" ht="13.5" thickBot="1">
      <c r="A19" s="182" t="s">
        <v>121</v>
      </c>
      <c r="B19" s="367" t="s">
        <v>162</v>
      </c>
      <c r="C19" s="796" t="s">
        <v>888</v>
      </c>
      <c r="D19" s="703" t="s">
        <v>947</v>
      </c>
      <c r="E19" s="625" t="s">
        <v>121</v>
      </c>
      <c r="F19" s="367" t="s">
        <v>162</v>
      </c>
      <c r="G19" s="796" t="s">
        <v>888</v>
      </c>
      <c r="H19" s="703" t="s">
        <v>947</v>
      </c>
    </row>
    <row r="20" spans="1:8" s="180" customFormat="1" ht="12.75">
      <c r="A20" s="192" t="s">
        <v>544</v>
      </c>
      <c r="B20" s="329">
        <f>SUM(B21:B27)</f>
        <v>253237</v>
      </c>
      <c r="C20" s="799">
        <f>SUM(C21:C27)</f>
        <v>335140</v>
      </c>
      <c r="D20" s="705">
        <f>SUM(D21:D27)</f>
        <v>335140</v>
      </c>
      <c r="E20" s="192" t="s">
        <v>542</v>
      </c>
      <c r="F20" s="322">
        <f>SUM(F21:F28)</f>
        <v>300000</v>
      </c>
      <c r="G20" s="797">
        <f>SUM(G21:G28)</f>
        <v>424895</v>
      </c>
      <c r="H20" s="626">
        <f>SUM(H21:H28)</f>
        <v>424895</v>
      </c>
    </row>
    <row r="21" spans="1:8" s="180" customFormat="1" ht="12.75">
      <c r="A21" s="183" t="s">
        <v>543</v>
      </c>
      <c r="B21" s="330">
        <v>212032</v>
      </c>
      <c r="C21" s="324">
        <v>212032</v>
      </c>
      <c r="D21" s="794">
        <v>212032</v>
      </c>
      <c r="E21" s="183" t="s">
        <v>543</v>
      </c>
      <c r="F21" s="324">
        <v>212032</v>
      </c>
      <c r="G21" s="320">
        <v>213527</v>
      </c>
      <c r="H21" s="790">
        <v>213527</v>
      </c>
    </row>
    <row r="22" spans="1:8" s="180" customFormat="1" ht="38.25">
      <c r="A22" s="183" t="s">
        <v>165</v>
      </c>
      <c r="B22" s="330">
        <v>18867</v>
      </c>
      <c r="C22" s="324">
        <v>18867</v>
      </c>
      <c r="D22" s="794">
        <v>18867</v>
      </c>
      <c r="E22" s="183" t="s">
        <v>165</v>
      </c>
      <c r="F22" s="324">
        <v>18867</v>
      </c>
      <c r="G22" s="324">
        <v>28080</v>
      </c>
      <c r="H22" s="794">
        <v>28080</v>
      </c>
    </row>
    <row r="23" spans="1:8" s="180" customFormat="1" ht="38.25">
      <c r="A23" s="188" t="s">
        <v>181</v>
      </c>
      <c r="B23" s="330">
        <v>12340</v>
      </c>
      <c r="C23" s="324">
        <v>12340</v>
      </c>
      <c r="D23" s="794">
        <v>12340</v>
      </c>
      <c r="E23" s="188" t="s">
        <v>181</v>
      </c>
      <c r="F23" s="324">
        <v>12340</v>
      </c>
      <c r="G23" s="324">
        <v>12340</v>
      </c>
      <c r="H23" s="794">
        <v>12340</v>
      </c>
    </row>
    <row r="24" spans="1:8" s="180" customFormat="1" ht="25.5">
      <c r="A24" s="183" t="s">
        <v>184</v>
      </c>
      <c r="B24" s="330">
        <v>9998</v>
      </c>
      <c r="C24" s="324"/>
      <c r="D24" s="794"/>
      <c r="E24" s="183" t="s">
        <v>184</v>
      </c>
      <c r="F24" s="324">
        <v>9998</v>
      </c>
      <c r="G24" s="324"/>
      <c r="H24" s="794"/>
    </row>
    <row r="25" spans="1:8" s="180" customFormat="1" ht="25.5">
      <c r="A25" s="188" t="s">
        <v>180</v>
      </c>
      <c r="B25" s="330"/>
      <c r="C25" s="324">
        <v>81193</v>
      </c>
      <c r="D25" s="794">
        <v>81193</v>
      </c>
      <c r="E25" s="188" t="s">
        <v>180</v>
      </c>
      <c r="F25" s="324"/>
      <c r="G25" s="579">
        <v>81193</v>
      </c>
      <c r="H25" s="795">
        <v>81193</v>
      </c>
    </row>
    <row r="26" spans="1:8" s="180" customFormat="1" ht="38.25">
      <c r="A26" s="188" t="s">
        <v>743</v>
      </c>
      <c r="B26" s="330"/>
      <c r="C26" s="324">
        <v>9213</v>
      </c>
      <c r="D26" s="794">
        <v>9213</v>
      </c>
      <c r="E26" s="188" t="s">
        <v>744</v>
      </c>
      <c r="F26" s="324"/>
      <c r="G26" s="579">
        <v>42979</v>
      </c>
      <c r="H26" s="795">
        <v>42979</v>
      </c>
    </row>
    <row r="27" spans="1:8" s="180" customFormat="1" ht="25.5">
      <c r="A27" s="188" t="s">
        <v>745</v>
      </c>
      <c r="B27" s="330"/>
      <c r="C27" s="324">
        <v>1495</v>
      </c>
      <c r="D27" s="794">
        <v>1495</v>
      </c>
      <c r="E27" s="183" t="s">
        <v>746</v>
      </c>
      <c r="F27" s="324"/>
      <c r="G27" s="579">
        <v>13</v>
      </c>
      <c r="H27" s="795">
        <v>13</v>
      </c>
    </row>
    <row r="28" spans="1:8" s="180" customFormat="1" ht="13.5" thickBot="1">
      <c r="A28" s="577" t="s">
        <v>545</v>
      </c>
      <c r="B28" s="578">
        <v>46763</v>
      </c>
      <c r="C28" s="800">
        <v>89755</v>
      </c>
      <c r="D28" s="706">
        <v>89755</v>
      </c>
      <c r="E28" s="627" t="s">
        <v>177</v>
      </c>
      <c r="F28" s="579">
        <v>46763</v>
      </c>
      <c r="G28" s="579">
        <v>46763</v>
      </c>
      <c r="H28" s="795">
        <v>46763</v>
      </c>
    </row>
    <row r="29" spans="1:8" s="180" customFormat="1" ht="13.5" thickBot="1">
      <c r="A29" s="187" t="s">
        <v>500</v>
      </c>
      <c r="B29" s="331">
        <f>SUM(B28,B20)</f>
        <v>300000</v>
      </c>
      <c r="C29" s="798">
        <f>SUM(C28,C20)</f>
        <v>424895</v>
      </c>
      <c r="D29" s="628">
        <f>SUM(D28,D20)</f>
        <v>424895</v>
      </c>
      <c r="E29" s="187" t="s">
        <v>500</v>
      </c>
      <c r="F29" s="323">
        <f>SUM(F20)</f>
        <v>300000</v>
      </c>
      <c r="G29" s="798">
        <f>SUM(G20)</f>
        <v>424895</v>
      </c>
      <c r="H29" s="628">
        <f>SUM(H20)</f>
        <v>424895</v>
      </c>
    </row>
    <row r="30" s="180" customFormat="1" ht="12.75"/>
    <row r="31" spans="1:8" s="180" customFormat="1" ht="12.75">
      <c r="A31" s="181" t="s">
        <v>161</v>
      </c>
      <c r="B31" s="325">
        <f>SUM(B13+B29)</f>
        <v>350000</v>
      </c>
      <c r="C31" s="325">
        <f>SUM(C13+C29)</f>
        <v>437067</v>
      </c>
      <c r="D31" s="325">
        <f>SUM(D13+D29)</f>
        <v>437067</v>
      </c>
      <c r="E31" s="325" t="s">
        <v>161</v>
      </c>
      <c r="F31" s="325">
        <f>SUM(F13+F29)</f>
        <v>350000</v>
      </c>
      <c r="G31" s="325">
        <f>SUM(G13+G29)</f>
        <v>437067</v>
      </c>
      <c r="H31" s="325">
        <f>SUM(H13+H29)</f>
        <v>437067</v>
      </c>
    </row>
    <row r="32" s="180" customFormat="1" ht="12.75"/>
    <row r="33" s="180" customFormat="1" ht="12.75">
      <c r="A33" s="242" t="s">
        <v>1098</v>
      </c>
    </row>
    <row r="34" s="180" customFormat="1" ht="12.75">
      <c r="A34" s="1" t="s">
        <v>1099</v>
      </c>
    </row>
    <row r="35" s="180" customFormat="1" ht="12.75">
      <c r="A35" s="1" t="s">
        <v>1100</v>
      </c>
    </row>
    <row r="36" s="180" customFormat="1" ht="12.75">
      <c r="A36" s="1" t="s">
        <v>1149</v>
      </c>
    </row>
    <row r="37" s="180" customFormat="1" ht="12.75"/>
    <row r="38" s="180" customFormat="1" ht="12.75"/>
    <row r="39" s="180" customFormat="1" ht="12.75"/>
    <row r="40" s="180" customFormat="1" ht="12.75"/>
    <row r="41" s="180" customFormat="1" ht="12.75"/>
    <row r="42" s="180" customFormat="1" ht="12.75"/>
    <row r="43" s="180" customFormat="1" ht="12.75"/>
    <row r="44" s="180" customFormat="1" ht="12.75"/>
  </sheetData>
  <sheetProtection/>
  <mergeCells count="6">
    <mergeCell ref="A2:H2"/>
    <mergeCell ref="A16:H16"/>
    <mergeCell ref="A6:D6"/>
    <mergeCell ref="A18:D18"/>
    <mergeCell ref="E6:H6"/>
    <mergeCell ref="E18:H18"/>
  </mergeCells>
  <printOptions horizontalCentered="1"/>
  <pageMargins left="0" right="0" top="0.984251968503937" bottom="0" header="0.5118110236220472" footer="0.5118110236220472"/>
  <pageSetup horizontalDpi="600" verticalDpi="600" orientation="landscape" paperSize="9" scale="72" r:id="rId1"/>
  <headerFooter alignWithMargins="0">
    <oddHeader xml:space="preserve">&amp;L&amp;"Arial,Normál" 15. melléklet 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J55"/>
  <sheetViews>
    <sheetView view="pageLayout" zoomScaleSheetLayoutView="87" workbookViewId="0" topLeftCell="A1">
      <selection activeCell="A40" sqref="A40"/>
    </sheetView>
  </sheetViews>
  <sheetFormatPr defaultColWidth="9.00390625" defaultRowHeight="12.75"/>
  <cols>
    <col min="1" max="1" width="79.375" style="198" customWidth="1"/>
    <col min="2" max="2" width="11.375" style="198" customWidth="1"/>
    <col min="3" max="3" width="11.75390625" style="198" customWidth="1"/>
    <col min="4" max="4" width="12.125" style="198" customWidth="1"/>
    <col min="5" max="5" width="11.125" style="198" customWidth="1"/>
    <col min="6" max="6" width="12.375" style="198" customWidth="1"/>
    <col min="7" max="7" width="10.75390625" style="198" customWidth="1"/>
    <col min="8" max="8" width="11.00390625" style="198" customWidth="1"/>
    <col min="9" max="9" width="11.875" style="198" customWidth="1"/>
    <col min="10" max="10" width="11.00390625" style="198" customWidth="1"/>
    <col min="11" max="16384" width="9.125" style="198" customWidth="1"/>
  </cols>
  <sheetData>
    <row r="1" spans="1:10" ht="15">
      <c r="A1" s="1237" t="s">
        <v>533</v>
      </c>
      <c r="B1" s="1237"/>
      <c r="C1" s="1237"/>
      <c r="D1" s="1237"/>
      <c r="E1" s="1032"/>
      <c r="F1" s="1032"/>
      <c r="G1" s="1032"/>
      <c r="H1" s="1032"/>
      <c r="I1" s="1032"/>
      <c r="J1" s="1032"/>
    </row>
    <row r="2" ht="15.75" thickBot="1"/>
    <row r="3" spans="1:10" ht="15">
      <c r="A3" s="1238" t="s">
        <v>534</v>
      </c>
      <c r="B3" s="1243" t="s">
        <v>162</v>
      </c>
      <c r="C3" s="1234"/>
      <c r="D3" s="1235"/>
      <c r="E3" s="1233" t="s">
        <v>888</v>
      </c>
      <c r="F3" s="1234"/>
      <c r="G3" s="1235"/>
      <c r="H3" s="1233" t="s">
        <v>947</v>
      </c>
      <c r="I3" s="1234"/>
      <c r="J3" s="1235"/>
    </row>
    <row r="4" spans="1:10" s="199" customFormat="1" ht="15" customHeight="1">
      <c r="A4" s="1239"/>
      <c r="B4" s="1241" t="s">
        <v>578</v>
      </c>
      <c r="C4" s="1231" t="s">
        <v>535</v>
      </c>
      <c r="D4" s="1236"/>
      <c r="E4" s="1231" t="s">
        <v>578</v>
      </c>
      <c r="F4" s="1231" t="s">
        <v>535</v>
      </c>
      <c r="G4" s="1236"/>
      <c r="H4" s="1231" t="s">
        <v>578</v>
      </c>
      <c r="I4" s="1231" t="s">
        <v>535</v>
      </c>
      <c r="J4" s="1236"/>
    </row>
    <row r="5" spans="1:10" s="199" customFormat="1" ht="43.5" thickBot="1">
      <c r="A5" s="1240"/>
      <c r="B5" s="1242"/>
      <c r="C5" s="200" t="s">
        <v>536</v>
      </c>
      <c r="D5" s="201" t="s">
        <v>537</v>
      </c>
      <c r="E5" s="1232"/>
      <c r="F5" s="200" t="s">
        <v>536</v>
      </c>
      <c r="G5" s="201" t="s">
        <v>537</v>
      </c>
      <c r="H5" s="1232"/>
      <c r="I5" s="200" t="s">
        <v>536</v>
      </c>
      <c r="J5" s="201" t="s">
        <v>537</v>
      </c>
    </row>
    <row r="6" spans="1:10" s="214" customFormat="1" ht="15">
      <c r="A6" s="211" t="s">
        <v>190</v>
      </c>
      <c r="B6" s="212">
        <f aca="true" t="shared" si="0" ref="B6:J6">SUM(B7:B8)</f>
        <v>1107640</v>
      </c>
      <c r="C6" s="212">
        <f t="shared" si="0"/>
        <v>624234</v>
      </c>
      <c r="D6" s="213">
        <f t="shared" si="0"/>
        <v>483406</v>
      </c>
      <c r="E6" s="212">
        <f t="shared" si="0"/>
        <v>1107640</v>
      </c>
      <c r="F6" s="212">
        <f t="shared" si="0"/>
        <v>624234</v>
      </c>
      <c r="G6" s="213">
        <f t="shared" si="0"/>
        <v>483406</v>
      </c>
      <c r="H6" s="212">
        <f t="shared" si="0"/>
        <v>0</v>
      </c>
      <c r="I6" s="212">
        <f t="shared" si="0"/>
        <v>0</v>
      </c>
      <c r="J6" s="213">
        <f t="shared" si="0"/>
        <v>0</v>
      </c>
    </row>
    <row r="7" spans="1:10" ht="15" customHeight="1">
      <c r="A7" s="178" t="s">
        <v>178</v>
      </c>
      <c r="B7" s="179">
        <v>1102640</v>
      </c>
      <c r="C7" s="202">
        <v>622234</v>
      </c>
      <c r="D7" s="203">
        <f>B7-C7</f>
        <v>480406</v>
      </c>
      <c r="E7" s="179">
        <v>1102640</v>
      </c>
      <c r="F7" s="202">
        <v>622234</v>
      </c>
      <c r="G7" s="203">
        <f>E7-F7</f>
        <v>480406</v>
      </c>
      <c r="H7" s="179">
        <v>0</v>
      </c>
      <c r="I7" s="202">
        <v>0</v>
      </c>
      <c r="J7" s="203">
        <f>H7-I7</f>
        <v>0</v>
      </c>
    </row>
    <row r="8" spans="1:10" ht="15" customHeight="1">
      <c r="A8" s="178" t="s">
        <v>179</v>
      </c>
      <c r="B8" s="179">
        <v>5000</v>
      </c>
      <c r="C8" s="202">
        <v>2000</v>
      </c>
      <c r="D8" s="203">
        <f>B8-C8</f>
        <v>3000</v>
      </c>
      <c r="E8" s="179">
        <v>5000</v>
      </c>
      <c r="F8" s="202">
        <v>2000</v>
      </c>
      <c r="G8" s="203">
        <f>E8-F8</f>
        <v>3000</v>
      </c>
      <c r="H8" s="179">
        <v>0</v>
      </c>
      <c r="I8" s="202">
        <v>0</v>
      </c>
      <c r="J8" s="203">
        <f>H8-I8</f>
        <v>0</v>
      </c>
    </row>
    <row r="9" spans="1:10" ht="15" customHeight="1">
      <c r="A9" s="178"/>
      <c r="B9" s="179"/>
      <c r="C9" s="202"/>
      <c r="D9" s="203"/>
      <c r="E9" s="179"/>
      <c r="F9" s="202"/>
      <c r="G9" s="203"/>
      <c r="H9" s="179"/>
      <c r="I9" s="202"/>
      <c r="J9" s="203"/>
    </row>
    <row r="10" spans="1:10" s="206" customFormat="1" ht="15" customHeight="1">
      <c r="A10" s="196" t="s">
        <v>191</v>
      </c>
      <c r="B10" s="197">
        <f aca="true" t="shared" si="1" ref="B10:J10">SUM(B11:B14)</f>
        <v>31000</v>
      </c>
      <c r="C10" s="204">
        <f t="shared" si="1"/>
        <v>0</v>
      </c>
      <c r="D10" s="205">
        <f t="shared" si="1"/>
        <v>31000</v>
      </c>
      <c r="E10" s="197">
        <f t="shared" si="1"/>
        <v>26969</v>
      </c>
      <c r="F10" s="204">
        <f t="shared" si="1"/>
        <v>0</v>
      </c>
      <c r="G10" s="205">
        <f t="shared" si="1"/>
        <v>26969</v>
      </c>
      <c r="H10" s="197">
        <f t="shared" si="1"/>
        <v>0</v>
      </c>
      <c r="I10" s="204">
        <f t="shared" si="1"/>
        <v>0</v>
      </c>
      <c r="J10" s="205">
        <f t="shared" si="1"/>
        <v>0</v>
      </c>
    </row>
    <row r="11" spans="1:10" ht="15" customHeight="1">
      <c r="A11" s="178" t="s">
        <v>343</v>
      </c>
      <c r="B11" s="179">
        <v>9000</v>
      </c>
      <c r="C11" s="202"/>
      <c r="D11" s="203">
        <f>B11-C11</f>
        <v>9000</v>
      </c>
      <c r="E11" s="179">
        <v>9000</v>
      </c>
      <c r="F11" s="202"/>
      <c r="G11" s="203">
        <f>E11-F11</f>
        <v>9000</v>
      </c>
      <c r="H11" s="179">
        <v>0</v>
      </c>
      <c r="I11" s="202"/>
      <c r="J11" s="203">
        <f>H11-I11</f>
        <v>0</v>
      </c>
    </row>
    <row r="12" spans="1:10" ht="15" customHeight="1">
      <c r="A12" s="178" t="s">
        <v>223</v>
      </c>
      <c r="B12" s="179">
        <v>4000</v>
      </c>
      <c r="C12" s="202"/>
      <c r="D12" s="203">
        <f>B12-C12</f>
        <v>4000</v>
      </c>
      <c r="E12" s="179">
        <v>4000</v>
      </c>
      <c r="F12" s="202"/>
      <c r="G12" s="203">
        <f>E12-F12</f>
        <v>4000</v>
      </c>
      <c r="H12" s="179">
        <v>0</v>
      </c>
      <c r="I12" s="202"/>
      <c r="J12" s="203">
        <f>H12-I12</f>
        <v>0</v>
      </c>
    </row>
    <row r="13" spans="1:10" ht="15" customHeight="1">
      <c r="A13" s="178" t="s">
        <v>224</v>
      </c>
      <c r="B13" s="179">
        <v>9000</v>
      </c>
      <c r="C13" s="202"/>
      <c r="D13" s="203">
        <f>B13-C13</f>
        <v>9000</v>
      </c>
      <c r="E13" s="179">
        <v>7000</v>
      </c>
      <c r="F13" s="202"/>
      <c r="G13" s="203">
        <f>E13-F13</f>
        <v>7000</v>
      </c>
      <c r="H13" s="179">
        <v>0</v>
      </c>
      <c r="I13" s="202"/>
      <c r="J13" s="203">
        <f>H13-I13</f>
        <v>0</v>
      </c>
    </row>
    <row r="14" spans="1:10" ht="15" customHeight="1">
      <c r="A14" s="178" t="s">
        <v>214</v>
      </c>
      <c r="B14" s="179">
        <v>9000</v>
      </c>
      <c r="C14" s="202"/>
      <c r="D14" s="203">
        <f>B14-C14</f>
        <v>9000</v>
      </c>
      <c r="E14" s="179">
        <v>6969</v>
      </c>
      <c r="F14" s="202"/>
      <c r="G14" s="203">
        <f>E14-F14</f>
        <v>6969</v>
      </c>
      <c r="H14" s="179">
        <v>0</v>
      </c>
      <c r="I14" s="202"/>
      <c r="J14" s="203">
        <f>H14-I14</f>
        <v>0</v>
      </c>
    </row>
    <row r="15" spans="1:10" ht="15" customHeight="1">
      <c r="A15" s="178"/>
      <c r="B15" s="179"/>
      <c r="C15" s="202"/>
      <c r="D15" s="203"/>
      <c r="E15" s="179"/>
      <c r="F15" s="202"/>
      <c r="G15" s="203"/>
      <c r="H15" s="179"/>
      <c r="I15" s="202"/>
      <c r="J15" s="203"/>
    </row>
    <row r="16" spans="1:10" s="206" customFormat="1" ht="15" customHeight="1">
      <c r="A16" s="196" t="s">
        <v>192</v>
      </c>
      <c r="B16" s="197">
        <f aca="true" t="shared" si="2" ref="B16:J16">SUM(B17:B18)</f>
        <v>28500</v>
      </c>
      <c r="C16" s="204">
        <f t="shared" si="2"/>
        <v>0</v>
      </c>
      <c r="D16" s="205">
        <f t="shared" si="2"/>
        <v>28500</v>
      </c>
      <c r="E16" s="197">
        <f t="shared" si="2"/>
        <v>28500</v>
      </c>
      <c r="F16" s="204">
        <f t="shared" si="2"/>
        <v>0</v>
      </c>
      <c r="G16" s="205">
        <f t="shared" si="2"/>
        <v>28500</v>
      </c>
      <c r="H16" s="197">
        <f t="shared" si="2"/>
        <v>0</v>
      </c>
      <c r="I16" s="204">
        <f t="shared" si="2"/>
        <v>0</v>
      </c>
      <c r="J16" s="205">
        <f t="shared" si="2"/>
        <v>0</v>
      </c>
    </row>
    <row r="17" spans="1:10" ht="15" customHeight="1">
      <c r="A17" s="178" t="s">
        <v>176</v>
      </c>
      <c r="B17" s="179">
        <v>8500</v>
      </c>
      <c r="C17" s="202"/>
      <c r="D17" s="203">
        <f>B17-C17</f>
        <v>8500</v>
      </c>
      <c r="E17" s="179">
        <v>8500</v>
      </c>
      <c r="F17" s="202"/>
      <c r="G17" s="203">
        <f>E17-F17</f>
        <v>8500</v>
      </c>
      <c r="H17" s="179">
        <v>0</v>
      </c>
      <c r="I17" s="202"/>
      <c r="J17" s="203">
        <f>H17-I17</f>
        <v>0</v>
      </c>
    </row>
    <row r="18" spans="1:10" ht="15" customHeight="1">
      <c r="A18" s="178" t="s">
        <v>175</v>
      </c>
      <c r="B18" s="179">
        <v>20000</v>
      </c>
      <c r="C18" s="202"/>
      <c r="D18" s="203">
        <f>B18-C18</f>
        <v>20000</v>
      </c>
      <c r="E18" s="179">
        <v>20000</v>
      </c>
      <c r="F18" s="202"/>
      <c r="G18" s="203">
        <f>E18-F18</f>
        <v>20000</v>
      </c>
      <c r="H18" s="179">
        <v>0</v>
      </c>
      <c r="I18" s="202"/>
      <c r="J18" s="203">
        <f>H18-I18</f>
        <v>0</v>
      </c>
    </row>
    <row r="19" spans="1:10" ht="15" customHeight="1">
      <c r="A19" s="178"/>
      <c r="B19" s="179"/>
      <c r="C19" s="202"/>
      <c r="D19" s="203"/>
      <c r="E19" s="179"/>
      <c r="F19" s="202"/>
      <c r="G19" s="203"/>
      <c r="H19" s="179"/>
      <c r="I19" s="202"/>
      <c r="J19" s="203"/>
    </row>
    <row r="20" spans="1:10" s="206" customFormat="1" ht="15" customHeight="1">
      <c r="A20" s="196" t="s">
        <v>193</v>
      </c>
      <c r="B20" s="197">
        <f aca="true" t="shared" si="3" ref="B20:J20">SUM(B21:B23)</f>
        <v>83200</v>
      </c>
      <c r="C20" s="204">
        <f t="shared" si="3"/>
        <v>0</v>
      </c>
      <c r="D20" s="205">
        <f t="shared" si="3"/>
        <v>83200</v>
      </c>
      <c r="E20" s="197">
        <f t="shared" si="3"/>
        <v>83200</v>
      </c>
      <c r="F20" s="204">
        <f t="shared" si="3"/>
        <v>0</v>
      </c>
      <c r="G20" s="205">
        <f t="shared" si="3"/>
        <v>83200</v>
      </c>
      <c r="H20" s="197">
        <f t="shared" si="3"/>
        <v>0</v>
      </c>
      <c r="I20" s="204">
        <f t="shared" si="3"/>
        <v>0</v>
      </c>
      <c r="J20" s="205">
        <f t="shared" si="3"/>
        <v>0</v>
      </c>
    </row>
    <row r="21" spans="1:10" ht="28.5" customHeight="1">
      <c r="A21" s="178" t="s">
        <v>231</v>
      </c>
      <c r="B21" s="179">
        <v>40000</v>
      </c>
      <c r="C21" s="202"/>
      <c r="D21" s="203">
        <f>B21-C21</f>
        <v>40000</v>
      </c>
      <c r="E21" s="179">
        <v>40000</v>
      </c>
      <c r="F21" s="202"/>
      <c r="G21" s="203">
        <f>E21-F21</f>
        <v>40000</v>
      </c>
      <c r="H21" s="179">
        <v>0</v>
      </c>
      <c r="I21" s="202"/>
      <c r="J21" s="203">
        <f>H21-I21</f>
        <v>0</v>
      </c>
    </row>
    <row r="22" spans="1:10" ht="15" customHeight="1">
      <c r="A22" s="178" t="s">
        <v>215</v>
      </c>
      <c r="B22" s="179">
        <v>21200</v>
      </c>
      <c r="C22" s="202"/>
      <c r="D22" s="203">
        <f>B22-C22</f>
        <v>21200</v>
      </c>
      <c r="E22" s="179">
        <v>21200</v>
      </c>
      <c r="F22" s="202"/>
      <c r="G22" s="203">
        <f>E22-F22</f>
        <v>21200</v>
      </c>
      <c r="H22" s="179">
        <v>0</v>
      </c>
      <c r="I22" s="202"/>
      <c r="J22" s="203">
        <f>H22-I22</f>
        <v>0</v>
      </c>
    </row>
    <row r="23" spans="1:10" ht="15" customHeight="1">
      <c r="A23" s="178" t="s">
        <v>218</v>
      </c>
      <c r="B23" s="179">
        <v>22000</v>
      </c>
      <c r="C23" s="202"/>
      <c r="D23" s="203">
        <f>B23-C23</f>
        <v>22000</v>
      </c>
      <c r="E23" s="179">
        <v>22000</v>
      </c>
      <c r="F23" s="202"/>
      <c r="G23" s="203">
        <f>E23-F23</f>
        <v>22000</v>
      </c>
      <c r="H23" s="179">
        <v>0</v>
      </c>
      <c r="I23" s="202"/>
      <c r="J23" s="203">
        <f>H23-I23</f>
        <v>0</v>
      </c>
    </row>
    <row r="24" spans="1:10" ht="15" customHeight="1">
      <c r="A24" s="178"/>
      <c r="B24" s="179"/>
      <c r="C24" s="202"/>
      <c r="D24" s="203"/>
      <c r="E24" s="179"/>
      <c r="F24" s="202"/>
      <c r="G24" s="203"/>
      <c r="H24" s="179"/>
      <c r="I24" s="202"/>
      <c r="J24" s="203"/>
    </row>
    <row r="25" spans="1:10" s="206" customFormat="1" ht="15" customHeight="1">
      <c r="A25" s="196" t="s">
        <v>195</v>
      </c>
      <c r="B25" s="197">
        <f aca="true" t="shared" si="4" ref="B25:J25">SUM(B26:B28)</f>
        <v>21372</v>
      </c>
      <c r="C25" s="204">
        <f t="shared" si="4"/>
        <v>0</v>
      </c>
      <c r="D25" s="205">
        <f t="shared" si="4"/>
        <v>21372</v>
      </c>
      <c r="E25" s="197">
        <f t="shared" si="4"/>
        <v>21372</v>
      </c>
      <c r="F25" s="204">
        <f t="shared" si="4"/>
        <v>0</v>
      </c>
      <c r="G25" s="205">
        <f t="shared" si="4"/>
        <v>21372</v>
      </c>
      <c r="H25" s="197">
        <f t="shared" si="4"/>
        <v>0</v>
      </c>
      <c r="I25" s="204">
        <f t="shared" si="4"/>
        <v>0</v>
      </c>
      <c r="J25" s="205">
        <f t="shared" si="4"/>
        <v>0</v>
      </c>
    </row>
    <row r="26" spans="1:10" ht="15" customHeight="1">
      <c r="A26" s="178" t="s">
        <v>342</v>
      </c>
      <c r="B26" s="179">
        <v>6300</v>
      </c>
      <c r="C26" s="202"/>
      <c r="D26" s="203">
        <f>B26-C26</f>
        <v>6300</v>
      </c>
      <c r="E26" s="179">
        <v>6300</v>
      </c>
      <c r="F26" s="202"/>
      <c r="G26" s="203">
        <f>E26-F26</f>
        <v>6300</v>
      </c>
      <c r="H26" s="179">
        <v>0</v>
      </c>
      <c r="I26" s="202"/>
      <c r="J26" s="203">
        <f>H26-I26</f>
        <v>0</v>
      </c>
    </row>
    <row r="27" spans="1:10" ht="15" customHeight="1">
      <c r="A27" s="178" t="s">
        <v>222</v>
      </c>
      <c r="B27" s="179">
        <v>10000</v>
      </c>
      <c r="C27" s="202"/>
      <c r="D27" s="203">
        <f>B27-C27</f>
        <v>10000</v>
      </c>
      <c r="E27" s="179">
        <v>10000</v>
      </c>
      <c r="F27" s="202"/>
      <c r="G27" s="203">
        <f>E27-F27</f>
        <v>10000</v>
      </c>
      <c r="H27" s="179">
        <v>0</v>
      </c>
      <c r="I27" s="202"/>
      <c r="J27" s="203">
        <f>H27-I27</f>
        <v>0</v>
      </c>
    </row>
    <row r="28" spans="1:10" ht="15" customHeight="1">
      <c r="A28" s="178" t="s">
        <v>225</v>
      </c>
      <c r="B28" s="179">
        <v>5072</v>
      </c>
      <c r="C28" s="202"/>
      <c r="D28" s="203">
        <f>B28-C28</f>
        <v>5072</v>
      </c>
      <c r="E28" s="179">
        <v>5072</v>
      </c>
      <c r="F28" s="202"/>
      <c r="G28" s="203">
        <f>E28-F28</f>
        <v>5072</v>
      </c>
      <c r="H28" s="179">
        <v>0</v>
      </c>
      <c r="I28" s="202"/>
      <c r="J28" s="203">
        <f>H28-I28</f>
        <v>0</v>
      </c>
    </row>
    <row r="29" spans="1:10" ht="15" customHeight="1">
      <c r="A29" s="178"/>
      <c r="B29" s="179"/>
      <c r="C29" s="202"/>
      <c r="D29" s="203"/>
      <c r="E29" s="179"/>
      <c r="F29" s="202"/>
      <c r="G29" s="203"/>
      <c r="H29" s="179"/>
      <c r="I29" s="202"/>
      <c r="J29" s="203"/>
    </row>
    <row r="30" spans="1:10" s="206" customFormat="1" ht="15" customHeight="1">
      <c r="A30" s="196" t="s">
        <v>194</v>
      </c>
      <c r="B30" s="197">
        <f aca="true" t="shared" si="5" ref="B30:J30">SUM(B31:B33)</f>
        <v>6553</v>
      </c>
      <c r="C30" s="204">
        <f t="shared" si="5"/>
        <v>0</v>
      </c>
      <c r="D30" s="205">
        <f t="shared" si="5"/>
        <v>6553</v>
      </c>
      <c r="E30" s="197">
        <f t="shared" si="5"/>
        <v>6553</v>
      </c>
      <c r="F30" s="204">
        <f t="shared" si="5"/>
        <v>0</v>
      </c>
      <c r="G30" s="205">
        <f t="shared" si="5"/>
        <v>6553</v>
      </c>
      <c r="H30" s="197">
        <f t="shared" si="5"/>
        <v>0</v>
      </c>
      <c r="I30" s="204">
        <f t="shared" si="5"/>
        <v>0</v>
      </c>
      <c r="J30" s="205">
        <f t="shared" si="5"/>
        <v>0</v>
      </c>
    </row>
    <row r="31" spans="1:10" ht="15">
      <c r="A31" s="178" t="s">
        <v>447</v>
      </c>
      <c r="B31" s="179">
        <v>739</v>
      </c>
      <c r="C31" s="202"/>
      <c r="D31" s="203">
        <f>B31-C31</f>
        <v>739</v>
      </c>
      <c r="E31" s="179">
        <v>739</v>
      </c>
      <c r="F31" s="202"/>
      <c r="G31" s="203">
        <f>E31-F31</f>
        <v>739</v>
      </c>
      <c r="H31" s="179">
        <v>0</v>
      </c>
      <c r="I31" s="202"/>
      <c r="J31" s="203">
        <f>H31-I31</f>
        <v>0</v>
      </c>
    </row>
    <row r="32" spans="1:10" ht="15">
      <c r="A32" s="178" t="s">
        <v>448</v>
      </c>
      <c r="B32" s="179">
        <v>2314</v>
      </c>
      <c r="C32" s="202"/>
      <c r="D32" s="203">
        <f>B32-C32</f>
        <v>2314</v>
      </c>
      <c r="E32" s="179">
        <v>2314</v>
      </c>
      <c r="F32" s="202"/>
      <c r="G32" s="203">
        <f>E32-F32</f>
        <v>2314</v>
      </c>
      <c r="H32" s="179">
        <v>0</v>
      </c>
      <c r="I32" s="202"/>
      <c r="J32" s="203">
        <f>H32-I32</f>
        <v>0</v>
      </c>
    </row>
    <row r="33" spans="1:10" ht="15">
      <c r="A33" s="178" t="s">
        <v>449</v>
      </c>
      <c r="B33" s="179">
        <v>3500</v>
      </c>
      <c r="C33" s="202"/>
      <c r="D33" s="203">
        <f>B33-C33</f>
        <v>3500</v>
      </c>
      <c r="E33" s="179">
        <v>3500</v>
      </c>
      <c r="F33" s="202"/>
      <c r="G33" s="203">
        <f>E33-F33</f>
        <v>3500</v>
      </c>
      <c r="H33" s="179">
        <v>0</v>
      </c>
      <c r="I33" s="202"/>
      <c r="J33" s="203">
        <f>H33-I33</f>
        <v>0</v>
      </c>
    </row>
    <row r="34" spans="1:10" ht="15">
      <c r="A34" s="178"/>
      <c r="B34" s="179"/>
      <c r="C34" s="202"/>
      <c r="D34" s="203"/>
      <c r="E34" s="179"/>
      <c r="F34" s="202"/>
      <c r="G34" s="203"/>
      <c r="H34" s="179"/>
      <c r="I34" s="202"/>
      <c r="J34" s="203"/>
    </row>
    <row r="35" spans="1:10" ht="15.75" thickBot="1">
      <c r="A35" s="207" t="s">
        <v>522</v>
      </c>
      <c r="B35" s="208">
        <f aca="true" t="shared" si="6" ref="B35:J35">SUM(B6,B10,B16,B20,B25,B30)</f>
        <v>1278265</v>
      </c>
      <c r="C35" s="208">
        <f t="shared" si="6"/>
        <v>624234</v>
      </c>
      <c r="D35" s="209">
        <f t="shared" si="6"/>
        <v>654031</v>
      </c>
      <c r="E35" s="208">
        <f t="shared" si="6"/>
        <v>1274234</v>
      </c>
      <c r="F35" s="208">
        <f t="shared" si="6"/>
        <v>624234</v>
      </c>
      <c r="G35" s="209">
        <f t="shared" si="6"/>
        <v>650000</v>
      </c>
      <c r="H35" s="208">
        <f t="shared" si="6"/>
        <v>0</v>
      </c>
      <c r="I35" s="208">
        <f t="shared" si="6"/>
        <v>0</v>
      </c>
      <c r="J35" s="209">
        <f t="shared" si="6"/>
        <v>0</v>
      </c>
    </row>
    <row r="36" spans="2:4" ht="15">
      <c r="B36" s="210"/>
      <c r="C36" s="210"/>
      <c r="D36" s="210"/>
    </row>
    <row r="37" spans="1:4" ht="15">
      <c r="A37" s="242" t="s">
        <v>1089</v>
      </c>
      <c r="B37" s="210"/>
      <c r="C37" s="210"/>
      <c r="D37" s="210"/>
    </row>
    <row r="38" spans="1:4" ht="15">
      <c r="A38" s="1" t="s">
        <v>1090</v>
      </c>
      <c r="B38" s="210"/>
      <c r="C38" s="210"/>
      <c r="D38" s="210"/>
    </row>
    <row r="39" spans="1:4" ht="15">
      <c r="A39" s="1" t="s">
        <v>1091</v>
      </c>
      <c r="B39" s="210"/>
      <c r="C39" s="210"/>
      <c r="D39" s="210"/>
    </row>
    <row r="40" spans="1:4" ht="15">
      <c r="A40" s="1" t="s">
        <v>1150</v>
      </c>
      <c r="B40" s="210"/>
      <c r="C40" s="210"/>
      <c r="D40" s="210"/>
    </row>
    <row r="41" spans="2:4" ht="15">
      <c r="B41" s="210"/>
      <c r="C41" s="210"/>
      <c r="D41" s="210"/>
    </row>
    <row r="42" spans="2:4" ht="15">
      <c r="B42" s="210"/>
      <c r="C42" s="210"/>
      <c r="D42" s="210"/>
    </row>
    <row r="43" spans="2:4" ht="15">
      <c r="B43" s="210"/>
      <c r="C43" s="210"/>
      <c r="D43" s="210"/>
    </row>
    <row r="44" spans="2:4" ht="15">
      <c r="B44" s="210"/>
      <c r="C44" s="210"/>
      <c r="D44" s="210"/>
    </row>
    <row r="45" spans="2:4" ht="15">
      <c r="B45" s="210"/>
      <c r="C45" s="210"/>
      <c r="D45" s="210"/>
    </row>
    <row r="46" spans="2:4" ht="15">
      <c r="B46" s="210"/>
      <c r="C46" s="210"/>
      <c r="D46" s="210"/>
    </row>
    <row r="47" spans="2:4" ht="15">
      <c r="B47" s="210"/>
      <c r="C47" s="210"/>
      <c r="D47" s="210"/>
    </row>
    <row r="48" spans="2:4" ht="15">
      <c r="B48" s="210"/>
      <c r="C48" s="210"/>
      <c r="D48" s="210"/>
    </row>
    <row r="49" spans="2:4" ht="15">
      <c r="B49" s="210"/>
      <c r="C49" s="210"/>
      <c r="D49" s="210"/>
    </row>
    <row r="50" spans="2:4" ht="15">
      <c r="B50" s="210"/>
      <c r="C50" s="210"/>
      <c r="D50" s="210"/>
    </row>
    <row r="51" spans="2:4" ht="15">
      <c r="B51" s="210"/>
      <c r="C51" s="210"/>
      <c r="D51" s="210"/>
    </row>
    <row r="52" spans="2:4" ht="15">
      <c r="B52" s="210"/>
      <c r="C52" s="210"/>
      <c r="D52" s="210"/>
    </row>
    <row r="53" spans="2:4" ht="15">
      <c r="B53" s="210"/>
      <c r="C53" s="210"/>
      <c r="D53" s="210"/>
    </row>
    <row r="54" spans="2:4" ht="15">
      <c r="B54" s="210"/>
      <c r="C54" s="210"/>
      <c r="D54" s="210"/>
    </row>
    <row r="55" spans="2:4" ht="15">
      <c r="B55" s="210"/>
      <c r="C55" s="210"/>
      <c r="D55" s="210"/>
    </row>
  </sheetData>
  <sheetProtection/>
  <mergeCells count="11">
    <mergeCell ref="B3:D3"/>
    <mergeCell ref="E4:E5"/>
    <mergeCell ref="H3:J3"/>
    <mergeCell ref="H4:H5"/>
    <mergeCell ref="I4:J4"/>
    <mergeCell ref="A1:J1"/>
    <mergeCell ref="F4:G4"/>
    <mergeCell ref="E3:G3"/>
    <mergeCell ref="A3:A5"/>
    <mergeCell ref="C4:D4"/>
    <mergeCell ref="B4:B5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landscape" paperSize="9" scale="61" r:id="rId1"/>
  <headerFooter alignWithMargins="0">
    <oddHeader xml:space="preserve">&amp;L 16. melléklet 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9"/>
  <sheetViews>
    <sheetView view="pageLayout" zoomScaleSheetLayoutView="100" workbookViewId="0" topLeftCell="A1">
      <selection activeCell="A83" sqref="A83"/>
    </sheetView>
  </sheetViews>
  <sheetFormatPr defaultColWidth="9.00390625" defaultRowHeight="12.75"/>
  <cols>
    <col min="1" max="1" width="10.875" style="216" customWidth="1"/>
    <col min="2" max="2" width="77.00390625" style="224" customWidth="1"/>
    <col min="3" max="3" width="17.625" style="216" customWidth="1"/>
    <col min="4" max="4" width="7.625" style="220" customWidth="1"/>
    <col min="5" max="5" width="13.875" style="226" customWidth="1"/>
    <col min="6" max="6" width="15.75390625" style="222" customWidth="1"/>
    <col min="7" max="7" width="13.125" style="216" customWidth="1"/>
    <col min="8" max="8" width="12.25390625" style="216" hidden="1" customWidth="1"/>
    <col min="9" max="10" width="12.875" style="216" customWidth="1"/>
    <col min="11" max="16384" width="9.125" style="216" customWidth="1"/>
  </cols>
  <sheetData>
    <row r="1" spans="1:9" ht="15.75">
      <c r="A1" s="1254" t="s">
        <v>74</v>
      </c>
      <c r="B1" s="1254"/>
      <c r="C1" s="1254"/>
      <c r="D1" s="1254"/>
      <c r="E1" s="1254"/>
      <c r="F1" s="1254"/>
      <c r="G1" s="1254"/>
      <c r="H1" s="1255"/>
      <c r="I1" s="1255"/>
    </row>
    <row r="2" spans="1:9" ht="15.75">
      <c r="A2" s="1256" t="s">
        <v>75</v>
      </c>
      <c r="B2" s="1256"/>
      <c r="C2" s="1256"/>
      <c r="D2" s="1256"/>
      <c r="E2" s="1256"/>
      <c r="F2" s="1256"/>
      <c r="G2" s="1256"/>
      <c r="H2" s="1255"/>
      <c r="I2" s="1255"/>
    </row>
    <row r="3" spans="1:7" ht="15.75">
      <c r="A3" s="1256"/>
      <c r="B3" s="1256"/>
      <c r="C3" s="1256"/>
      <c r="D3" s="1256"/>
      <c r="E3" s="1256"/>
      <c r="F3" s="1256"/>
      <c r="G3" s="1256"/>
    </row>
    <row r="4" spans="2:6" ht="16.5" thickBot="1">
      <c r="B4" s="217"/>
      <c r="C4" s="215"/>
      <c r="D4" s="218"/>
      <c r="E4" s="219"/>
      <c r="F4" s="646"/>
    </row>
    <row r="5" spans="1:10" ht="16.5" customHeight="1">
      <c r="A5" s="1257" t="s">
        <v>287</v>
      </c>
      <c r="B5" s="1244" t="s">
        <v>288</v>
      </c>
      <c r="C5" s="1246" t="s">
        <v>289</v>
      </c>
      <c r="D5" s="1246"/>
      <c r="E5" s="1246"/>
      <c r="F5" s="1246"/>
      <c r="G5" s="1247" t="s">
        <v>741</v>
      </c>
      <c r="H5" s="1247" t="s">
        <v>881</v>
      </c>
      <c r="I5" s="1252" t="s">
        <v>887</v>
      </c>
      <c r="J5" s="1250" t="s">
        <v>962</v>
      </c>
    </row>
    <row r="6" spans="1:10" ht="51.75" customHeight="1" thickBot="1">
      <c r="A6" s="1258"/>
      <c r="B6" s="1245"/>
      <c r="C6" s="1249" t="s">
        <v>290</v>
      </c>
      <c r="D6" s="1249"/>
      <c r="E6" s="834" t="s">
        <v>291</v>
      </c>
      <c r="F6" s="834" t="s">
        <v>292</v>
      </c>
      <c r="G6" s="1248"/>
      <c r="H6" s="1248"/>
      <c r="I6" s="1253"/>
      <c r="J6" s="1251"/>
    </row>
    <row r="7" spans="1:10" ht="20.25" customHeight="1" thickTop="1">
      <c r="A7" s="580" t="s">
        <v>293</v>
      </c>
      <c r="B7" s="647" t="s">
        <v>294</v>
      </c>
      <c r="C7" s="648"/>
      <c r="D7" s="648"/>
      <c r="E7" s="648"/>
      <c r="F7" s="648"/>
      <c r="G7" s="308"/>
      <c r="H7" s="707"/>
      <c r="I7" s="801"/>
      <c r="J7" s="811"/>
    </row>
    <row r="8" spans="1:10" ht="15.75">
      <c r="A8" s="581" t="s">
        <v>295</v>
      </c>
      <c r="B8" s="597" t="s">
        <v>296</v>
      </c>
      <c r="C8" s="286">
        <v>58.77</v>
      </c>
      <c r="D8" s="287" t="s">
        <v>297</v>
      </c>
      <c r="E8" s="288">
        <v>4580000</v>
      </c>
      <c r="F8" s="598">
        <f>C8*E8</f>
        <v>269166600</v>
      </c>
      <c r="G8" s="598">
        <v>269166</v>
      </c>
      <c r="H8" s="598">
        <v>269166</v>
      </c>
      <c r="I8" s="802">
        <v>269166</v>
      </c>
      <c r="J8" s="835">
        <v>269166</v>
      </c>
    </row>
    <row r="9" spans="1:10" ht="15.75">
      <c r="A9" s="582" t="s">
        <v>298</v>
      </c>
      <c r="B9" s="599" t="s">
        <v>299</v>
      </c>
      <c r="C9" s="286"/>
      <c r="D9" s="287"/>
      <c r="E9" s="288"/>
      <c r="F9" s="288"/>
      <c r="G9" s="288"/>
      <c r="H9" s="125"/>
      <c r="I9" s="803"/>
      <c r="J9" s="811"/>
    </row>
    <row r="10" spans="1:10" ht="15.75">
      <c r="A10" s="583" t="s">
        <v>300</v>
      </c>
      <c r="B10" s="600" t="s">
        <v>301</v>
      </c>
      <c r="C10" s="289">
        <v>1698.6</v>
      </c>
      <c r="D10" s="287" t="s">
        <v>302</v>
      </c>
      <c r="E10" s="288">
        <v>22300</v>
      </c>
      <c r="F10" s="294">
        <f>C10*E10</f>
        <v>37878780</v>
      </c>
      <c r="G10" s="294">
        <v>37879</v>
      </c>
      <c r="H10" s="125">
        <v>37879</v>
      </c>
      <c r="I10" s="803">
        <v>37879</v>
      </c>
      <c r="J10" s="836">
        <v>37879</v>
      </c>
    </row>
    <row r="11" spans="1:10" s="649" customFormat="1" ht="15.75">
      <c r="A11" s="583" t="s">
        <v>303</v>
      </c>
      <c r="B11" s="601" t="s">
        <v>304</v>
      </c>
      <c r="C11" s="290"/>
      <c r="D11" s="291" t="s">
        <v>305</v>
      </c>
      <c r="E11" s="292"/>
      <c r="F11" s="294">
        <v>76483200</v>
      </c>
      <c r="G11" s="294">
        <v>76483</v>
      </c>
      <c r="H11" s="708">
        <v>76483</v>
      </c>
      <c r="I11" s="804">
        <v>76483</v>
      </c>
      <c r="J11" s="837">
        <v>76483</v>
      </c>
    </row>
    <row r="12" spans="1:10" s="650" customFormat="1" ht="15.75">
      <c r="A12" s="583" t="s">
        <v>306</v>
      </c>
      <c r="B12" s="602" t="s">
        <v>307</v>
      </c>
      <c r="C12" s="293"/>
      <c r="D12" s="291" t="s">
        <v>305</v>
      </c>
      <c r="E12" s="294"/>
      <c r="F12" s="294">
        <v>13458016</v>
      </c>
      <c r="G12" s="294">
        <v>13458</v>
      </c>
      <c r="H12" s="709">
        <v>13458</v>
      </c>
      <c r="I12" s="805">
        <v>13458</v>
      </c>
      <c r="J12" s="838">
        <v>13458</v>
      </c>
    </row>
    <row r="13" spans="1:10" ht="15.75">
      <c r="A13" s="583" t="s">
        <v>308</v>
      </c>
      <c r="B13" s="602" t="s">
        <v>309</v>
      </c>
      <c r="C13" s="293"/>
      <c r="D13" s="291" t="s">
        <v>305</v>
      </c>
      <c r="E13" s="295"/>
      <c r="F13" s="294">
        <v>30149000</v>
      </c>
      <c r="G13" s="294">
        <v>30149</v>
      </c>
      <c r="H13" s="125">
        <v>30149</v>
      </c>
      <c r="I13" s="803">
        <v>30149</v>
      </c>
      <c r="J13" s="836">
        <v>30149</v>
      </c>
    </row>
    <row r="14" spans="1:10" ht="15.75">
      <c r="A14" s="584" t="s">
        <v>298</v>
      </c>
      <c r="B14" s="597" t="s">
        <v>310</v>
      </c>
      <c r="C14" s="296"/>
      <c r="D14" s="291"/>
      <c r="E14" s="297"/>
      <c r="F14" s="598">
        <f>SUM(F10:F13)</f>
        <v>157968996</v>
      </c>
      <c r="G14" s="598">
        <f>SUM(G10:G13)</f>
        <v>157969</v>
      </c>
      <c r="H14" s="598">
        <f>SUM(H10:H13)</f>
        <v>157969</v>
      </c>
      <c r="I14" s="802">
        <f>SUM(I10:I13)</f>
        <v>157969</v>
      </c>
      <c r="J14" s="835">
        <f>SUM(J10:J13)</f>
        <v>157969</v>
      </c>
    </row>
    <row r="15" spans="1:10" ht="15.75">
      <c r="A15" s="584" t="s">
        <v>311</v>
      </c>
      <c r="B15" s="599" t="s">
        <v>312</v>
      </c>
      <c r="C15" s="288">
        <v>23733</v>
      </c>
      <c r="D15" s="298" t="s">
        <v>297</v>
      </c>
      <c r="E15" s="295">
        <v>2700</v>
      </c>
      <c r="F15" s="598">
        <f>C15*E15</f>
        <v>64079100</v>
      </c>
      <c r="G15" s="598">
        <v>64079</v>
      </c>
      <c r="H15" s="710">
        <v>64079</v>
      </c>
      <c r="I15" s="806">
        <v>64079</v>
      </c>
      <c r="J15" s="839">
        <v>64079</v>
      </c>
    </row>
    <row r="16" spans="1:10" ht="15" customHeight="1">
      <c r="A16" s="585" t="s">
        <v>313</v>
      </c>
      <c r="B16" s="603" t="s">
        <v>314</v>
      </c>
      <c r="C16" s="299"/>
      <c r="D16" s="300"/>
      <c r="E16" s="301"/>
      <c r="F16" s="604">
        <f>F8+F14+F15</f>
        <v>491214696</v>
      </c>
      <c r="G16" s="604">
        <f>G8+G14+G15</f>
        <v>491214</v>
      </c>
      <c r="H16" s="604">
        <f>H8+H14+H15</f>
        <v>491214</v>
      </c>
      <c r="I16" s="807">
        <f>I8+I14+I15</f>
        <v>491214</v>
      </c>
      <c r="J16" s="840">
        <f>J8+J14+J15</f>
        <v>491214</v>
      </c>
    </row>
    <row r="17" spans="1:10" ht="15" customHeight="1">
      <c r="A17" s="585" t="s">
        <v>315</v>
      </c>
      <c r="B17" s="603" t="s">
        <v>316</v>
      </c>
      <c r="C17" s="299">
        <v>317</v>
      </c>
      <c r="D17" s="300" t="s">
        <v>317</v>
      </c>
      <c r="E17" s="301" t="s">
        <v>318</v>
      </c>
      <c r="F17" s="604">
        <f>C17*100</f>
        <v>31700</v>
      </c>
      <c r="G17" s="604">
        <v>32</v>
      </c>
      <c r="H17" s="710">
        <v>32</v>
      </c>
      <c r="I17" s="806">
        <v>32</v>
      </c>
      <c r="J17" s="839">
        <v>32</v>
      </c>
    </row>
    <row r="18" spans="1:10" ht="15" customHeight="1">
      <c r="A18" s="585" t="s">
        <v>293</v>
      </c>
      <c r="B18" s="603"/>
      <c r="C18" s="299"/>
      <c r="D18" s="300"/>
      <c r="E18" s="301"/>
      <c r="F18" s="604">
        <f>SUM(F16:F17)</f>
        <v>491246396</v>
      </c>
      <c r="G18" s="604">
        <f>SUM(G16:G17)</f>
        <v>491246</v>
      </c>
      <c r="H18" s="604">
        <f>SUM(H16:H17)</f>
        <v>491246</v>
      </c>
      <c r="I18" s="807">
        <f>SUM(I16:I17)</f>
        <v>491246</v>
      </c>
      <c r="J18" s="840">
        <f>SUM(J16:J17)</f>
        <v>491246</v>
      </c>
    </row>
    <row r="19" spans="1:10" ht="30" customHeight="1">
      <c r="A19" s="584" t="s">
        <v>319</v>
      </c>
      <c r="B19" s="605" t="s">
        <v>320</v>
      </c>
      <c r="C19" s="302"/>
      <c r="D19" s="298"/>
      <c r="E19" s="295"/>
      <c r="F19" s="598"/>
      <c r="G19" s="598"/>
      <c r="H19" s="125"/>
      <c r="I19" s="803"/>
      <c r="J19" s="811"/>
    </row>
    <row r="20" spans="1:10" ht="15.75" customHeight="1">
      <c r="A20" s="584"/>
      <c r="B20" s="605" t="s">
        <v>321</v>
      </c>
      <c r="C20" s="303">
        <v>54.1</v>
      </c>
      <c r="D20" s="298" t="s">
        <v>297</v>
      </c>
      <c r="E20" s="295">
        <v>4012000</v>
      </c>
      <c r="F20" s="288">
        <f>C20*E20*8/12</f>
        <v>144699466.66666666</v>
      </c>
      <c r="G20" s="288">
        <v>144700</v>
      </c>
      <c r="H20" s="125">
        <v>149247</v>
      </c>
      <c r="I20" s="803">
        <v>149247</v>
      </c>
      <c r="J20" s="836">
        <v>149247</v>
      </c>
    </row>
    <row r="21" spans="1:10" ht="15.75" customHeight="1">
      <c r="A21" s="584"/>
      <c r="B21" s="605" t="s">
        <v>322</v>
      </c>
      <c r="C21" s="303">
        <v>53.5</v>
      </c>
      <c r="D21" s="298" t="s">
        <v>297</v>
      </c>
      <c r="E21" s="295">
        <v>4012000</v>
      </c>
      <c r="F21" s="288">
        <f>C21*E21*4/12</f>
        <v>71547333.33333333</v>
      </c>
      <c r="G21" s="288">
        <v>71547</v>
      </c>
      <c r="H21" s="125">
        <v>70343</v>
      </c>
      <c r="I21" s="803">
        <v>70343</v>
      </c>
      <c r="J21" s="836">
        <v>70343</v>
      </c>
    </row>
    <row r="22" spans="1:10" ht="15.75" customHeight="1">
      <c r="A22" s="584"/>
      <c r="B22" s="605" t="s">
        <v>323</v>
      </c>
      <c r="C22" s="303">
        <v>53.5</v>
      </c>
      <c r="D22" s="298" t="s">
        <v>297</v>
      </c>
      <c r="E22" s="295">
        <v>34400</v>
      </c>
      <c r="F22" s="288">
        <f>C22*E22</f>
        <v>1840400</v>
      </c>
      <c r="G22" s="288">
        <v>1840</v>
      </c>
      <c r="H22" s="125">
        <v>1809</v>
      </c>
      <c r="I22" s="803">
        <v>1809</v>
      </c>
      <c r="J22" s="836">
        <v>1809</v>
      </c>
    </row>
    <row r="23" spans="1:10" ht="15.75" customHeight="1">
      <c r="A23" s="584"/>
      <c r="B23" s="605" t="s">
        <v>324</v>
      </c>
      <c r="C23" s="303">
        <v>33</v>
      </c>
      <c r="D23" s="298" t="s">
        <v>297</v>
      </c>
      <c r="E23" s="295">
        <v>1800000</v>
      </c>
      <c r="F23" s="288">
        <f>C23*E23*8/12</f>
        <v>39600000</v>
      </c>
      <c r="G23" s="288">
        <v>39600</v>
      </c>
      <c r="H23" s="125">
        <v>38760</v>
      </c>
      <c r="I23" s="803">
        <v>38760</v>
      </c>
      <c r="J23" s="836">
        <v>38760</v>
      </c>
    </row>
    <row r="24" spans="1:10" ht="15.75" customHeight="1">
      <c r="A24" s="584"/>
      <c r="B24" s="605" t="s">
        <v>325</v>
      </c>
      <c r="C24" s="303">
        <v>33</v>
      </c>
      <c r="D24" s="298" t="s">
        <v>297</v>
      </c>
      <c r="E24" s="295">
        <v>1800000</v>
      </c>
      <c r="F24" s="288">
        <f>C24*E24*4/12</f>
        <v>19800000</v>
      </c>
      <c r="G24" s="288">
        <v>19800</v>
      </c>
      <c r="H24" s="125">
        <v>20400</v>
      </c>
      <c r="I24" s="803">
        <v>20400</v>
      </c>
      <c r="J24" s="836">
        <v>20400</v>
      </c>
    </row>
    <row r="25" spans="1:10" ht="28.5" customHeight="1">
      <c r="A25" s="585" t="s">
        <v>319</v>
      </c>
      <c r="B25" s="606" t="s">
        <v>326</v>
      </c>
      <c r="C25" s="302"/>
      <c r="D25" s="298"/>
      <c r="E25" s="295"/>
      <c r="F25" s="604">
        <f>SUM(F20:F24)</f>
        <v>277487200</v>
      </c>
      <c r="G25" s="604">
        <f>SUM(G20:G24)</f>
        <v>277487</v>
      </c>
      <c r="H25" s="604">
        <f>SUM(H20:H24)</f>
        <v>280559</v>
      </c>
      <c r="I25" s="807">
        <f>SUM(I20:I24)</f>
        <v>280559</v>
      </c>
      <c r="J25" s="840">
        <f>SUM(J20:J24)</f>
        <v>280559</v>
      </c>
    </row>
    <row r="26" spans="1:10" ht="15.75">
      <c r="A26" s="584" t="s">
        <v>327</v>
      </c>
      <c r="B26" s="599" t="s">
        <v>328</v>
      </c>
      <c r="C26" s="304"/>
      <c r="D26" s="298"/>
      <c r="E26" s="295"/>
      <c r="F26" s="598"/>
      <c r="G26" s="598"/>
      <c r="H26" s="125"/>
      <c r="I26" s="803"/>
      <c r="J26" s="811"/>
    </row>
    <row r="27" spans="1:10" ht="15.75">
      <c r="A27" s="584"/>
      <c r="B27" s="599" t="s">
        <v>329</v>
      </c>
      <c r="C27" s="304">
        <v>6</v>
      </c>
      <c r="D27" s="298" t="s">
        <v>297</v>
      </c>
      <c r="E27" s="295">
        <v>56000</v>
      </c>
      <c r="F27" s="288">
        <f>C27*E27*8/12</f>
        <v>224000</v>
      </c>
      <c r="G27" s="288">
        <v>224</v>
      </c>
      <c r="H27" s="125">
        <v>224</v>
      </c>
      <c r="I27" s="803">
        <v>224</v>
      </c>
      <c r="J27" s="836">
        <v>224</v>
      </c>
    </row>
    <row r="28" spans="1:10" ht="15.75">
      <c r="A28" s="584"/>
      <c r="B28" s="599" t="s">
        <v>330</v>
      </c>
      <c r="C28" s="304">
        <v>586</v>
      </c>
      <c r="D28" s="298"/>
      <c r="E28" s="295">
        <v>56000</v>
      </c>
      <c r="F28" s="288">
        <f>C28*E28*8/12</f>
        <v>21877333.333333332</v>
      </c>
      <c r="G28" s="288">
        <v>21877</v>
      </c>
      <c r="H28" s="125">
        <v>22586</v>
      </c>
      <c r="I28" s="803">
        <v>22586</v>
      </c>
      <c r="J28" s="836">
        <v>22586</v>
      </c>
    </row>
    <row r="29" spans="1:10" ht="15.75">
      <c r="A29" s="584"/>
      <c r="B29" s="599" t="s">
        <v>331</v>
      </c>
      <c r="C29" s="304">
        <v>589</v>
      </c>
      <c r="D29" s="298" t="s">
        <v>297</v>
      </c>
      <c r="E29" s="295">
        <v>56000</v>
      </c>
      <c r="F29" s="288">
        <f>C29*E29*4/12</f>
        <v>10994666.666666666</v>
      </c>
      <c r="G29" s="288">
        <v>10995</v>
      </c>
      <c r="H29" s="125">
        <v>10995</v>
      </c>
      <c r="I29" s="803">
        <v>10995</v>
      </c>
      <c r="J29" s="836">
        <v>10995</v>
      </c>
    </row>
    <row r="30" spans="1:10" ht="15.75">
      <c r="A30" s="585" t="s">
        <v>327</v>
      </c>
      <c r="B30" s="306" t="s">
        <v>332</v>
      </c>
      <c r="C30" s="304"/>
      <c r="D30" s="298"/>
      <c r="E30" s="295"/>
      <c r="F30" s="604">
        <f>SUM(F27:F29)</f>
        <v>33096000</v>
      </c>
      <c r="G30" s="604">
        <f>SUM(G27:G29)</f>
        <v>33096</v>
      </c>
      <c r="H30" s="604">
        <f>SUM(H27:H29)</f>
        <v>33805</v>
      </c>
      <c r="I30" s="807">
        <f>SUM(I27:I29)</f>
        <v>33805</v>
      </c>
      <c r="J30" s="840">
        <f>SUM(J27:J29)</f>
        <v>33805</v>
      </c>
    </row>
    <row r="31" spans="1:10" ht="18" customHeight="1">
      <c r="A31" s="585" t="s">
        <v>333</v>
      </c>
      <c r="B31" s="606" t="s">
        <v>334</v>
      </c>
      <c r="C31" s="304"/>
      <c r="D31" s="298"/>
      <c r="E31" s="295"/>
      <c r="F31" s="604">
        <f>F25+F30</f>
        <v>310583200</v>
      </c>
      <c r="G31" s="604">
        <f>G25+G30</f>
        <v>310583</v>
      </c>
      <c r="H31" s="604">
        <f>H25+H30</f>
        <v>314364</v>
      </c>
      <c r="I31" s="807">
        <f>I25+I30</f>
        <v>314364</v>
      </c>
      <c r="J31" s="840">
        <f>J25+J30</f>
        <v>314364</v>
      </c>
    </row>
    <row r="32" spans="1:10" ht="18" customHeight="1">
      <c r="A32" s="585" t="s">
        <v>335</v>
      </c>
      <c r="B32" s="606" t="s">
        <v>336</v>
      </c>
      <c r="C32" s="304"/>
      <c r="D32" s="298"/>
      <c r="E32" s="295"/>
      <c r="F32" s="604">
        <v>92850000</v>
      </c>
      <c r="G32" s="604">
        <v>92850</v>
      </c>
      <c r="H32" s="710">
        <v>92850</v>
      </c>
      <c r="I32" s="806">
        <v>92850</v>
      </c>
      <c r="J32" s="839">
        <v>92850</v>
      </c>
    </row>
    <row r="33" spans="1:10" ht="15.75" customHeight="1">
      <c r="A33" s="585" t="s">
        <v>337</v>
      </c>
      <c r="B33" s="606" t="s">
        <v>338</v>
      </c>
      <c r="C33" s="304"/>
      <c r="D33" s="298"/>
      <c r="E33" s="295"/>
      <c r="F33" s="604">
        <v>49054837</v>
      </c>
      <c r="G33" s="604">
        <v>49055</v>
      </c>
      <c r="H33" s="710">
        <v>49055</v>
      </c>
      <c r="I33" s="806">
        <v>49055</v>
      </c>
      <c r="J33" s="839">
        <v>49055</v>
      </c>
    </row>
    <row r="34" spans="1:10" ht="15.75">
      <c r="A34" s="586" t="s">
        <v>339</v>
      </c>
      <c r="B34" s="607" t="s">
        <v>340</v>
      </c>
      <c r="C34" s="304"/>
      <c r="D34" s="298"/>
      <c r="E34" s="295"/>
      <c r="F34" s="288"/>
      <c r="G34" s="288"/>
      <c r="H34" s="125"/>
      <c r="I34" s="803"/>
      <c r="J34" s="811"/>
    </row>
    <row r="35" spans="1:10" ht="15.75">
      <c r="A35" s="586" t="s">
        <v>341</v>
      </c>
      <c r="B35" s="599" t="s">
        <v>367</v>
      </c>
      <c r="C35" s="305">
        <v>7.831</v>
      </c>
      <c r="D35" s="298" t="s">
        <v>297</v>
      </c>
      <c r="E35" s="295">
        <v>3950000</v>
      </c>
      <c r="F35" s="288">
        <f>C35*3950000</f>
        <v>30932450</v>
      </c>
      <c r="G35" s="288">
        <v>30932</v>
      </c>
      <c r="H35" s="125">
        <v>30932</v>
      </c>
      <c r="I35" s="803">
        <v>30932</v>
      </c>
      <c r="J35" s="836">
        <v>30932</v>
      </c>
    </row>
    <row r="36" spans="1:10" ht="15.75">
      <c r="A36" s="586"/>
      <c r="B36" s="306" t="s">
        <v>368</v>
      </c>
      <c r="C36" s="295">
        <v>39155</v>
      </c>
      <c r="D36" s="298" t="s">
        <v>297</v>
      </c>
      <c r="E36" s="295">
        <v>300</v>
      </c>
      <c r="F36" s="288">
        <f>C36*E36</f>
        <v>11746500</v>
      </c>
      <c r="G36" s="288">
        <v>11747</v>
      </c>
      <c r="H36" s="125">
        <v>16423</v>
      </c>
      <c r="I36" s="803">
        <v>16423</v>
      </c>
      <c r="J36" s="836">
        <v>16423</v>
      </c>
    </row>
    <row r="37" spans="1:10" ht="15.75">
      <c r="A37" s="586"/>
      <c r="B37" s="306" t="s">
        <v>879</v>
      </c>
      <c r="C37" s="295">
        <v>6599</v>
      </c>
      <c r="D37" s="298" t="s">
        <v>297</v>
      </c>
      <c r="E37" s="295">
        <v>1200</v>
      </c>
      <c r="F37" s="288">
        <f>C37*E37</f>
        <v>7918800</v>
      </c>
      <c r="G37" s="288">
        <v>7919</v>
      </c>
      <c r="H37" s="125">
        <v>7919</v>
      </c>
      <c r="I37" s="803">
        <v>7919</v>
      </c>
      <c r="J37" s="836">
        <v>7919</v>
      </c>
    </row>
    <row r="38" spans="1:10" ht="15.75">
      <c r="A38" s="584" t="s">
        <v>369</v>
      </c>
      <c r="B38" s="599" t="s">
        <v>370</v>
      </c>
      <c r="C38" s="305"/>
      <c r="D38" s="298"/>
      <c r="E38" s="295"/>
      <c r="F38" s="598">
        <f>SUM(F35:F37)</f>
        <v>50597750</v>
      </c>
      <c r="G38" s="598">
        <f>SUM(G35:G37)</f>
        <v>50598</v>
      </c>
      <c r="H38" s="598">
        <f>SUM(H35:H37)</f>
        <v>55274</v>
      </c>
      <c r="I38" s="802">
        <f>SUM(I35:I37)</f>
        <v>55274</v>
      </c>
      <c r="J38" s="835">
        <f>SUM(J35:J37)</f>
        <v>55274</v>
      </c>
    </row>
    <row r="39" spans="1:10" ht="15.75">
      <c r="A39" s="584" t="s">
        <v>371</v>
      </c>
      <c r="B39" s="599" t="s">
        <v>372</v>
      </c>
      <c r="C39" s="304">
        <v>80</v>
      </c>
      <c r="D39" s="298" t="s">
        <v>297</v>
      </c>
      <c r="E39" s="295">
        <v>60896</v>
      </c>
      <c r="F39" s="598">
        <f>C39*E39</f>
        <v>4871680</v>
      </c>
      <c r="G39" s="598">
        <v>4872</v>
      </c>
      <c r="H39" s="710">
        <v>4872</v>
      </c>
      <c r="I39" s="806">
        <v>4872</v>
      </c>
      <c r="J39" s="839">
        <v>4872</v>
      </c>
    </row>
    <row r="40" spans="1:10" ht="29.25" customHeight="1">
      <c r="A40" s="584" t="s">
        <v>373</v>
      </c>
      <c r="B40" s="605" t="s">
        <v>374</v>
      </c>
      <c r="C40" s="304">
        <v>22</v>
      </c>
      <c r="D40" s="298" t="s">
        <v>297</v>
      </c>
      <c r="E40" s="295">
        <v>145000</v>
      </c>
      <c r="F40" s="598">
        <f>C40*(E40*130%)</f>
        <v>4147000</v>
      </c>
      <c r="G40" s="598">
        <v>4147</v>
      </c>
      <c r="H40" s="710">
        <v>4147</v>
      </c>
      <c r="I40" s="806">
        <v>4147</v>
      </c>
      <c r="J40" s="839">
        <v>4147</v>
      </c>
    </row>
    <row r="41" spans="1:10" ht="31.5">
      <c r="A41" s="584" t="s">
        <v>375</v>
      </c>
      <c r="B41" s="605" t="s">
        <v>376</v>
      </c>
      <c r="C41" s="304">
        <v>65</v>
      </c>
      <c r="D41" s="298" t="s">
        <v>297</v>
      </c>
      <c r="E41" s="295">
        <v>109000</v>
      </c>
      <c r="F41" s="598">
        <f>C41*(E41*150%)</f>
        <v>10627500</v>
      </c>
      <c r="G41" s="598">
        <v>10627</v>
      </c>
      <c r="H41" s="710">
        <v>10627</v>
      </c>
      <c r="I41" s="806">
        <v>10627</v>
      </c>
      <c r="J41" s="839">
        <v>10627</v>
      </c>
    </row>
    <row r="42" spans="1:10" ht="31.5">
      <c r="A42" s="584" t="s">
        <v>377</v>
      </c>
      <c r="B42" s="605" t="s">
        <v>378</v>
      </c>
      <c r="C42" s="304">
        <v>25</v>
      </c>
      <c r="D42" s="298" t="s">
        <v>297</v>
      </c>
      <c r="E42" s="295">
        <v>500000</v>
      </c>
      <c r="F42" s="598">
        <f>C42*(E42*110%)</f>
        <v>13750000</v>
      </c>
      <c r="G42" s="598">
        <v>13750</v>
      </c>
      <c r="H42" s="710">
        <v>13750</v>
      </c>
      <c r="I42" s="806">
        <v>13750</v>
      </c>
      <c r="J42" s="839">
        <v>13750</v>
      </c>
    </row>
    <row r="43" spans="1:10" ht="31.5">
      <c r="A43" s="584" t="s">
        <v>379</v>
      </c>
      <c r="B43" s="605" t="s">
        <v>380</v>
      </c>
      <c r="C43" s="304">
        <v>33</v>
      </c>
      <c r="D43" s="298" t="s">
        <v>297</v>
      </c>
      <c r="E43" s="295">
        <v>206100</v>
      </c>
      <c r="F43" s="598">
        <f>C43*(E43*120%)</f>
        <v>8161560</v>
      </c>
      <c r="G43" s="598">
        <v>8162</v>
      </c>
      <c r="H43" s="710">
        <v>8162</v>
      </c>
      <c r="I43" s="806">
        <v>8162</v>
      </c>
      <c r="J43" s="839">
        <v>8162</v>
      </c>
    </row>
    <row r="44" spans="1:10" ht="15.75">
      <c r="A44" s="585" t="s">
        <v>381</v>
      </c>
      <c r="B44" s="306" t="s">
        <v>382</v>
      </c>
      <c r="C44" s="304"/>
      <c r="D44" s="298"/>
      <c r="E44" s="295"/>
      <c r="F44" s="604"/>
      <c r="G44" s="604"/>
      <c r="H44" s="125"/>
      <c r="I44" s="803"/>
      <c r="J44" s="836"/>
    </row>
    <row r="45" spans="1:10" ht="15.75">
      <c r="A45" s="583" t="s">
        <v>383</v>
      </c>
      <c r="B45" s="607" t="s">
        <v>384</v>
      </c>
      <c r="C45" s="304">
        <v>61</v>
      </c>
      <c r="D45" s="298" t="s">
        <v>297</v>
      </c>
      <c r="E45" s="295">
        <v>494100</v>
      </c>
      <c r="F45" s="288">
        <f>C45*E45</f>
        <v>30140100</v>
      </c>
      <c r="G45" s="288">
        <v>30140</v>
      </c>
      <c r="H45" s="709">
        <v>29861</v>
      </c>
      <c r="I45" s="805">
        <v>29861</v>
      </c>
      <c r="J45" s="838">
        <v>29861</v>
      </c>
    </row>
    <row r="46" spans="1:10" ht="31.5">
      <c r="A46" s="583" t="s">
        <v>383</v>
      </c>
      <c r="B46" s="605" t="s">
        <v>385</v>
      </c>
      <c r="C46" s="304">
        <v>8</v>
      </c>
      <c r="D46" s="298" t="s">
        <v>297</v>
      </c>
      <c r="E46" s="295">
        <v>518805</v>
      </c>
      <c r="F46" s="288">
        <f>C46*E46</f>
        <v>4150440</v>
      </c>
      <c r="G46" s="288">
        <v>4150</v>
      </c>
      <c r="H46" s="709">
        <v>2075</v>
      </c>
      <c r="I46" s="805">
        <v>2075</v>
      </c>
      <c r="J46" s="838">
        <v>2075</v>
      </c>
    </row>
    <row r="47" spans="1:10" ht="31.5">
      <c r="A47" s="583" t="s">
        <v>383</v>
      </c>
      <c r="B47" s="605" t="s">
        <v>386</v>
      </c>
      <c r="C47" s="304">
        <v>6</v>
      </c>
      <c r="D47" s="298" t="s">
        <v>297</v>
      </c>
      <c r="E47" s="295">
        <v>543510</v>
      </c>
      <c r="F47" s="288">
        <f>C47*E47</f>
        <v>3261060</v>
      </c>
      <c r="G47" s="288">
        <v>3261</v>
      </c>
      <c r="H47" s="709">
        <v>2174</v>
      </c>
      <c r="I47" s="805">
        <v>2174</v>
      </c>
      <c r="J47" s="838">
        <v>2174</v>
      </c>
    </row>
    <row r="48" spans="1:10" ht="15.75">
      <c r="A48" s="583" t="s">
        <v>383</v>
      </c>
      <c r="B48" s="607" t="s">
        <v>387</v>
      </c>
      <c r="C48" s="304">
        <v>4</v>
      </c>
      <c r="D48" s="298" t="s">
        <v>297</v>
      </c>
      <c r="E48" s="295">
        <v>741150</v>
      </c>
      <c r="F48" s="288">
        <f>C48*E48</f>
        <v>2964600</v>
      </c>
      <c r="G48" s="288">
        <v>2965</v>
      </c>
      <c r="H48" s="125">
        <v>2965</v>
      </c>
      <c r="I48" s="803">
        <v>2965</v>
      </c>
      <c r="J48" s="836">
        <v>2965</v>
      </c>
    </row>
    <row r="49" spans="1:10" ht="15.75">
      <c r="A49" s="585" t="s">
        <v>381</v>
      </c>
      <c r="B49" s="306" t="s">
        <v>388</v>
      </c>
      <c r="C49" s="304"/>
      <c r="D49" s="298"/>
      <c r="E49" s="295"/>
      <c r="F49" s="604">
        <f>SUM(F45:F48)</f>
        <v>40516200</v>
      </c>
      <c r="G49" s="604">
        <f>SUM(G45:G48)</f>
        <v>40516</v>
      </c>
      <c r="H49" s="604">
        <f>SUM(H45:H48)</f>
        <v>37075</v>
      </c>
      <c r="I49" s="807">
        <f>SUM(I45:I48)</f>
        <v>37075</v>
      </c>
      <c r="J49" s="840">
        <f>SUM(J45:J48)</f>
        <v>37075</v>
      </c>
    </row>
    <row r="50" spans="1:10" ht="31.5">
      <c r="A50" s="584" t="s">
        <v>389</v>
      </c>
      <c r="B50" s="605" t="s">
        <v>390</v>
      </c>
      <c r="C50" s="304">
        <v>32</v>
      </c>
      <c r="D50" s="298" t="s">
        <v>391</v>
      </c>
      <c r="E50" s="295">
        <v>468350</v>
      </c>
      <c r="F50" s="598">
        <f>C50*(E50*110%)</f>
        <v>16485920.000000002</v>
      </c>
      <c r="G50" s="598">
        <v>16486</v>
      </c>
      <c r="H50" s="710">
        <v>16486</v>
      </c>
      <c r="I50" s="806">
        <v>16486</v>
      </c>
      <c r="J50" s="839">
        <v>16486</v>
      </c>
    </row>
    <row r="51" spans="1:10" ht="18.75" customHeight="1">
      <c r="A51" s="585" t="s">
        <v>339</v>
      </c>
      <c r="B51" s="306" t="s">
        <v>392</v>
      </c>
      <c r="C51" s="304"/>
      <c r="D51" s="298"/>
      <c r="E51" s="295"/>
      <c r="F51" s="604">
        <f>F38+F39+F40+F41+F42+F43+F49+F50</f>
        <v>149157610</v>
      </c>
      <c r="G51" s="604">
        <f>G38+G39+G40+G41+G42+G43+G49+G50</f>
        <v>149158</v>
      </c>
      <c r="H51" s="604">
        <f>H38+H39+H40+H41+H42+H43+H49+H50</f>
        <v>150393</v>
      </c>
      <c r="I51" s="807">
        <f>I38+I39+I40+I41+I42+I43+I49+I50</f>
        <v>150393</v>
      </c>
      <c r="J51" s="840">
        <f>J38+J39+J40+J41+J42+J43+J49+J50</f>
        <v>150393</v>
      </c>
    </row>
    <row r="52" spans="1:10" ht="18" customHeight="1">
      <c r="A52" s="587" t="s">
        <v>393</v>
      </c>
      <c r="B52" s="306" t="s">
        <v>394</v>
      </c>
      <c r="C52" s="288">
        <v>42</v>
      </c>
      <c r="D52" s="298" t="s">
        <v>297</v>
      </c>
      <c r="E52" s="295">
        <v>2606040</v>
      </c>
      <c r="F52" s="604">
        <f>C52*E52</f>
        <v>109453680</v>
      </c>
      <c r="G52" s="604">
        <v>109454</v>
      </c>
      <c r="H52" s="710">
        <v>114514</v>
      </c>
      <c r="I52" s="806">
        <v>114514</v>
      </c>
      <c r="J52" s="839">
        <v>114514</v>
      </c>
    </row>
    <row r="53" spans="1:10" ht="18" customHeight="1">
      <c r="A53" s="587" t="s">
        <v>393</v>
      </c>
      <c r="B53" s="306" t="s">
        <v>395</v>
      </c>
      <c r="C53" s="288"/>
      <c r="D53" s="298"/>
      <c r="E53" s="307"/>
      <c r="F53" s="604">
        <v>47306000</v>
      </c>
      <c r="G53" s="604">
        <v>47306</v>
      </c>
      <c r="H53" s="710">
        <v>47306</v>
      </c>
      <c r="I53" s="806">
        <v>47306</v>
      </c>
      <c r="J53" s="839">
        <v>47306</v>
      </c>
    </row>
    <row r="54" spans="1:10" ht="18" customHeight="1">
      <c r="A54" s="585" t="s">
        <v>396</v>
      </c>
      <c r="B54" s="306" t="s">
        <v>397</v>
      </c>
      <c r="C54" s="288"/>
      <c r="D54" s="298"/>
      <c r="E54" s="307"/>
      <c r="F54" s="604">
        <f>SUM(F52:F53)</f>
        <v>156759680</v>
      </c>
      <c r="G54" s="604">
        <v>156760</v>
      </c>
      <c r="H54" s="710">
        <v>161820</v>
      </c>
      <c r="I54" s="806">
        <v>161820</v>
      </c>
      <c r="J54" s="839">
        <v>161820</v>
      </c>
    </row>
    <row r="55" spans="1:10" ht="16.5" customHeight="1">
      <c r="A55" s="584" t="s">
        <v>398</v>
      </c>
      <c r="B55" s="597" t="s">
        <v>399</v>
      </c>
      <c r="C55" s="304"/>
      <c r="D55" s="298"/>
      <c r="E55" s="295"/>
      <c r="F55" s="598"/>
      <c r="G55" s="598"/>
      <c r="H55" s="125"/>
      <c r="I55" s="803"/>
      <c r="J55" s="811"/>
    </row>
    <row r="56" spans="1:10" ht="16.5" customHeight="1">
      <c r="A56" s="583" t="s">
        <v>400</v>
      </c>
      <c r="B56" s="605" t="s">
        <v>401</v>
      </c>
      <c r="C56" s="304">
        <v>43.22</v>
      </c>
      <c r="D56" s="298" t="s">
        <v>402</v>
      </c>
      <c r="E56" s="295">
        <v>1632000</v>
      </c>
      <c r="F56" s="288">
        <f>C56*E56</f>
        <v>70535040</v>
      </c>
      <c r="G56" s="288">
        <v>70535</v>
      </c>
      <c r="H56" s="125">
        <v>60417</v>
      </c>
      <c r="I56" s="803">
        <v>60417</v>
      </c>
      <c r="J56" s="836">
        <v>60417</v>
      </c>
    </row>
    <row r="57" spans="1:10" ht="17.25" customHeight="1">
      <c r="A57" s="583" t="s">
        <v>403</v>
      </c>
      <c r="B57" s="599" t="s">
        <v>404</v>
      </c>
      <c r="C57" s="308">
        <v>0</v>
      </c>
      <c r="D57" s="298"/>
      <c r="E57" s="295"/>
      <c r="F57" s="288">
        <v>0</v>
      </c>
      <c r="G57" s="288">
        <v>0</v>
      </c>
      <c r="H57" s="125">
        <v>34656</v>
      </c>
      <c r="I57" s="803">
        <v>34656</v>
      </c>
      <c r="J57" s="836">
        <v>34656</v>
      </c>
    </row>
    <row r="58" spans="1:10" ht="30.75" customHeight="1">
      <c r="A58" s="585" t="s">
        <v>398</v>
      </c>
      <c r="B58" s="306" t="s">
        <v>405</v>
      </c>
      <c r="C58" s="308"/>
      <c r="D58" s="298"/>
      <c r="E58" s="295"/>
      <c r="F58" s="604">
        <f>SUM(F56:F57)</f>
        <v>70535040</v>
      </c>
      <c r="G58" s="604">
        <f>SUM(G56:G57)</f>
        <v>70535</v>
      </c>
      <c r="H58" s="604">
        <f>SUM(H56:H57)</f>
        <v>95073</v>
      </c>
      <c r="I58" s="807">
        <f>SUM(I56:I57)</f>
        <v>95073</v>
      </c>
      <c r="J58" s="840">
        <f>SUM(J56:J57)</f>
        <v>95073</v>
      </c>
    </row>
    <row r="59" spans="1:10" ht="30.75" customHeight="1">
      <c r="A59" s="588" t="s">
        <v>408</v>
      </c>
      <c r="B59" s="606" t="s">
        <v>409</v>
      </c>
      <c r="C59" s="304"/>
      <c r="D59" s="298"/>
      <c r="E59" s="295"/>
      <c r="F59" s="604">
        <f>F32+F33+F51+F54+F58</f>
        <v>518357167</v>
      </c>
      <c r="G59" s="604">
        <f>G32+G33+G51+G54+G58</f>
        <v>518358</v>
      </c>
      <c r="H59" s="604">
        <f>H32+H33+H51+H54+H58</f>
        <v>549191</v>
      </c>
      <c r="I59" s="807">
        <f>I32+I33+I51+I54+I58</f>
        <v>549191</v>
      </c>
      <c r="J59" s="840">
        <f>J32+J33+J51+J54+J58</f>
        <v>549191</v>
      </c>
    </row>
    <row r="60" spans="1:10" ht="15.75" customHeight="1">
      <c r="A60" s="585" t="s">
        <v>410</v>
      </c>
      <c r="B60" s="605" t="s">
        <v>411</v>
      </c>
      <c r="C60" s="304"/>
      <c r="D60" s="298"/>
      <c r="E60" s="295"/>
      <c r="F60" s="604"/>
      <c r="G60" s="604"/>
      <c r="H60" s="125"/>
      <c r="I60" s="803"/>
      <c r="J60" s="811"/>
    </row>
    <row r="61" spans="1:10" ht="15.75" customHeight="1">
      <c r="A61" s="584" t="s">
        <v>412</v>
      </c>
      <c r="B61" s="605" t="s">
        <v>413</v>
      </c>
      <c r="C61" s="304"/>
      <c r="D61" s="298"/>
      <c r="E61" s="295"/>
      <c r="F61" s="288">
        <v>88000000</v>
      </c>
      <c r="G61" s="288">
        <v>88000</v>
      </c>
      <c r="H61" s="709">
        <v>88000</v>
      </c>
      <c r="I61" s="805">
        <v>88000</v>
      </c>
      <c r="J61" s="836">
        <v>88000</v>
      </c>
    </row>
    <row r="62" spans="1:10" ht="15.75">
      <c r="A62" s="584" t="s">
        <v>414</v>
      </c>
      <c r="B62" s="599" t="s">
        <v>415</v>
      </c>
      <c r="C62" s="295">
        <v>23733</v>
      </c>
      <c r="D62" s="298" t="s">
        <v>297</v>
      </c>
      <c r="E62" s="295">
        <v>1140</v>
      </c>
      <c r="F62" s="288">
        <f>C62*E62</f>
        <v>27055620</v>
      </c>
      <c r="G62" s="288">
        <v>27056</v>
      </c>
      <c r="H62" s="709">
        <v>27056</v>
      </c>
      <c r="I62" s="805">
        <v>27056</v>
      </c>
      <c r="J62" s="836">
        <v>27056</v>
      </c>
    </row>
    <row r="63" spans="1:10" ht="17.25" customHeight="1">
      <c r="A63" s="587" t="s">
        <v>416</v>
      </c>
      <c r="B63" s="306" t="s">
        <v>417</v>
      </c>
      <c r="C63" s="304"/>
      <c r="D63" s="298"/>
      <c r="E63" s="295"/>
      <c r="F63" s="604">
        <f>SUM(F61:F62)</f>
        <v>115055620</v>
      </c>
      <c r="G63" s="604">
        <f>SUM(G61:G62)</f>
        <v>115056</v>
      </c>
      <c r="H63" s="604">
        <f>SUM(H61:H62)</f>
        <v>115056</v>
      </c>
      <c r="I63" s="807">
        <f>SUM(I61:I62)</f>
        <v>115056</v>
      </c>
      <c r="J63" s="840">
        <f>SUM(J61:J62)</f>
        <v>115056</v>
      </c>
    </row>
    <row r="64" spans="1:10" ht="30" customHeight="1">
      <c r="A64" s="589" t="s">
        <v>418</v>
      </c>
      <c r="B64" s="607" t="s">
        <v>419</v>
      </c>
      <c r="C64" s="304"/>
      <c r="D64" s="298"/>
      <c r="E64" s="295"/>
      <c r="F64" s="604"/>
      <c r="G64" s="604"/>
      <c r="H64" s="125"/>
      <c r="I64" s="803"/>
      <c r="J64" s="811"/>
    </row>
    <row r="65" spans="1:10" ht="15.75">
      <c r="A65" s="583"/>
      <c r="B65" s="607" t="s">
        <v>420</v>
      </c>
      <c r="C65" s="296">
        <v>53815280559</v>
      </c>
      <c r="D65" s="291"/>
      <c r="E65" s="309" t="s">
        <v>421</v>
      </c>
      <c r="F65" s="294">
        <f>C65*E65</f>
        <v>269076402.795</v>
      </c>
      <c r="G65" s="294"/>
      <c r="H65" s="125"/>
      <c r="I65" s="803"/>
      <c r="J65" s="811"/>
    </row>
    <row r="66" spans="1:10" ht="47.25">
      <c r="A66" s="583"/>
      <c r="B66" s="605" t="s">
        <v>422</v>
      </c>
      <c r="C66" s="294">
        <f>F65</f>
        <v>269076402.795</v>
      </c>
      <c r="D66" s="291" t="s">
        <v>423</v>
      </c>
      <c r="E66" s="309" t="s">
        <v>424</v>
      </c>
      <c r="F66" s="294">
        <f>C66*E66</f>
        <v>255622582.65525</v>
      </c>
      <c r="G66" s="294"/>
      <c r="H66" s="125"/>
      <c r="I66" s="803"/>
      <c r="J66" s="811"/>
    </row>
    <row r="67" spans="1:10" ht="31.5">
      <c r="A67" s="585" t="s">
        <v>425</v>
      </c>
      <c r="B67" s="606" t="s">
        <v>768</v>
      </c>
      <c r="C67" s="294"/>
      <c r="D67" s="291"/>
      <c r="E67" s="309"/>
      <c r="F67" s="608">
        <f>-F66</f>
        <v>-255622582.65525</v>
      </c>
      <c r="G67" s="608">
        <v>-255623</v>
      </c>
      <c r="H67" s="710">
        <v>-255623</v>
      </c>
      <c r="I67" s="806">
        <v>-255623</v>
      </c>
      <c r="J67" s="839">
        <v>-255623</v>
      </c>
    </row>
    <row r="68" spans="1:10" s="651" customFormat="1" ht="17.25" customHeight="1">
      <c r="A68" s="590" t="s">
        <v>243</v>
      </c>
      <c r="B68" s="609" t="s">
        <v>244</v>
      </c>
      <c r="C68" s="405"/>
      <c r="D68" s="406"/>
      <c r="E68" s="407"/>
      <c r="F68" s="310">
        <f>SUM(F18+F31+F59+F63+F67)</f>
        <v>1179619800.34475</v>
      </c>
      <c r="G68" s="310">
        <f>SUM(G18+G31+G59+G63+G67)</f>
        <v>1179620</v>
      </c>
      <c r="H68" s="310">
        <f>SUM(H18+H31+H59+H63+H67)</f>
        <v>1214234</v>
      </c>
      <c r="I68" s="808">
        <f>SUM(I18+I31+I59+I63+I67)</f>
        <v>1214234</v>
      </c>
      <c r="J68" s="841">
        <f>SUM(J18+J31+J59+J63+J67)</f>
        <v>1214234</v>
      </c>
    </row>
    <row r="69" spans="1:10" s="651" customFormat="1" ht="15.75" customHeight="1">
      <c r="A69" s="591"/>
      <c r="B69" s="609"/>
      <c r="C69" s="405"/>
      <c r="D69" s="406"/>
      <c r="E69" s="407"/>
      <c r="F69" s="310"/>
      <c r="G69" s="310"/>
      <c r="H69" s="405"/>
      <c r="I69" s="809"/>
      <c r="J69" s="812"/>
    </row>
    <row r="70" spans="1:10" ht="15.75">
      <c r="A70" s="592"/>
      <c r="B70" s="610" t="s">
        <v>880</v>
      </c>
      <c r="C70" s="311"/>
      <c r="D70" s="311"/>
      <c r="E70" s="311"/>
      <c r="F70" s="611"/>
      <c r="G70" s="611"/>
      <c r="H70" s="125">
        <v>71661</v>
      </c>
      <c r="I70" s="803">
        <v>71661</v>
      </c>
      <c r="J70" s="811">
        <v>91033</v>
      </c>
    </row>
    <row r="71" spans="1:10" ht="15.75">
      <c r="A71" s="592" t="s">
        <v>764</v>
      </c>
      <c r="B71" s="610" t="s">
        <v>765</v>
      </c>
      <c r="C71" s="311"/>
      <c r="D71" s="311"/>
      <c r="E71" s="311"/>
      <c r="F71" s="611"/>
      <c r="G71" s="611"/>
      <c r="H71" s="125"/>
      <c r="I71" s="803"/>
      <c r="J71" s="811"/>
    </row>
    <row r="72" spans="1:10" ht="15.75">
      <c r="A72" s="593" t="s">
        <v>238</v>
      </c>
      <c r="B72" s="610" t="s">
        <v>742</v>
      </c>
      <c r="C72" s="311"/>
      <c r="D72" s="311"/>
      <c r="E72" s="311"/>
      <c r="F72" s="123">
        <v>4622927</v>
      </c>
      <c r="G72" s="123">
        <v>4623</v>
      </c>
      <c r="H72" s="125">
        <v>4623</v>
      </c>
      <c r="I72" s="803">
        <v>4623</v>
      </c>
      <c r="J72" s="811">
        <v>12596</v>
      </c>
    </row>
    <row r="73" spans="1:10" ht="15.75">
      <c r="A73" s="593" t="s">
        <v>767</v>
      </c>
      <c r="B73" s="610" t="s">
        <v>766</v>
      </c>
      <c r="C73" s="311"/>
      <c r="D73" s="311"/>
      <c r="E73" s="311"/>
      <c r="F73" s="123"/>
      <c r="G73" s="123"/>
      <c r="H73" s="125"/>
      <c r="I73" s="803"/>
      <c r="J73" s="811"/>
    </row>
    <row r="74" spans="1:10" ht="15.75">
      <c r="A74" s="594" t="s">
        <v>239</v>
      </c>
      <c r="B74" s="612" t="s">
        <v>240</v>
      </c>
      <c r="C74" s="191"/>
      <c r="D74" s="122"/>
      <c r="E74" s="123"/>
      <c r="F74" s="310"/>
      <c r="G74" s="310"/>
      <c r="H74" s="125"/>
      <c r="I74" s="803"/>
      <c r="J74" s="811"/>
    </row>
    <row r="75" spans="1:10" ht="15.75">
      <c r="A75" s="594"/>
      <c r="B75" s="613" t="s">
        <v>241</v>
      </c>
      <c r="C75" s="125">
        <v>24764000</v>
      </c>
      <c r="D75" s="122" t="s">
        <v>242</v>
      </c>
      <c r="E75" s="124">
        <v>1.5</v>
      </c>
      <c r="F75" s="310">
        <v>37146000</v>
      </c>
      <c r="G75" s="310">
        <v>37146</v>
      </c>
      <c r="H75" s="125">
        <v>37146</v>
      </c>
      <c r="I75" s="803">
        <v>37146</v>
      </c>
      <c r="J75" s="836">
        <v>37146</v>
      </c>
    </row>
    <row r="76" spans="1:10" ht="15.75">
      <c r="A76" s="595" t="s">
        <v>236</v>
      </c>
      <c r="B76" s="614" t="s">
        <v>237</v>
      </c>
      <c r="C76" s="125"/>
      <c r="D76" s="122"/>
      <c r="E76" s="124"/>
      <c r="F76" s="310">
        <f>SUM(F72+F75)</f>
        <v>41768927</v>
      </c>
      <c r="G76" s="310">
        <f>SUM(G70:G75)</f>
        <v>41769</v>
      </c>
      <c r="H76" s="310">
        <f>SUM(H70:H75)</f>
        <v>113430</v>
      </c>
      <c r="I76" s="808">
        <f>SUM(I70:I75)</f>
        <v>113430</v>
      </c>
      <c r="J76" s="841">
        <f>SUM(J70:J75)</f>
        <v>140775</v>
      </c>
    </row>
    <row r="77" spans="1:10" ht="15.75">
      <c r="A77" s="595"/>
      <c r="B77" s="613"/>
      <c r="C77" s="125"/>
      <c r="D77" s="122"/>
      <c r="E77" s="124"/>
      <c r="F77" s="310"/>
      <c r="G77" s="310"/>
      <c r="H77" s="125"/>
      <c r="I77" s="803"/>
      <c r="J77" s="811"/>
    </row>
    <row r="78" spans="1:10" ht="16.5" thickBot="1">
      <c r="A78" s="596"/>
      <c r="B78" s="615" t="s">
        <v>245</v>
      </c>
      <c r="C78" s="408"/>
      <c r="D78" s="409"/>
      <c r="E78" s="410"/>
      <c r="F78" s="411">
        <f>SUM(F68+F76)</f>
        <v>1221388727.34475</v>
      </c>
      <c r="G78" s="411">
        <f>SUM(G68+G76)</f>
        <v>1221389</v>
      </c>
      <c r="H78" s="411">
        <f>SUM(H68+H76)</f>
        <v>1327664</v>
      </c>
      <c r="I78" s="810">
        <f>SUM(I68+I76)</f>
        <v>1327664</v>
      </c>
      <c r="J78" s="842">
        <f>SUM(J68+J76)</f>
        <v>1355009</v>
      </c>
    </row>
    <row r="79" spans="3:7" ht="15.75">
      <c r="C79" s="126"/>
      <c r="E79" s="221"/>
      <c r="G79" s="223"/>
    </row>
    <row r="80" spans="1:7" ht="15.75">
      <c r="A80" s="242" t="s">
        <v>1092</v>
      </c>
      <c r="C80" s="126"/>
      <c r="E80" s="221"/>
      <c r="G80" s="223"/>
    </row>
    <row r="81" spans="1:2" ht="15.75">
      <c r="A81" s="1" t="s">
        <v>1093</v>
      </c>
      <c r="B81" s="225"/>
    </row>
    <row r="82" spans="1:3" ht="15.75">
      <c r="A82" s="1" t="s">
        <v>1094</v>
      </c>
      <c r="C82" s="126"/>
    </row>
    <row r="83" spans="1:3" ht="15.75">
      <c r="A83" s="1" t="s">
        <v>1151</v>
      </c>
      <c r="C83" s="126"/>
    </row>
    <row r="84" ht="15.75">
      <c r="C84" s="126"/>
    </row>
    <row r="85" spans="2:3" ht="15.75">
      <c r="B85" s="126"/>
      <c r="C85" s="126"/>
    </row>
    <row r="87" spans="1:2" ht="15.75">
      <c r="A87" s="227"/>
      <c r="B87" s="225"/>
    </row>
    <row r="89" ht="15.75">
      <c r="E89" s="228"/>
    </row>
  </sheetData>
  <sheetProtection/>
  <mergeCells count="11">
    <mergeCell ref="A1:I1"/>
    <mergeCell ref="A2:I2"/>
    <mergeCell ref="H5:H6"/>
    <mergeCell ref="A3:G3"/>
    <mergeCell ref="A5:A6"/>
    <mergeCell ref="B5:B6"/>
    <mergeCell ref="C5:F5"/>
    <mergeCell ref="G5:G6"/>
    <mergeCell ref="C6:D6"/>
    <mergeCell ref="J5:J6"/>
    <mergeCell ref="I5:I6"/>
  </mergeCells>
  <printOptions horizontalCentered="1"/>
  <pageMargins left="0.8267716535433072" right="0.984251968503937" top="0.9055118110236221" bottom="0.6692913385826772" header="0.4330708661417323" footer="0.15748031496062992"/>
  <pageSetup fitToHeight="1" fitToWidth="1" horizontalDpi="600" verticalDpi="600" orientation="portrait" paperSize="9" scale="46" r:id="rId1"/>
  <headerFooter alignWithMargins="0">
    <oddHeader xml:space="preserve">&amp;L 17. melléklet </oddHeader>
  </headerFooter>
</worksheet>
</file>

<file path=xl/worksheets/sheet19.xml><?xml version="1.0" encoding="utf-8"?>
<worksheet xmlns="http://schemas.openxmlformats.org/spreadsheetml/2006/main" xmlns:r="http://schemas.openxmlformats.org/officeDocument/2006/relationships">
  <dimension ref="A1:H23"/>
  <sheetViews>
    <sheetView view="pageLayout" workbookViewId="0" topLeftCell="A1">
      <selection activeCell="A8" sqref="A8"/>
    </sheetView>
  </sheetViews>
  <sheetFormatPr defaultColWidth="9.00390625" defaultRowHeight="12.75"/>
  <cols>
    <col min="1" max="1" width="64.375" style="1262" customWidth="1"/>
    <col min="2" max="2" width="34.625" style="1261" bestFit="1" customWidth="1"/>
    <col min="3" max="3" width="13.125" style="1263" customWidth="1"/>
    <col min="4" max="4" width="17.875" style="1264" customWidth="1"/>
    <col min="5" max="5" width="13.75390625" style="1265" customWidth="1"/>
    <col min="6" max="6" width="14.875" style="1265" customWidth="1"/>
    <col min="7" max="7" width="14.00390625" style="1265" customWidth="1"/>
    <col min="8" max="8" width="14.625" style="1266" customWidth="1"/>
    <col min="9" max="16384" width="9.125" style="1261" customWidth="1"/>
  </cols>
  <sheetData>
    <row r="1" spans="1:8" ht="15.75">
      <c r="A1" s="1260" t="s">
        <v>1041</v>
      </c>
      <c r="B1" s="1260"/>
      <c r="C1" s="1260"/>
      <c r="D1" s="1260"/>
      <c r="E1" s="1260"/>
      <c r="F1" s="1260"/>
      <c r="G1" s="1260"/>
      <c r="H1" s="1260"/>
    </row>
    <row r="2" ht="30.75" customHeight="1" thickBot="1"/>
    <row r="3" spans="1:8" ht="15.75">
      <c r="A3" s="1267" t="s">
        <v>1042</v>
      </c>
      <c r="B3" s="1268" t="s">
        <v>1043</v>
      </c>
      <c r="C3" s="1269" t="s">
        <v>1044</v>
      </c>
      <c r="D3" s="1269" t="s">
        <v>1045</v>
      </c>
      <c r="E3" s="1270" t="s">
        <v>1046</v>
      </c>
      <c r="F3" s="1270"/>
      <c r="G3" s="1270"/>
      <c r="H3" s="1271" t="s">
        <v>706</v>
      </c>
    </row>
    <row r="4" spans="1:8" ht="79.5" thickBot="1">
      <c r="A4" s="1272"/>
      <c r="B4" s="1273"/>
      <c r="C4" s="1274"/>
      <c r="D4" s="1274"/>
      <c r="E4" s="1275" t="s">
        <v>1047</v>
      </c>
      <c r="F4" s="1275" t="s">
        <v>1048</v>
      </c>
      <c r="G4" s="1275" t="s">
        <v>1049</v>
      </c>
      <c r="H4" s="1276"/>
    </row>
    <row r="5" spans="1:8" ht="23.25" customHeight="1">
      <c r="A5" s="1277" t="s">
        <v>1050</v>
      </c>
      <c r="B5" s="1278" t="s">
        <v>1051</v>
      </c>
      <c r="C5" s="1279">
        <v>40148</v>
      </c>
      <c r="D5" s="1280">
        <v>41974</v>
      </c>
      <c r="E5" s="1281">
        <f aca="true" t="shared" si="0" ref="E5:E22">H5-F5-G5</f>
        <v>246609</v>
      </c>
      <c r="F5" s="1281">
        <v>1010</v>
      </c>
      <c r="G5" s="1281">
        <v>430559</v>
      </c>
      <c r="H5" s="1282">
        <f>87247+590931</f>
        <v>678178</v>
      </c>
    </row>
    <row r="6" spans="1:8" ht="47.25">
      <c r="A6" s="1283" t="s">
        <v>1052</v>
      </c>
      <c r="B6" s="1284" t="s">
        <v>1053</v>
      </c>
      <c r="C6" s="1285">
        <v>40935</v>
      </c>
      <c r="D6" s="1286">
        <v>41882</v>
      </c>
      <c r="E6" s="1287">
        <f t="shared" si="0"/>
        <v>59800</v>
      </c>
      <c r="F6" s="1287">
        <f>408+48445</f>
        <v>48853</v>
      </c>
      <c r="G6" s="1287">
        <v>317135</v>
      </c>
      <c r="H6" s="1288">
        <f>5668+420120</f>
        <v>425788</v>
      </c>
    </row>
    <row r="7" spans="1:8" ht="21.75" customHeight="1">
      <c r="A7" s="1283" t="s">
        <v>1054</v>
      </c>
      <c r="B7" s="1284" t="s">
        <v>1055</v>
      </c>
      <c r="C7" s="1285">
        <v>41352</v>
      </c>
      <c r="D7" s="1286">
        <v>41973</v>
      </c>
      <c r="E7" s="1287">
        <f t="shared" si="0"/>
        <v>0</v>
      </c>
      <c r="F7" s="1287"/>
      <c r="G7" s="1287">
        <v>185000</v>
      </c>
      <c r="H7" s="1288">
        <v>185000</v>
      </c>
    </row>
    <row r="8" spans="1:8" ht="24.75" customHeight="1">
      <c r="A8" s="1283" t="s">
        <v>1056</v>
      </c>
      <c r="B8" s="1284" t="s">
        <v>1057</v>
      </c>
      <c r="C8" s="1285">
        <v>41067</v>
      </c>
      <c r="D8" s="1286">
        <v>41796</v>
      </c>
      <c r="E8" s="1287">
        <f t="shared" si="0"/>
        <v>504630</v>
      </c>
      <c r="F8" s="1287">
        <v>3328</v>
      </c>
      <c r="G8" s="1287">
        <f>19185+622234</f>
        <v>641419</v>
      </c>
      <c r="H8" s="1288">
        <f>46737+1102640</f>
        <v>1149377</v>
      </c>
    </row>
    <row r="9" spans="1:8" ht="31.5">
      <c r="A9" s="1283" t="s">
        <v>1058</v>
      </c>
      <c r="B9" s="1284" t="s">
        <v>1059</v>
      </c>
      <c r="C9" s="1285">
        <v>41152</v>
      </c>
      <c r="D9" s="1286">
        <v>41759</v>
      </c>
      <c r="E9" s="1287">
        <f t="shared" si="0"/>
        <v>4106</v>
      </c>
      <c r="F9" s="1287"/>
      <c r="G9" s="1287">
        <v>13069</v>
      </c>
      <c r="H9" s="1288">
        <f>15375+1800</f>
        <v>17175</v>
      </c>
    </row>
    <row r="10" spans="1:8" ht="23.25" customHeight="1">
      <c r="A10" s="1283" t="s">
        <v>1060</v>
      </c>
      <c r="B10" s="1284" t="s">
        <v>1061</v>
      </c>
      <c r="C10" s="1289" t="s">
        <v>1062</v>
      </c>
      <c r="D10" s="1286">
        <v>42155</v>
      </c>
      <c r="E10" s="1287">
        <f t="shared" si="0"/>
        <v>0</v>
      </c>
      <c r="F10" s="1287"/>
      <c r="G10" s="1287">
        <v>275492</v>
      </c>
      <c r="H10" s="1288">
        <v>275492</v>
      </c>
    </row>
    <row r="11" spans="1:8" ht="31.5">
      <c r="A11" s="1283" t="s">
        <v>1063</v>
      </c>
      <c r="B11" s="1284" t="s">
        <v>1064</v>
      </c>
      <c r="C11" s="1285">
        <v>40730</v>
      </c>
      <c r="D11" s="1286">
        <v>41639</v>
      </c>
      <c r="E11" s="1287">
        <f t="shared" si="0"/>
        <v>34966</v>
      </c>
      <c r="F11" s="1287"/>
      <c r="G11" s="1287">
        <v>444520</v>
      </c>
      <c r="H11" s="1288">
        <v>479486</v>
      </c>
    </row>
    <row r="12" spans="1:8" ht="31.5">
      <c r="A12" s="1283" t="s">
        <v>1065</v>
      </c>
      <c r="B12" s="1284" t="s">
        <v>1066</v>
      </c>
      <c r="C12" s="1285">
        <v>41473</v>
      </c>
      <c r="D12" s="1286">
        <v>42151</v>
      </c>
      <c r="E12" s="1287">
        <f t="shared" si="0"/>
        <v>2250</v>
      </c>
      <c r="F12" s="1287"/>
      <c r="G12" s="1287">
        <v>46350</v>
      </c>
      <c r="H12" s="1288">
        <v>48600</v>
      </c>
    </row>
    <row r="13" spans="1:8" ht="23.25" customHeight="1">
      <c r="A13" s="1283" t="s">
        <v>1067</v>
      </c>
      <c r="B13" s="1284" t="s">
        <v>1068</v>
      </c>
      <c r="C13" s="1285">
        <v>41340</v>
      </c>
      <c r="D13" s="1286">
        <v>41733</v>
      </c>
      <c r="E13" s="1287">
        <f t="shared" si="0"/>
        <v>0</v>
      </c>
      <c r="F13" s="1287"/>
      <c r="G13" s="1287">
        <v>90625</v>
      </c>
      <c r="H13" s="1288">
        <v>90625</v>
      </c>
    </row>
    <row r="14" spans="1:8" ht="24" customHeight="1">
      <c r="A14" s="1283" t="s">
        <v>1069</v>
      </c>
      <c r="B14" s="1284" t="s">
        <v>1070</v>
      </c>
      <c r="C14" s="1285">
        <v>41671</v>
      </c>
      <c r="D14" s="1286">
        <v>41851</v>
      </c>
      <c r="E14" s="1287">
        <f t="shared" si="0"/>
        <v>25141</v>
      </c>
      <c r="F14" s="1287"/>
      <c r="G14" s="1287">
        <v>143859</v>
      </c>
      <c r="H14" s="1288">
        <v>169000</v>
      </c>
    </row>
    <row r="15" spans="1:8" ht="23.25" customHeight="1">
      <c r="A15" s="1283" t="s">
        <v>1071</v>
      </c>
      <c r="B15" s="1284" t="s">
        <v>1072</v>
      </c>
      <c r="C15" s="1285">
        <v>41596</v>
      </c>
      <c r="D15" s="1286">
        <v>42004</v>
      </c>
      <c r="E15" s="1287">
        <f t="shared" si="0"/>
        <v>0</v>
      </c>
      <c r="F15" s="1287"/>
      <c r="G15" s="1287">
        <v>39992</v>
      </c>
      <c r="H15" s="1288">
        <v>39992</v>
      </c>
    </row>
    <row r="16" spans="1:8" ht="24.75" customHeight="1">
      <c r="A16" s="1283" t="s">
        <v>1073</v>
      </c>
      <c r="B16" s="1284" t="s">
        <v>1074</v>
      </c>
      <c r="C16" s="1289" t="s">
        <v>1062</v>
      </c>
      <c r="D16" s="1286">
        <v>41943</v>
      </c>
      <c r="E16" s="1287">
        <f t="shared" si="0"/>
        <v>0</v>
      </c>
      <c r="F16" s="1287"/>
      <c r="G16" s="1287">
        <v>16000</v>
      </c>
      <c r="H16" s="1288">
        <v>16000</v>
      </c>
    </row>
    <row r="17" spans="1:8" ht="23.25" customHeight="1">
      <c r="A17" s="1283" t="s">
        <v>1075</v>
      </c>
      <c r="B17" s="1284" t="s">
        <v>1076</v>
      </c>
      <c r="C17" s="1289" t="s">
        <v>1062</v>
      </c>
      <c r="D17" s="1286">
        <v>42155</v>
      </c>
      <c r="E17" s="1287">
        <f t="shared" si="0"/>
        <v>2077</v>
      </c>
      <c r="F17" s="1287"/>
      <c r="G17" s="1287">
        <v>243906</v>
      </c>
      <c r="H17" s="1288">
        <v>245983</v>
      </c>
    </row>
    <row r="18" spans="1:8" ht="23.25" customHeight="1">
      <c r="A18" s="1283" t="s">
        <v>1077</v>
      </c>
      <c r="B18" s="1284" t="s">
        <v>1078</v>
      </c>
      <c r="C18" s="1289" t="s">
        <v>1079</v>
      </c>
      <c r="D18" s="1290" t="s">
        <v>1080</v>
      </c>
      <c r="E18" s="1287">
        <f t="shared" si="0"/>
        <v>0</v>
      </c>
      <c r="F18" s="1287"/>
      <c r="G18" s="1287">
        <v>52290</v>
      </c>
      <c r="H18" s="1288">
        <v>52290</v>
      </c>
    </row>
    <row r="19" spans="1:8" ht="31.5">
      <c r="A19" s="1283" t="s">
        <v>1081</v>
      </c>
      <c r="B19" s="1284" t="s">
        <v>1082</v>
      </c>
      <c r="C19" s="1289" t="s">
        <v>1079</v>
      </c>
      <c r="D19" s="1290" t="s">
        <v>1080</v>
      </c>
      <c r="E19" s="1287">
        <f t="shared" si="0"/>
        <v>0</v>
      </c>
      <c r="F19" s="1287"/>
      <c r="G19" s="1287">
        <v>15000</v>
      </c>
      <c r="H19" s="1288">
        <v>15000</v>
      </c>
    </row>
    <row r="20" spans="1:8" ht="31.5">
      <c r="A20" s="1283" t="s">
        <v>1083</v>
      </c>
      <c r="B20" s="1284" t="s">
        <v>1084</v>
      </c>
      <c r="C20" s="1289" t="s">
        <v>1079</v>
      </c>
      <c r="D20" s="1290" t="s">
        <v>1080</v>
      </c>
      <c r="E20" s="1287">
        <f t="shared" si="0"/>
        <v>0</v>
      </c>
      <c r="F20" s="1287"/>
      <c r="G20" s="1287">
        <v>44957</v>
      </c>
      <c r="H20" s="1288">
        <v>44957</v>
      </c>
    </row>
    <row r="21" spans="1:8" ht="23.25" customHeight="1">
      <c r="A21" s="1283" t="s">
        <v>1085</v>
      </c>
      <c r="B21" s="1284" t="s">
        <v>1086</v>
      </c>
      <c r="C21" s="1285">
        <v>41191</v>
      </c>
      <c r="D21" s="1286">
        <v>41790</v>
      </c>
      <c r="E21" s="1287">
        <f t="shared" si="0"/>
        <v>0</v>
      </c>
      <c r="F21" s="1287"/>
      <c r="G21" s="1287">
        <v>21760</v>
      </c>
      <c r="H21" s="1288">
        <v>21760</v>
      </c>
    </row>
    <row r="22" spans="1:8" ht="23.25" customHeight="1" thickBot="1">
      <c r="A22" s="1291" t="s">
        <v>1087</v>
      </c>
      <c r="B22" s="1292" t="s">
        <v>1088</v>
      </c>
      <c r="C22" s="1293">
        <v>41153</v>
      </c>
      <c r="D22" s="1294">
        <v>41698</v>
      </c>
      <c r="E22" s="1295">
        <f t="shared" si="0"/>
        <v>0</v>
      </c>
      <c r="F22" s="1295"/>
      <c r="G22" s="1295">
        <v>1874</v>
      </c>
      <c r="H22" s="1296">
        <v>1874</v>
      </c>
    </row>
    <row r="23" spans="1:8" s="1303" customFormat="1" ht="24.75" customHeight="1" thickBot="1">
      <c r="A23" s="1297" t="s">
        <v>522</v>
      </c>
      <c r="B23" s="1298"/>
      <c r="C23" s="1299"/>
      <c r="D23" s="1300"/>
      <c r="E23" s="1301">
        <f>SUM(E5:E22)</f>
        <v>879579</v>
      </c>
      <c r="F23" s="1301">
        <f>SUM(F5:F22)</f>
        <v>53191</v>
      </c>
      <c r="G23" s="1301">
        <f>SUM(G5:G22)</f>
        <v>3023807</v>
      </c>
      <c r="H23" s="1302">
        <f>SUM(H5:H22)</f>
        <v>3956577</v>
      </c>
    </row>
  </sheetData>
  <sheetProtection/>
  <mergeCells count="7">
    <mergeCell ref="A1:H1"/>
    <mergeCell ref="A3:A4"/>
    <mergeCell ref="B3:B4"/>
    <mergeCell ref="C3:C4"/>
    <mergeCell ref="D3:D4"/>
    <mergeCell ref="E3:G3"/>
    <mergeCell ref="H3:H4"/>
  </mergeCells>
  <printOptions/>
  <pageMargins left="0.7" right="0.7" top="0.75" bottom="0.75" header="0.3" footer="0.3"/>
  <pageSetup horizontalDpi="600" verticalDpi="600" orientation="portrait" paperSize="9" scale="46" r:id="rId1"/>
  <headerFooter>
    <oddHeader xml:space="preserve">&amp;L 18. melléklet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view="pageLayout" zoomScaleSheetLayoutView="100" workbookViewId="0" topLeftCell="A1">
      <selection activeCell="A75" sqref="A75"/>
    </sheetView>
  </sheetViews>
  <sheetFormatPr defaultColWidth="9.00390625" defaultRowHeight="12.75"/>
  <cols>
    <col min="1" max="1" width="67.625" style="414" customWidth="1"/>
    <col min="2" max="3" width="14.625" style="415" customWidth="1"/>
    <col min="4" max="4" width="14.875" style="415" customWidth="1"/>
    <col min="5" max="5" width="56.00390625" style="414" customWidth="1"/>
    <col min="6" max="7" width="14.625" style="415" customWidth="1"/>
    <col min="8" max="8" width="14.875" style="415" customWidth="1"/>
    <col min="9" max="16384" width="9.125" style="415" customWidth="1"/>
  </cols>
  <sheetData>
    <row r="1" spans="1:8" s="413" customFormat="1" ht="15" customHeight="1">
      <c r="A1" s="1062" t="s">
        <v>508</v>
      </c>
      <c r="B1" s="1062"/>
      <c r="C1" s="1062"/>
      <c r="D1" s="1062"/>
      <c r="E1" s="1062"/>
      <c r="F1" s="1062"/>
      <c r="G1" s="1032"/>
      <c r="H1" s="1032"/>
    </row>
    <row r="2" ht="13.5" thickBot="1"/>
    <row r="3" spans="1:8" ht="12.75">
      <c r="A3" s="1056" t="s">
        <v>509</v>
      </c>
      <c r="B3" s="1057"/>
      <c r="C3" s="1058"/>
      <c r="D3" s="1059"/>
      <c r="E3" s="1056" t="s">
        <v>510</v>
      </c>
      <c r="F3" s="1057"/>
      <c r="G3" s="1060"/>
      <c r="H3" s="1061"/>
    </row>
    <row r="4" spans="1:8" ht="13.5" thickBot="1">
      <c r="A4" s="416" t="s">
        <v>121</v>
      </c>
      <c r="B4" s="417" t="s">
        <v>162</v>
      </c>
      <c r="C4" s="417" t="s">
        <v>888</v>
      </c>
      <c r="D4" s="417" t="s">
        <v>947</v>
      </c>
      <c r="E4" s="416" t="s">
        <v>121</v>
      </c>
      <c r="F4" s="418" t="s">
        <v>162</v>
      </c>
      <c r="G4" s="417" t="s">
        <v>888</v>
      </c>
      <c r="H4" s="417" t="s">
        <v>947</v>
      </c>
    </row>
    <row r="5" spans="1:8" ht="12.75">
      <c r="A5" s="419" t="s">
        <v>82</v>
      </c>
      <c r="B5" s="420">
        <f>SUM(B6:B8)</f>
        <v>1221389</v>
      </c>
      <c r="C5" s="420">
        <f>SUM(C6:C8)</f>
        <v>1277869</v>
      </c>
      <c r="D5" s="420">
        <f>SUM(D6:D8)</f>
        <v>1298932</v>
      </c>
      <c r="E5" s="665" t="s">
        <v>511</v>
      </c>
      <c r="F5" s="421">
        <v>1050011</v>
      </c>
      <c r="G5" s="422">
        <v>1121034</v>
      </c>
      <c r="H5" s="422">
        <v>1178830</v>
      </c>
    </row>
    <row r="6" spans="1:8" ht="12.75">
      <c r="A6" s="427" t="s">
        <v>46</v>
      </c>
      <c r="B6" s="428">
        <v>41769</v>
      </c>
      <c r="C6" s="428">
        <v>63635</v>
      </c>
      <c r="D6" s="428">
        <v>84698</v>
      </c>
      <c r="E6" s="666" t="s">
        <v>512</v>
      </c>
      <c r="F6" s="425">
        <v>280044</v>
      </c>
      <c r="G6" s="426">
        <v>294431</v>
      </c>
      <c r="H6" s="426">
        <v>301516</v>
      </c>
    </row>
    <row r="7" spans="1:8" ht="12.75">
      <c r="A7" s="423" t="s">
        <v>50</v>
      </c>
      <c r="B7" s="424">
        <v>1086770</v>
      </c>
      <c r="C7" s="424">
        <v>1121384</v>
      </c>
      <c r="D7" s="424">
        <v>1121384</v>
      </c>
      <c r="E7" s="977" t="s">
        <v>513</v>
      </c>
      <c r="F7" s="978">
        <v>1611955</v>
      </c>
      <c r="G7" s="979">
        <v>1737286</v>
      </c>
      <c r="H7" s="979">
        <v>1926396</v>
      </c>
    </row>
    <row r="8" spans="1:8" ht="12.75">
      <c r="A8" s="427" t="s">
        <v>85</v>
      </c>
      <c r="B8" s="428">
        <v>92850</v>
      </c>
      <c r="C8" s="428">
        <v>92850</v>
      </c>
      <c r="D8" s="428">
        <v>92850</v>
      </c>
      <c r="E8" s="977" t="s">
        <v>45</v>
      </c>
      <c r="F8" s="978">
        <v>184105</v>
      </c>
      <c r="G8" s="979">
        <v>185722</v>
      </c>
      <c r="H8" s="979">
        <v>194634</v>
      </c>
    </row>
    <row r="9" spans="1:8" ht="12.75">
      <c r="A9" s="429" t="s">
        <v>86</v>
      </c>
      <c r="B9" s="430">
        <f>SUM(B10:B11)</f>
        <v>276411</v>
      </c>
      <c r="C9" s="430">
        <f>SUM(C10:C11)</f>
        <v>351890</v>
      </c>
      <c r="D9" s="430">
        <f>SUM(D10:D11)</f>
        <v>413920</v>
      </c>
      <c r="E9" s="977" t="s">
        <v>40</v>
      </c>
      <c r="F9" s="978">
        <f>SUM(F16+F12+F11+F10)</f>
        <v>1002114</v>
      </c>
      <c r="G9" s="980">
        <f>SUM(G16+G12+G11+G10)</f>
        <v>1035954</v>
      </c>
      <c r="H9" s="980">
        <f>SUM(H16+H12+H11+H10)</f>
        <v>922501</v>
      </c>
    </row>
    <row r="10" spans="1:8" ht="12.75">
      <c r="A10" s="427" t="s">
        <v>42</v>
      </c>
      <c r="B10" s="431">
        <v>0</v>
      </c>
      <c r="C10" s="431">
        <v>0</v>
      </c>
      <c r="D10" s="431">
        <v>0</v>
      </c>
      <c r="E10" s="981" t="s">
        <v>61</v>
      </c>
      <c r="F10" s="982">
        <v>6000</v>
      </c>
      <c r="G10" s="983">
        <v>6000</v>
      </c>
      <c r="H10" s="983">
        <v>6000</v>
      </c>
    </row>
    <row r="11" spans="1:8" ht="12.75">
      <c r="A11" s="427" t="s">
        <v>88</v>
      </c>
      <c r="B11" s="431">
        <v>276411</v>
      </c>
      <c r="C11" s="431">
        <v>351890</v>
      </c>
      <c r="D11" s="431">
        <v>413920</v>
      </c>
      <c r="E11" s="984" t="s">
        <v>62</v>
      </c>
      <c r="F11" s="982">
        <v>834414</v>
      </c>
      <c r="G11" s="983">
        <v>873606</v>
      </c>
      <c r="H11" s="983">
        <v>892552</v>
      </c>
    </row>
    <row r="12" spans="1:8" ht="12.75">
      <c r="A12" s="429" t="s">
        <v>514</v>
      </c>
      <c r="B12" s="426">
        <f>SUM(B13:B16)</f>
        <v>1795800</v>
      </c>
      <c r="C12" s="426">
        <f>SUM(C13:C16)</f>
        <v>1795800</v>
      </c>
      <c r="D12" s="426">
        <f>SUM(D13:D16)</f>
        <v>1831335</v>
      </c>
      <c r="E12" s="984" t="s">
        <v>152</v>
      </c>
      <c r="F12" s="982">
        <f>SUM(F13:F15)</f>
        <v>161700</v>
      </c>
      <c r="G12" s="983">
        <f>SUM(G13:G15)</f>
        <v>140131</v>
      </c>
      <c r="H12" s="983">
        <f>SUM(H13:H15)</f>
        <v>1130</v>
      </c>
    </row>
    <row r="13" spans="1:8" ht="12.75">
      <c r="A13" s="427" t="s">
        <v>91</v>
      </c>
      <c r="B13" s="431">
        <v>446000</v>
      </c>
      <c r="C13" s="431">
        <v>446000</v>
      </c>
      <c r="D13" s="431">
        <v>444000</v>
      </c>
      <c r="E13" s="668" t="s">
        <v>44</v>
      </c>
      <c r="F13" s="433">
        <v>13000</v>
      </c>
      <c r="G13" s="428">
        <v>5958</v>
      </c>
      <c r="H13" s="428">
        <v>423</v>
      </c>
    </row>
    <row r="14" spans="1:8" ht="12.75" customHeight="1">
      <c r="A14" s="427" t="s">
        <v>51</v>
      </c>
      <c r="B14" s="431">
        <v>1338000</v>
      </c>
      <c r="C14" s="431">
        <v>1338000</v>
      </c>
      <c r="D14" s="431">
        <v>1369000</v>
      </c>
      <c r="E14" s="668" t="s">
        <v>704</v>
      </c>
      <c r="F14" s="433">
        <v>125400</v>
      </c>
      <c r="G14" s="428">
        <v>81927</v>
      </c>
      <c r="H14" s="428">
        <v>0</v>
      </c>
    </row>
    <row r="15" spans="1:8" ht="12.75">
      <c r="A15" s="427" t="s">
        <v>99</v>
      </c>
      <c r="B15" s="431">
        <v>1300</v>
      </c>
      <c r="C15" s="431">
        <v>1300</v>
      </c>
      <c r="D15" s="431">
        <v>335</v>
      </c>
      <c r="E15" s="668" t="s">
        <v>63</v>
      </c>
      <c r="F15" s="433">
        <v>23300</v>
      </c>
      <c r="G15" s="428">
        <v>52246</v>
      </c>
      <c r="H15" s="428">
        <v>707</v>
      </c>
    </row>
    <row r="16" spans="1:8" ht="12.75">
      <c r="A16" s="427" t="s">
        <v>52</v>
      </c>
      <c r="B16" s="431">
        <v>10500</v>
      </c>
      <c r="C16" s="431">
        <v>10500</v>
      </c>
      <c r="D16" s="431">
        <v>18000</v>
      </c>
      <c r="E16" s="669" t="s">
        <v>786</v>
      </c>
      <c r="F16" s="433"/>
      <c r="G16" s="428">
        <v>16217</v>
      </c>
      <c r="H16" s="428">
        <v>22819</v>
      </c>
    </row>
    <row r="17" spans="1:8" ht="12.75">
      <c r="A17" s="429" t="s">
        <v>101</v>
      </c>
      <c r="B17" s="430">
        <f>SUM(B18:B25)</f>
        <v>1283090</v>
      </c>
      <c r="C17" s="430">
        <f>SUM(C18:C25)</f>
        <v>1271658</v>
      </c>
      <c r="D17" s="430">
        <f>SUM(D18:D25)</f>
        <v>1275313</v>
      </c>
      <c r="E17" s="669"/>
      <c r="F17" s="433"/>
      <c r="G17" s="428"/>
      <c r="H17" s="428"/>
    </row>
    <row r="18" spans="1:8" ht="12.75" customHeight="1">
      <c r="A18" s="434" t="s">
        <v>366</v>
      </c>
      <c r="B18" s="431">
        <v>655254</v>
      </c>
      <c r="C18" s="431">
        <v>564268</v>
      </c>
      <c r="D18" s="431">
        <v>557767</v>
      </c>
      <c r="E18" s="670"/>
      <c r="F18" s="432"/>
      <c r="G18" s="428"/>
      <c r="H18" s="428"/>
    </row>
    <row r="19" spans="1:8" ht="12.75">
      <c r="A19" s="434" t="s">
        <v>53</v>
      </c>
      <c r="B19" s="431">
        <v>264033</v>
      </c>
      <c r="C19" s="431">
        <v>224959</v>
      </c>
      <c r="D19" s="431">
        <v>179036</v>
      </c>
      <c r="E19" s="671"/>
      <c r="F19" s="435"/>
      <c r="G19" s="428"/>
      <c r="H19" s="428"/>
    </row>
    <row r="20" spans="1:8" ht="12.75">
      <c r="A20" s="434" t="s">
        <v>1024</v>
      </c>
      <c r="B20" s="431"/>
      <c r="C20" s="431"/>
      <c r="D20" s="431">
        <v>29920</v>
      </c>
      <c r="E20" s="671"/>
      <c r="F20" s="435"/>
      <c r="G20" s="428"/>
      <c r="H20" s="428"/>
    </row>
    <row r="21" spans="1:8" ht="12.75">
      <c r="A21" s="434" t="s">
        <v>54</v>
      </c>
      <c r="B21" s="431">
        <v>18215</v>
      </c>
      <c r="C21" s="431">
        <v>104447</v>
      </c>
      <c r="D21" s="431">
        <v>115738</v>
      </c>
      <c r="E21" s="667"/>
      <c r="F21" s="432"/>
      <c r="G21" s="428"/>
      <c r="H21" s="428"/>
    </row>
    <row r="22" spans="1:8" ht="12.75">
      <c r="A22" s="434" t="s">
        <v>104</v>
      </c>
      <c r="B22" s="431">
        <v>82011</v>
      </c>
      <c r="C22" s="431">
        <v>82011</v>
      </c>
      <c r="D22" s="431">
        <v>85537</v>
      </c>
      <c r="E22" s="672"/>
      <c r="F22" s="432"/>
      <c r="G22" s="428"/>
      <c r="H22" s="428"/>
    </row>
    <row r="23" spans="1:8" ht="12.75">
      <c r="A23" s="434" t="s">
        <v>228</v>
      </c>
      <c r="B23" s="431">
        <v>236336</v>
      </c>
      <c r="C23" s="431">
        <v>268684</v>
      </c>
      <c r="D23" s="431">
        <v>267222</v>
      </c>
      <c r="E23" s="673"/>
      <c r="F23" s="435"/>
      <c r="G23" s="428"/>
      <c r="H23" s="428"/>
    </row>
    <row r="24" spans="1:8" ht="12.75">
      <c r="A24" s="434" t="s">
        <v>105</v>
      </c>
      <c r="B24" s="431">
        <v>5000</v>
      </c>
      <c r="C24" s="436">
        <v>5048</v>
      </c>
      <c r="D24" s="436">
        <v>5270</v>
      </c>
      <c r="E24" s="674"/>
      <c r="F24" s="437"/>
      <c r="G24" s="428"/>
      <c r="H24" s="428"/>
    </row>
    <row r="25" spans="1:8" ht="12.75">
      <c r="A25" s="434" t="s">
        <v>196</v>
      </c>
      <c r="B25" s="431">
        <v>22241</v>
      </c>
      <c r="C25" s="436">
        <v>22241</v>
      </c>
      <c r="D25" s="436">
        <v>34823</v>
      </c>
      <c r="E25" s="674"/>
      <c r="F25" s="437"/>
      <c r="G25" s="428"/>
      <c r="H25" s="428"/>
    </row>
    <row r="26" spans="1:8" ht="12.75">
      <c r="A26" s="429" t="s">
        <v>108</v>
      </c>
      <c r="B26" s="426">
        <f>SUM(B27:B29)</f>
        <v>178693</v>
      </c>
      <c r="C26" s="426">
        <f>SUM(C27:C29)</f>
        <v>178944</v>
      </c>
      <c r="D26" s="426">
        <f>SUM(D27:D29)</f>
        <v>74612</v>
      </c>
      <c r="E26" s="472"/>
      <c r="F26" s="438"/>
      <c r="G26" s="428"/>
      <c r="H26" s="428"/>
    </row>
    <row r="27" spans="1:8" ht="12.75">
      <c r="A27" s="439" t="s">
        <v>109</v>
      </c>
      <c r="B27" s="431">
        <v>154763</v>
      </c>
      <c r="C27" s="431">
        <v>154763</v>
      </c>
      <c r="D27" s="431">
        <v>70489</v>
      </c>
      <c r="E27" s="667"/>
      <c r="F27" s="432"/>
      <c r="G27" s="428"/>
      <c r="H27" s="428"/>
    </row>
    <row r="28" spans="1:256" ht="12.75">
      <c r="A28" s="439" t="s">
        <v>110</v>
      </c>
      <c r="B28" s="431">
        <v>3840</v>
      </c>
      <c r="C28" s="431">
        <v>4091</v>
      </c>
      <c r="D28" s="431">
        <v>4123</v>
      </c>
      <c r="E28" s="667"/>
      <c r="F28" s="432"/>
      <c r="G28" s="428"/>
      <c r="H28" s="428"/>
      <c r="IU28" s="440"/>
      <c r="IV28" s="440"/>
    </row>
    <row r="29" spans="1:256" ht="12.75">
      <c r="A29" s="439" t="s">
        <v>55</v>
      </c>
      <c r="B29" s="431">
        <v>20090</v>
      </c>
      <c r="C29" s="431">
        <v>20090</v>
      </c>
      <c r="D29" s="431">
        <v>0</v>
      </c>
      <c r="E29" s="667"/>
      <c r="F29" s="432"/>
      <c r="G29" s="428"/>
      <c r="H29" s="428"/>
      <c r="IU29" s="440"/>
      <c r="IV29" s="440"/>
    </row>
    <row r="30" spans="1:256" ht="12.75">
      <c r="A30" s="441" t="s">
        <v>515</v>
      </c>
      <c r="B30" s="426">
        <f>SUM(B31:B32)</f>
        <v>677154</v>
      </c>
      <c r="C30" s="426">
        <f>SUM(C31:C32)</f>
        <v>677154</v>
      </c>
      <c r="D30" s="426">
        <f>SUM(D31:D32)</f>
        <v>677154</v>
      </c>
      <c r="E30" s="667"/>
      <c r="F30" s="432"/>
      <c r="G30" s="428"/>
      <c r="H30" s="428"/>
      <c r="IU30" s="440"/>
      <c r="IV30" s="440"/>
    </row>
    <row r="31" spans="1:256" ht="12.75">
      <c r="A31" s="439" t="s">
        <v>56</v>
      </c>
      <c r="B31" s="431">
        <v>120000</v>
      </c>
      <c r="C31" s="431">
        <v>120000</v>
      </c>
      <c r="D31" s="431">
        <v>120000</v>
      </c>
      <c r="E31" s="667"/>
      <c r="F31" s="432"/>
      <c r="G31" s="428"/>
      <c r="H31" s="428"/>
      <c r="IU31" s="440"/>
      <c r="IV31" s="440"/>
    </row>
    <row r="32" spans="1:256" ht="13.5" thickBot="1">
      <c r="A32" s="442" t="s">
        <v>57</v>
      </c>
      <c r="B32" s="443">
        <v>557154</v>
      </c>
      <c r="C32" s="443">
        <v>557154</v>
      </c>
      <c r="D32" s="443">
        <v>557154</v>
      </c>
      <c r="E32" s="675"/>
      <c r="F32" s="444"/>
      <c r="G32" s="445"/>
      <c r="H32" s="445"/>
      <c r="IU32" s="440"/>
      <c r="IV32" s="440"/>
    </row>
    <row r="33" spans="1:8" s="440" customFormat="1" ht="13.5" thickBot="1">
      <c r="A33" s="446" t="s">
        <v>516</v>
      </c>
      <c r="B33" s="447">
        <f>SUM(B5+B9+B12+B17+B26-B30)</f>
        <v>4078229</v>
      </c>
      <c r="C33" s="447">
        <f>SUM(C5+C9+C12+C17+C26-C30)</f>
        <v>4199007</v>
      </c>
      <c r="D33" s="447">
        <f>SUM(D5+D9+D12+D17+D26-D30)</f>
        <v>4216958</v>
      </c>
      <c r="E33" s="454" t="s">
        <v>517</v>
      </c>
      <c r="F33" s="448">
        <f>SUM(F5+F6+F7+F8+F9)</f>
        <v>4128229</v>
      </c>
      <c r="G33" s="481">
        <f>SUM(G5+G6+G7+G8+G9)</f>
        <v>4374427</v>
      </c>
      <c r="H33" s="481">
        <f>SUM(H5+H6+H7+H8+H9)</f>
        <v>4523877</v>
      </c>
    </row>
    <row r="34" spans="1:8" s="440" customFormat="1" ht="13.5" thickBot="1">
      <c r="A34" s="449" t="s">
        <v>518</v>
      </c>
      <c r="B34" s="448">
        <f>B33-F33</f>
        <v>-50000</v>
      </c>
      <c r="C34" s="448">
        <f>C33-G33</f>
        <v>-175420</v>
      </c>
      <c r="D34" s="448">
        <f>D33-H33</f>
        <v>-306919</v>
      </c>
      <c r="E34" s="449"/>
      <c r="F34" s="421"/>
      <c r="G34" s="450"/>
      <c r="H34" s="450"/>
    </row>
    <row r="35" spans="1:8" s="440" customFormat="1" ht="12.75">
      <c r="A35" s="449" t="s">
        <v>1033</v>
      </c>
      <c r="B35" s="420">
        <v>0</v>
      </c>
      <c r="C35" s="420">
        <v>0</v>
      </c>
      <c r="D35" s="420">
        <v>2715000</v>
      </c>
      <c r="E35" s="449"/>
      <c r="F35" s="421"/>
      <c r="G35" s="940"/>
      <c r="H35" s="940"/>
    </row>
    <row r="36" spans="1:8" s="440" customFormat="1" ht="12.75">
      <c r="A36" s="451" t="s">
        <v>519</v>
      </c>
      <c r="B36" s="422">
        <v>1637807</v>
      </c>
      <c r="C36" s="422">
        <v>1660834</v>
      </c>
      <c r="D36" s="422">
        <v>1662027</v>
      </c>
      <c r="E36" s="664" t="s">
        <v>1035</v>
      </c>
      <c r="F36" s="452"/>
      <c r="G36" s="424"/>
      <c r="H36" s="422">
        <v>85921</v>
      </c>
    </row>
    <row r="37" spans="1:8" s="440" customFormat="1" ht="12.75">
      <c r="A37" s="451" t="s">
        <v>47</v>
      </c>
      <c r="B37" s="422">
        <f>SUM(B38)</f>
        <v>50000</v>
      </c>
      <c r="C37" s="422">
        <f>SUM(C38)</f>
        <v>105938</v>
      </c>
      <c r="D37" s="422">
        <f>SUM(D38)</f>
        <v>105938</v>
      </c>
      <c r="E37" s="664"/>
      <c r="F37" s="452"/>
      <c r="G37" s="428"/>
      <c r="H37" s="428"/>
    </row>
    <row r="38" spans="1:8" s="440" customFormat="1" ht="12.75">
      <c r="A38" s="939" t="s">
        <v>48</v>
      </c>
      <c r="B38" s="431">
        <v>50000</v>
      </c>
      <c r="C38" s="431">
        <v>105938</v>
      </c>
      <c r="D38" s="431">
        <v>105938</v>
      </c>
      <c r="E38" s="465" t="s">
        <v>1036</v>
      </c>
      <c r="F38" s="425"/>
      <c r="G38" s="428"/>
      <c r="H38" s="426">
        <v>2715000</v>
      </c>
    </row>
    <row r="39" spans="1:8" s="440" customFormat="1" ht="13.5" thickBot="1">
      <c r="A39" s="937" t="s">
        <v>1034</v>
      </c>
      <c r="B39" s="938">
        <v>0</v>
      </c>
      <c r="C39" s="938">
        <v>0</v>
      </c>
      <c r="D39" s="938">
        <v>85921</v>
      </c>
      <c r="E39" s="676"/>
      <c r="F39" s="453"/>
      <c r="G39" s="936"/>
      <c r="H39" s="936"/>
    </row>
    <row r="40" spans="1:8" s="440" customFormat="1" ht="13.5" thickBot="1">
      <c r="A40" s="454" t="s">
        <v>520</v>
      </c>
      <c r="B40" s="448">
        <f>SUM(B35+B36+B37+B39)</f>
        <v>1687807</v>
      </c>
      <c r="C40" s="448">
        <f>SUM(C35+C36+C37+C39)</f>
        <v>1766772</v>
      </c>
      <c r="D40" s="448">
        <f>SUM(D35+D36+D37+D39)</f>
        <v>4568886</v>
      </c>
      <c r="E40" s="454" t="s">
        <v>521</v>
      </c>
      <c r="F40" s="455">
        <v>1637807</v>
      </c>
      <c r="G40" s="456">
        <v>1660834</v>
      </c>
      <c r="H40" s="456">
        <v>1662027</v>
      </c>
    </row>
    <row r="41" spans="1:8" s="440" customFormat="1" ht="13.5" thickBot="1">
      <c r="A41" s="457" t="s">
        <v>522</v>
      </c>
      <c r="B41" s="458">
        <f>SUM(B33+B40)</f>
        <v>5766036</v>
      </c>
      <c r="C41" s="458">
        <f>SUM(C33+C40)</f>
        <v>5965779</v>
      </c>
      <c r="D41" s="458">
        <f>SUM(D33+D40)</f>
        <v>8785844</v>
      </c>
      <c r="E41" s="457" t="s">
        <v>522</v>
      </c>
      <c r="F41" s="455">
        <f>SUM(F33:F40)</f>
        <v>5766036</v>
      </c>
      <c r="G41" s="448">
        <f>SUM(G33:G40)</f>
        <v>6035261</v>
      </c>
      <c r="H41" s="448">
        <f>SUM(H33:H40)</f>
        <v>8986825</v>
      </c>
    </row>
    <row r="42" spans="1:5" s="440" customFormat="1" ht="12.75">
      <c r="A42" s="459"/>
      <c r="B42" s="460"/>
      <c r="C42" s="460"/>
      <c r="D42" s="460"/>
      <c r="E42" s="459"/>
    </row>
    <row r="43" spans="1:8" s="413" customFormat="1" ht="15" customHeight="1">
      <c r="A43" s="1062" t="s">
        <v>8</v>
      </c>
      <c r="B43" s="1062"/>
      <c r="C43" s="1062"/>
      <c r="D43" s="1062"/>
      <c r="E43" s="1062"/>
      <c r="F43" s="1062"/>
      <c r="G43" s="1032"/>
      <c r="H43" s="1032"/>
    </row>
    <row r="44" ht="14.25" customHeight="1" thickBot="1">
      <c r="E44" s="461"/>
    </row>
    <row r="45" spans="1:8" s="413" customFormat="1" ht="12.75">
      <c r="A45" s="1056" t="s">
        <v>509</v>
      </c>
      <c r="B45" s="1057"/>
      <c r="C45" s="1058"/>
      <c r="D45" s="1059"/>
      <c r="E45" s="1056" t="s">
        <v>510</v>
      </c>
      <c r="F45" s="1057"/>
      <c r="G45" s="1060"/>
      <c r="H45" s="1061"/>
    </row>
    <row r="46" spans="1:8" s="413" customFormat="1" ht="13.5" thickBot="1">
      <c r="A46" s="462" t="s">
        <v>121</v>
      </c>
      <c r="B46" s="418" t="s">
        <v>162</v>
      </c>
      <c r="C46" s="417" t="s">
        <v>888</v>
      </c>
      <c r="D46" s="417" t="s">
        <v>947</v>
      </c>
      <c r="E46" s="463" t="s">
        <v>121</v>
      </c>
      <c r="F46" s="417" t="s">
        <v>122</v>
      </c>
      <c r="G46" s="417" t="s">
        <v>888</v>
      </c>
      <c r="H46" s="417" t="s">
        <v>947</v>
      </c>
    </row>
    <row r="47" spans="1:8" s="413" customFormat="1" ht="12.75">
      <c r="A47" s="419" t="s">
        <v>89</v>
      </c>
      <c r="B47" s="421">
        <f>SUM(B48:B51)</f>
        <v>2315462</v>
      </c>
      <c r="C47" s="421">
        <f>SUM(C48:C51)</f>
        <v>2312333</v>
      </c>
      <c r="D47" s="421">
        <f>SUM(D48:D51)</f>
        <v>2087325</v>
      </c>
      <c r="E47" s="449" t="s">
        <v>523</v>
      </c>
      <c r="F47" s="420">
        <v>2447222</v>
      </c>
      <c r="G47" s="682">
        <v>2579369</v>
      </c>
      <c r="H47" s="682">
        <v>2772826</v>
      </c>
    </row>
    <row r="48" spans="1:8" s="413" customFormat="1" ht="12.75">
      <c r="A48" s="466" t="s">
        <v>83</v>
      </c>
      <c r="B48" s="467"/>
      <c r="C48" s="467">
        <v>49795</v>
      </c>
      <c r="D48" s="467">
        <v>56077</v>
      </c>
      <c r="E48" s="465" t="s">
        <v>524</v>
      </c>
      <c r="F48" s="430">
        <v>283400</v>
      </c>
      <c r="G48" s="430">
        <v>388751</v>
      </c>
      <c r="H48" s="430">
        <v>396385</v>
      </c>
    </row>
    <row r="49" spans="1:8" s="413" customFormat="1" ht="12.75">
      <c r="A49" s="434" t="s">
        <v>42</v>
      </c>
      <c r="B49" s="464">
        <v>0</v>
      </c>
      <c r="C49" s="464">
        <v>0</v>
      </c>
      <c r="D49" s="464">
        <v>0</v>
      </c>
      <c r="E49" s="468" t="s">
        <v>525</v>
      </c>
      <c r="F49" s="430">
        <f>SUM(F53+F52+F51+F50)</f>
        <v>1407334</v>
      </c>
      <c r="G49" s="430">
        <f>SUM(G53+G52+G51+G50)</f>
        <v>1380971</v>
      </c>
      <c r="H49" s="430">
        <v>199801</v>
      </c>
    </row>
    <row r="50" spans="1:8" ht="12.75">
      <c r="A50" s="466" t="s">
        <v>88</v>
      </c>
      <c r="B50" s="467">
        <v>1691228</v>
      </c>
      <c r="C50" s="467">
        <v>1638304</v>
      </c>
      <c r="D50" s="467">
        <v>2031248</v>
      </c>
      <c r="E50" s="470" t="s">
        <v>41</v>
      </c>
      <c r="F50" s="428">
        <v>808</v>
      </c>
      <c r="G50" s="428">
        <v>808</v>
      </c>
      <c r="H50" s="428">
        <v>1808</v>
      </c>
    </row>
    <row r="51" spans="1:8" ht="12.75">
      <c r="A51" s="466" t="s">
        <v>58</v>
      </c>
      <c r="B51" s="467">
        <v>624234</v>
      </c>
      <c r="C51" s="469">
        <v>624234</v>
      </c>
      <c r="D51" s="469">
        <v>0</v>
      </c>
      <c r="E51" s="472" t="s">
        <v>42</v>
      </c>
      <c r="F51" s="428">
        <v>4500</v>
      </c>
      <c r="G51" s="428">
        <v>4350</v>
      </c>
      <c r="H51" s="428">
        <v>4350</v>
      </c>
    </row>
    <row r="52" spans="1:8" ht="12.75">
      <c r="A52" s="429" t="s">
        <v>106</v>
      </c>
      <c r="B52" s="471">
        <f>SUM(B53:B54)</f>
        <v>7494</v>
      </c>
      <c r="C52" s="471">
        <f>SUM(C53:C54)</f>
        <v>67494</v>
      </c>
      <c r="D52" s="471">
        <f>SUM(D53:D54)</f>
        <v>74458</v>
      </c>
      <c r="E52" s="472" t="s">
        <v>67</v>
      </c>
      <c r="F52" s="431">
        <v>73761</v>
      </c>
      <c r="G52" s="428">
        <v>76891</v>
      </c>
      <c r="H52" s="428">
        <v>193643</v>
      </c>
    </row>
    <row r="53" spans="1:8" ht="12.75">
      <c r="A53" s="434" t="s">
        <v>198</v>
      </c>
      <c r="B53" s="464">
        <v>7494</v>
      </c>
      <c r="C53" s="464">
        <v>67494</v>
      </c>
      <c r="D53" s="464">
        <v>74395</v>
      </c>
      <c r="E53" s="472" t="s">
        <v>478</v>
      </c>
      <c r="F53" s="431">
        <f>SUM(F54:F56)</f>
        <v>1328265</v>
      </c>
      <c r="G53" s="431">
        <f>SUM(G54:G56)</f>
        <v>1298922</v>
      </c>
      <c r="H53" s="431">
        <f>SUM(H54:H56)</f>
        <v>0</v>
      </c>
    </row>
    <row r="54" spans="1:8" ht="12.75">
      <c r="A54" s="434" t="s">
        <v>229</v>
      </c>
      <c r="B54" s="464"/>
      <c r="C54" s="464"/>
      <c r="D54" s="464">
        <v>63</v>
      </c>
      <c r="E54" s="473" t="s">
        <v>68</v>
      </c>
      <c r="F54" s="474">
        <v>50000</v>
      </c>
      <c r="G54" s="428">
        <v>24688</v>
      </c>
      <c r="H54" s="428">
        <v>0</v>
      </c>
    </row>
    <row r="55" spans="1:8" ht="12.75">
      <c r="A55" s="429" t="s">
        <v>111</v>
      </c>
      <c r="B55" s="471">
        <f>SUM(B56:B57)</f>
        <v>110123</v>
      </c>
      <c r="C55" s="471">
        <f>SUM(C56:C57)</f>
        <v>117129</v>
      </c>
      <c r="D55" s="471">
        <f>SUM(D56:D57)</f>
        <v>136593</v>
      </c>
      <c r="E55" s="473" t="s">
        <v>69</v>
      </c>
      <c r="F55" s="474">
        <v>0</v>
      </c>
      <c r="G55" s="428">
        <v>0</v>
      </c>
      <c r="H55" s="428">
        <v>0</v>
      </c>
    </row>
    <row r="56" spans="1:8" ht="12.75">
      <c r="A56" s="434" t="s">
        <v>59</v>
      </c>
      <c r="B56" s="467">
        <v>109523</v>
      </c>
      <c r="C56" s="467">
        <v>116529</v>
      </c>
      <c r="D56" s="467">
        <v>98633</v>
      </c>
      <c r="E56" s="473" t="s">
        <v>70</v>
      </c>
      <c r="F56" s="474">
        <v>1278265</v>
      </c>
      <c r="G56" s="428">
        <v>1274234</v>
      </c>
      <c r="H56" s="428">
        <v>0</v>
      </c>
    </row>
    <row r="57" spans="1:8" ht="12.75">
      <c r="A57" s="434" t="s">
        <v>60</v>
      </c>
      <c r="B57" s="467">
        <v>600</v>
      </c>
      <c r="C57" s="467">
        <v>600</v>
      </c>
      <c r="D57" s="467">
        <v>37960</v>
      </c>
      <c r="E57" s="473"/>
      <c r="F57" s="474"/>
      <c r="G57" s="428"/>
      <c r="H57" s="428"/>
    </row>
    <row r="58" spans="1:8" ht="12.75">
      <c r="A58" s="441" t="s">
        <v>526</v>
      </c>
      <c r="B58" s="426">
        <f>SUM(B59:B60)</f>
        <v>677154</v>
      </c>
      <c r="C58" s="426">
        <f>SUM(C59:C60)</f>
        <v>677154</v>
      </c>
      <c r="D58" s="426">
        <f>SUM(D59:D60)</f>
        <v>677154</v>
      </c>
      <c r="E58" s="473"/>
      <c r="F58" s="475"/>
      <c r="G58" s="428"/>
      <c r="H58" s="428"/>
    </row>
    <row r="59" spans="1:8" ht="12.75">
      <c r="A59" s="439" t="s">
        <v>56</v>
      </c>
      <c r="B59" s="431">
        <v>120000</v>
      </c>
      <c r="C59" s="431">
        <v>120000</v>
      </c>
      <c r="D59" s="431">
        <v>120000</v>
      </c>
      <c r="E59" s="473"/>
      <c r="F59" s="475"/>
      <c r="G59" s="428"/>
      <c r="H59" s="428"/>
    </row>
    <row r="60" spans="1:8" ht="13.5" thickBot="1">
      <c r="A60" s="476" t="s">
        <v>57</v>
      </c>
      <c r="B60" s="477">
        <v>557154</v>
      </c>
      <c r="C60" s="477">
        <v>557154</v>
      </c>
      <c r="D60" s="477">
        <v>557154</v>
      </c>
      <c r="E60" s="478"/>
      <c r="F60" s="479"/>
      <c r="G60" s="445"/>
      <c r="H60" s="445"/>
    </row>
    <row r="61" spans="1:8" ht="13.5" thickBot="1">
      <c r="A61" s="480" t="s">
        <v>516</v>
      </c>
      <c r="B61" s="455">
        <f>SUM(B47+B52+B55+B58)</f>
        <v>3110233</v>
      </c>
      <c r="C61" s="455">
        <f>SUM(C47+C52+C55+C58)</f>
        <v>3174110</v>
      </c>
      <c r="D61" s="455">
        <f>SUM(D47+D52+D55+D58)</f>
        <v>2975530</v>
      </c>
      <c r="E61" s="454" t="s">
        <v>517</v>
      </c>
      <c r="F61" s="481">
        <f>SUM(F47+F48+F49)</f>
        <v>4137956</v>
      </c>
      <c r="G61" s="481">
        <f>SUM(G47+G48+G49)</f>
        <v>4349091</v>
      </c>
      <c r="H61" s="481">
        <f>SUM(H47+H48+H49)</f>
        <v>3369012</v>
      </c>
    </row>
    <row r="62" spans="1:8" ht="13.5" thickBot="1">
      <c r="A62" s="480" t="s">
        <v>518</v>
      </c>
      <c r="B62" s="448">
        <f>B61-F61</f>
        <v>-1027723</v>
      </c>
      <c r="C62" s="448">
        <f>C61-G61</f>
        <v>-1174981</v>
      </c>
      <c r="D62" s="448">
        <f>D61-H61</f>
        <v>-393482</v>
      </c>
      <c r="E62" s="454"/>
      <c r="F62" s="448"/>
      <c r="G62" s="450"/>
      <c r="H62" s="450"/>
    </row>
    <row r="63" spans="1:8" ht="12.75">
      <c r="A63" s="419" t="s">
        <v>47</v>
      </c>
      <c r="B63" s="421">
        <f>SUM(B64)</f>
        <v>300000</v>
      </c>
      <c r="C63" s="421">
        <f>SUM(C64)</f>
        <v>438318</v>
      </c>
      <c r="D63" s="421">
        <f>SUM(D64)</f>
        <v>438318</v>
      </c>
      <c r="E63" s="449"/>
      <c r="F63" s="482"/>
      <c r="G63" s="424"/>
      <c r="H63" s="424"/>
    </row>
    <row r="64" spans="1:8" ht="12.75">
      <c r="A64" s="434" t="s">
        <v>505</v>
      </c>
      <c r="B64" s="464">
        <v>300000</v>
      </c>
      <c r="C64" s="464">
        <v>438318</v>
      </c>
      <c r="D64" s="464">
        <v>438318</v>
      </c>
      <c r="E64" s="465" t="s">
        <v>573</v>
      </c>
      <c r="F64" s="430">
        <v>80158</v>
      </c>
      <c r="G64" s="426">
        <v>44961</v>
      </c>
      <c r="H64" s="426">
        <v>44961</v>
      </c>
    </row>
    <row r="65" spans="1:8" ht="12.75">
      <c r="A65" s="483" t="s">
        <v>49</v>
      </c>
      <c r="B65" s="471">
        <f>SUM(B66:B67)</f>
        <v>904031</v>
      </c>
      <c r="C65" s="471">
        <f>SUM(C66:C67)</f>
        <v>900000</v>
      </c>
      <c r="D65" s="471">
        <f>SUM(D66:D67)</f>
        <v>250000</v>
      </c>
      <c r="E65" s="465"/>
      <c r="F65" s="430"/>
      <c r="G65" s="428"/>
      <c r="H65" s="428"/>
    </row>
    <row r="66" spans="1:8" ht="12.75">
      <c r="A66" s="434" t="s">
        <v>527</v>
      </c>
      <c r="B66" s="464">
        <v>250000</v>
      </c>
      <c r="C66" s="464">
        <v>250000</v>
      </c>
      <c r="D66" s="464">
        <v>250000</v>
      </c>
      <c r="E66" s="465" t="s">
        <v>574</v>
      </c>
      <c r="F66" s="430">
        <v>96150</v>
      </c>
      <c r="G66" s="426">
        <v>48894</v>
      </c>
      <c r="H66" s="426">
        <v>48894</v>
      </c>
    </row>
    <row r="67" spans="1:8" ht="13.5" thickBot="1">
      <c r="A67" s="484" t="s">
        <v>507</v>
      </c>
      <c r="B67" s="485">
        <v>654031</v>
      </c>
      <c r="C67" s="485">
        <v>650000</v>
      </c>
      <c r="D67" s="485">
        <v>0</v>
      </c>
      <c r="E67" s="486"/>
      <c r="F67" s="487"/>
      <c r="G67" s="445"/>
      <c r="H67" s="445"/>
    </row>
    <row r="68" spans="1:8" ht="30" customHeight="1" thickBot="1">
      <c r="A68" s="454" t="s">
        <v>520</v>
      </c>
      <c r="B68" s="448">
        <f>SUM(B65,B63)</f>
        <v>1204031</v>
      </c>
      <c r="C68" s="448">
        <f>SUM(C65,C63)</f>
        <v>1338318</v>
      </c>
      <c r="D68" s="448">
        <f>SUM(D65,D63)</f>
        <v>688318</v>
      </c>
      <c r="E68" s="454" t="s">
        <v>521</v>
      </c>
      <c r="F68" s="448">
        <f>SUM(F64:F66)</f>
        <v>176308</v>
      </c>
      <c r="G68" s="448">
        <f>SUM(G64:G66)</f>
        <v>93855</v>
      </c>
      <c r="H68" s="448">
        <f>SUM(H64:H66)</f>
        <v>93855</v>
      </c>
    </row>
    <row r="69" spans="1:8" ht="13.5" thickBot="1">
      <c r="A69" s="446" t="s">
        <v>522</v>
      </c>
      <c r="B69" s="488">
        <f>SUM(B61+B68)</f>
        <v>4314264</v>
      </c>
      <c r="C69" s="488">
        <f>SUM(C61+C68)</f>
        <v>4512428</v>
      </c>
      <c r="D69" s="488">
        <f>SUM(D61+D68)</f>
        <v>3663848</v>
      </c>
      <c r="E69" s="446" t="s">
        <v>522</v>
      </c>
      <c r="F69" s="447">
        <f>SUM(F61+F68)</f>
        <v>4314264</v>
      </c>
      <c r="G69" s="447">
        <f>SUM(G61+G68)</f>
        <v>4442946</v>
      </c>
      <c r="H69" s="447">
        <f>SUM(H61+H68)</f>
        <v>3462867</v>
      </c>
    </row>
    <row r="70" spans="1:6" ht="12.75">
      <c r="A70" s="489"/>
      <c r="B70" s="490"/>
      <c r="C70" s="490"/>
      <c r="D70" s="490"/>
      <c r="E70" s="489"/>
      <c r="F70" s="490"/>
    </row>
    <row r="71" spans="1:8" ht="12.75">
      <c r="A71" s="491" t="s">
        <v>528</v>
      </c>
      <c r="B71" s="492">
        <f>SUM(B41,B69)</f>
        <v>10080300</v>
      </c>
      <c r="C71" s="492">
        <f>SUM(C41,C69)</f>
        <v>10478207</v>
      </c>
      <c r="D71" s="492">
        <f>SUM(D41,D69)</f>
        <v>12449692</v>
      </c>
      <c r="E71" s="491" t="s">
        <v>529</v>
      </c>
      <c r="F71" s="493">
        <f>SUM(F41,F69)</f>
        <v>10080300</v>
      </c>
      <c r="G71" s="493">
        <f>SUM(G41,G69)</f>
        <v>10478207</v>
      </c>
      <c r="H71" s="493">
        <f>SUM(H41,H69)</f>
        <v>12449692</v>
      </c>
    </row>
    <row r="73" ht="12.75">
      <c r="A73" s="242" t="s">
        <v>1156</v>
      </c>
    </row>
    <row r="74" ht="12.75">
      <c r="A74" s="1" t="s">
        <v>1155</v>
      </c>
    </row>
    <row r="75" ht="12.75">
      <c r="A75" s="1" t="s">
        <v>1154</v>
      </c>
    </row>
    <row r="76" ht="12.75">
      <c r="A76" s="1" t="s">
        <v>1157</v>
      </c>
    </row>
  </sheetData>
  <sheetProtection selectLockedCells="1" selectUnlockedCells="1"/>
  <mergeCells count="6">
    <mergeCell ref="A3:D3"/>
    <mergeCell ref="A45:D45"/>
    <mergeCell ref="E3:H3"/>
    <mergeCell ref="E45:H45"/>
    <mergeCell ref="A1:H1"/>
    <mergeCell ref="A43:H43"/>
  </mergeCells>
  <printOptions horizontalCentered="1"/>
  <pageMargins left="0.35433070866141736" right="0.35433070866141736" top="0.8020833333333334" bottom="0.61875" header="0.5118110236220472" footer="0.5118110236220472"/>
  <pageSetup fitToHeight="1" fitToWidth="1" horizontalDpi="300" verticalDpi="300" orientation="landscape" paperSize="9" scale="49" r:id="rId1"/>
  <headerFooter alignWithMargins="0">
    <oddHeader xml:space="preserve">&amp;L2. melléklet </oddHeader>
  </headerFooter>
</worksheet>
</file>

<file path=xl/worksheets/sheet20.xml><?xml version="1.0" encoding="utf-8"?>
<worksheet xmlns="http://schemas.openxmlformats.org/spreadsheetml/2006/main" xmlns:r="http://schemas.openxmlformats.org/officeDocument/2006/relationships">
  <dimension ref="A1:D64"/>
  <sheetViews>
    <sheetView tabSelected="1" view="pageBreakPreview" zoomScaleSheetLayoutView="100" workbookViewId="0" topLeftCell="A46">
      <selection activeCell="A62" sqref="A62"/>
    </sheetView>
  </sheetViews>
  <sheetFormatPr defaultColWidth="9.00390625" defaultRowHeight="12.75"/>
  <cols>
    <col min="1" max="1" width="77.75390625" style="135" customWidth="1"/>
    <col min="2" max="2" width="12.75390625" style="136" customWidth="1"/>
    <col min="3" max="3" width="14.875" style="127" customWidth="1"/>
    <col min="4" max="4" width="15.125" style="127" customWidth="1"/>
    <col min="5" max="16384" width="9.125" style="127" customWidth="1"/>
  </cols>
  <sheetData>
    <row r="1" spans="1:2" ht="15">
      <c r="A1" s="189"/>
      <c r="B1" s="190"/>
    </row>
    <row r="2" spans="1:4" ht="15">
      <c r="A2" s="1259" t="s">
        <v>407</v>
      </c>
      <c r="B2" s="1259"/>
      <c r="C2" s="1032"/>
      <c r="D2" s="1032"/>
    </row>
    <row r="3" spans="1:2" ht="15.75" thickBot="1">
      <c r="A3" s="189"/>
      <c r="B3" s="190"/>
    </row>
    <row r="4" spans="1:4" ht="15">
      <c r="A4" s="128" t="s">
        <v>121</v>
      </c>
      <c r="B4" s="616" t="s">
        <v>162</v>
      </c>
      <c r="C4" s="617" t="s">
        <v>888</v>
      </c>
      <c r="D4" s="711" t="s">
        <v>947</v>
      </c>
    </row>
    <row r="5" spans="1:4" s="130" customFormat="1" ht="14.25">
      <c r="A5" s="131" t="s">
        <v>213</v>
      </c>
      <c r="B5" s="618">
        <f>SUM(B7,B10,B14)</f>
        <v>161700</v>
      </c>
      <c r="C5" s="618">
        <f>SUM(C7,C10,C14)</f>
        <v>140131</v>
      </c>
      <c r="D5" s="813">
        <f>SUM(D7,D10,D14)</f>
        <v>1130</v>
      </c>
    </row>
    <row r="6" spans="1:4" s="130" customFormat="1" ht="14.25">
      <c r="A6" s="129"/>
      <c r="B6" s="619"/>
      <c r="C6" s="619"/>
      <c r="D6" s="814"/>
    </row>
    <row r="7" spans="1:4" s="132" customFormat="1" ht="14.25">
      <c r="A7" s="131" t="s">
        <v>153</v>
      </c>
      <c r="B7" s="618">
        <f>SUM(B8)</f>
        <v>13000</v>
      </c>
      <c r="C7" s="618">
        <f>SUM(C8)</f>
        <v>5958</v>
      </c>
      <c r="D7" s="813">
        <f>SUM(D8)</f>
        <v>423</v>
      </c>
    </row>
    <row r="8" spans="1:4" ht="15">
      <c r="A8" s="133" t="s">
        <v>153</v>
      </c>
      <c r="B8" s="620">
        <v>13000</v>
      </c>
      <c r="C8" s="620">
        <v>5958</v>
      </c>
      <c r="D8" s="815">
        <v>423</v>
      </c>
    </row>
    <row r="9" spans="1:4" ht="15">
      <c r="A9" s="133"/>
      <c r="B9" s="620"/>
      <c r="C9" s="620"/>
      <c r="D9" s="815"/>
    </row>
    <row r="10" spans="1:4" s="132" customFormat="1" ht="14.25">
      <c r="A10" s="131" t="s">
        <v>154</v>
      </c>
      <c r="B10" s="618">
        <f>SUM(B11:B12)</f>
        <v>125400</v>
      </c>
      <c r="C10" s="618">
        <f>SUM(C11:C12)</f>
        <v>81927</v>
      </c>
      <c r="D10" s="813">
        <f>SUM(D11:D12)</f>
        <v>0</v>
      </c>
    </row>
    <row r="11" spans="1:4" ht="15">
      <c r="A11" s="133" t="s">
        <v>154</v>
      </c>
      <c r="B11" s="620">
        <f>125400-20090</f>
        <v>105310</v>
      </c>
      <c r="C11" s="620">
        <v>61837</v>
      </c>
      <c r="D11" s="815">
        <v>0</v>
      </c>
    </row>
    <row r="12" spans="1:4" ht="15" customHeight="1">
      <c r="A12" s="133" t="s">
        <v>701</v>
      </c>
      <c r="B12" s="620">
        <v>20090</v>
      </c>
      <c r="C12" s="620">
        <v>20090</v>
      </c>
      <c r="D12" s="815">
        <v>0</v>
      </c>
    </row>
    <row r="13" spans="1:4" ht="15">
      <c r="A13" s="133"/>
      <c r="B13" s="620"/>
      <c r="C13" s="620"/>
      <c r="D13" s="815"/>
    </row>
    <row r="14" spans="1:4" ht="15">
      <c r="A14" s="131" t="s">
        <v>155</v>
      </c>
      <c r="B14" s="618">
        <f>SUM(B15:B19)</f>
        <v>23300</v>
      </c>
      <c r="C14" s="618">
        <f>SUM(C15:C19)</f>
        <v>52246</v>
      </c>
      <c r="D14" s="813">
        <f>SUM(D15:D19)</f>
        <v>707</v>
      </c>
    </row>
    <row r="15" spans="1:4" ht="15">
      <c r="A15" s="133" t="s">
        <v>135</v>
      </c>
      <c r="B15" s="620">
        <v>1800</v>
      </c>
      <c r="C15" s="620">
        <v>0</v>
      </c>
      <c r="D15" s="815">
        <v>0</v>
      </c>
    </row>
    <row r="16" spans="1:4" ht="15">
      <c r="A16" s="133" t="s">
        <v>156</v>
      </c>
      <c r="B16" s="620">
        <v>10000</v>
      </c>
      <c r="C16" s="620">
        <v>10000</v>
      </c>
      <c r="D16" s="815">
        <v>0</v>
      </c>
    </row>
    <row r="17" spans="1:4" ht="15">
      <c r="A17" s="133" t="s">
        <v>886</v>
      </c>
      <c r="B17" s="620">
        <v>11500</v>
      </c>
      <c r="C17" s="620">
        <v>7001</v>
      </c>
      <c r="D17" s="815">
        <v>0</v>
      </c>
    </row>
    <row r="18" spans="1:4" ht="14.25" customHeight="1">
      <c r="A18" s="133" t="s">
        <v>784</v>
      </c>
      <c r="B18" s="620"/>
      <c r="C18" s="620">
        <v>24538</v>
      </c>
      <c r="D18" s="815">
        <v>0</v>
      </c>
    </row>
    <row r="19" spans="1:4" ht="15">
      <c r="A19" s="133" t="s">
        <v>783</v>
      </c>
      <c r="B19" s="620"/>
      <c r="C19" s="620">
        <v>10707</v>
      </c>
      <c r="D19" s="815">
        <v>707</v>
      </c>
    </row>
    <row r="20" spans="1:4" ht="15" customHeight="1">
      <c r="A20" s="133"/>
      <c r="B20" s="620"/>
      <c r="C20" s="620"/>
      <c r="D20" s="815"/>
    </row>
    <row r="21" spans="1:4" s="130" customFormat="1" ht="14.25">
      <c r="A21" s="131" t="s">
        <v>212</v>
      </c>
      <c r="B21" s="618">
        <f>SUM(B23,B26,B28)</f>
        <v>1328265</v>
      </c>
      <c r="C21" s="618">
        <f>SUM(C23,C26,C28)</f>
        <v>1298922</v>
      </c>
      <c r="D21" s="813">
        <f>SUM(D23,D26,D28)</f>
        <v>0</v>
      </c>
    </row>
    <row r="22" spans="1:4" s="130" customFormat="1" ht="14.25">
      <c r="A22" s="131"/>
      <c r="B22" s="618"/>
      <c r="C22" s="619"/>
      <c r="D22" s="814"/>
    </row>
    <row r="23" spans="1:4" s="132" customFormat="1" ht="14.25">
      <c r="A23" s="131" t="s">
        <v>158</v>
      </c>
      <c r="B23" s="618">
        <f>SUM(B24:B24)</f>
        <v>50000</v>
      </c>
      <c r="C23" s="618">
        <f>SUM(C24:C24)</f>
        <v>24688</v>
      </c>
      <c r="D23" s="813">
        <f>SUM(D24:D24)</f>
        <v>0</v>
      </c>
    </row>
    <row r="24" spans="1:4" ht="15">
      <c r="A24" s="133" t="s">
        <v>158</v>
      </c>
      <c r="B24" s="620">
        <v>50000</v>
      </c>
      <c r="C24" s="620">
        <v>24688</v>
      </c>
      <c r="D24" s="815">
        <v>0</v>
      </c>
    </row>
    <row r="25" spans="1:4" ht="15">
      <c r="A25" s="133"/>
      <c r="B25" s="620"/>
      <c r="C25" s="620"/>
      <c r="D25" s="815"/>
    </row>
    <row r="26" spans="1:4" s="132" customFormat="1" ht="14.25">
      <c r="A26" s="131" t="s">
        <v>159</v>
      </c>
      <c r="B26" s="618">
        <f>SUM(B27:B27)</f>
        <v>0</v>
      </c>
      <c r="C26" s="618">
        <f>SUM(C27:C27)</f>
        <v>0</v>
      </c>
      <c r="D26" s="813">
        <f>SUM(D27:D27)</f>
        <v>0</v>
      </c>
    </row>
    <row r="27" spans="1:4" ht="15">
      <c r="A27" s="133"/>
      <c r="B27" s="620"/>
      <c r="C27" s="620"/>
      <c r="D27" s="815"/>
    </row>
    <row r="28" spans="1:4" s="132" customFormat="1" ht="14.25">
      <c r="A28" s="131" t="s">
        <v>160</v>
      </c>
      <c r="B28" s="618">
        <f>SUM(B34,B30,B40,B44,B49,B54)</f>
        <v>1278265</v>
      </c>
      <c r="C28" s="618">
        <f>SUM(C34,C30,C40,C44,C49,C54)</f>
        <v>1274234</v>
      </c>
      <c r="D28" s="813">
        <f>SUM(D34,D30,D40,D44,D49,D54)</f>
        <v>0</v>
      </c>
    </row>
    <row r="29" spans="1:4" s="132" customFormat="1" ht="14.25">
      <c r="A29" s="131"/>
      <c r="B29" s="618"/>
      <c r="C29" s="618"/>
      <c r="D29" s="813"/>
    </row>
    <row r="30" spans="1:4" s="195" customFormat="1" ht="15">
      <c r="A30" s="194" t="s">
        <v>190</v>
      </c>
      <c r="B30" s="621">
        <f>SUM(B31:B32)</f>
        <v>1107640</v>
      </c>
      <c r="C30" s="621">
        <f>SUM(C31:C32)</f>
        <v>1107640</v>
      </c>
      <c r="D30" s="816">
        <f>SUM(D31:D32)</f>
        <v>0</v>
      </c>
    </row>
    <row r="31" spans="1:4" ht="15">
      <c r="A31" s="133" t="s">
        <v>178</v>
      </c>
      <c r="B31" s="620">
        <f>600000+502640</f>
        <v>1102640</v>
      </c>
      <c r="C31" s="620">
        <v>1102640</v>
      </c>
      <c r="D31" s="815">
        <v>0</v>
      </c>
    </row>
    <row r="32" spans="1:4" ht="15">
      <c r="A32" s="133" t="s">
        <v>179</v>
      </c>
      <c r="B32" s="620">
        <v>5000</v>
      </c>
      <c r="C32" s="620">
        <v>5000</v>
      </c>
      <c r="D32" s="815">
        <v>0</v>
      </c>
    </row>
    <row r="33" spans="1:4" ht="15">
      <c r="A33" s="133"/>
      <c r="B33" s="620"/>
      <c r="C33" s="620"/>
      <c r="D33" s="815"/>
    </row>
    <row r="34" spans="1:4" s="195" customFormat="1" ht="15">
      <c r="A34" s="194" t="s">
        <v>191</v>
      </c>
      <c r="B34" s="621">
        <f>SUM(B35:B38)</f>
        <v>31000</v>
      </c>
      <c r="C34" s="621">
        <f>SUM(C35:C38)</f>
        <v>26969</v>
      </c>
      <c r="D34" s="816">
        <f>SUM(D35:D38)</f>
        <v>0</v>
      </c>
    </row>
    <row r="35" spans="1:4" ht="15">
      <c r="A35" s="133" t="s">
        <v>343</v>
      </c>
      <c r="B35" s="620">
        <v>9000</v>
      </c>
      <c r="C35" s="620">
        <v>9000</v>
      </c>
      <c r="D35" s="815">
        <v>0</v>
      </c>
    </row>
    <row r="36" spans="1:4" ht="15">
      <c r="A36" s="133" t="s">
        <v>223</v>
      </c>
      <c r="B36" s="620">
        <v>4000</v>
      </c>
      <c r="C36" s="620">
        <v>4000</v>
      </c>
      <c r="D36" s="815">
        <v>0</v>
      </c>
    </row>
    <row r="37" spans="1:4" ht="15">
      <c r="A37" s="133" t="s">
        <v>224</v>
      </c>
      <c r="B37" s="620">
        <v>9000</v>
      </c>
      <c r="C37" s="620">
        <v>7000</v>
      </c>
      <c r="D37" s="815">
        <v>0</v>
      </c>
    </row>
    <row r="38" spans="1:4" ht="15">
      <c r="A38" s="133" t="s">
        <v>214</v>
      </c>
      <c r="B38" s="620">
        <v>9000</v>
      </c>
      <c r="C38" s="620">
        <v>6969</v>
      </c>
      <c r="D38" s="815">
        <v>0</v>
      </c>
    </row>
    <row r="39" spans="1:4" ht="15">
      <c r="A39" s="133"/>
      <c r="B39" s="620"/>
      <c r="C39" s="620"/>
      <c r="D39" s="815"/>
    </row>
    <row r="40" spans="1:4" s="195" customFormat="1" ht="15">
      <c r="A40" s="194" t="s">
        <v>192</v>
      </c>
      <c r="B40" s="621">
        <f>SUM(B41:B42)</f>
        <v>28500</v>
      </c>
      <c r="C40" s="621">
        <f>SUM(C41:C42)</f>
        <v>28500</v>
      </c>
      <c r="D40" s="816">
        <f>SUM(D41:D42)</f>
        <v>0</v>
      </c>
    </row>
    <row r="41" spans="1:4" ht="15">
      <c r="A41" s="133" t="s">
        <v>176</v>
      </c>
      <c r="B41" s="620">
        <v>8500</v>
      </c>
      <c r="C41" s="620">
        <v>8500</v>
      </c>
      <c r="D41" s="815">
        <v>0</v>
      </c>
    </row>
    <row r="42" spans="1:4" ht="30">
      <c r="A42" s="133" t="s">
        <v>175</v>
      </c>
      <c r="B42" s="620">
        <v>20000</v>
      </c>
      <c r="C42" s="620">
        <v>20000</v>
      </c>
      <c r="D42" s="815">
        <v>0</v>
      </c>
    </row>
    <row r="43" spans="1:4" ht="15">
      <c r="A43" s="133"/>
      <c r="B43" s="620"/>
      <c r="C43" s="620"/>
      <c r="D43" s="815"/>
    </row>
    <row r="44" spans="1:4" s="195" customFormat="1" ht="15">
      <c r="A44" s="194" t="s">
        <v>193</v>
      </c>
      <c r="B44" s="621">
        <f>SUM(B45:B47)</f>
        <v>83200</v>
      </c>
      <c r="C44" s="621">
        <f>SUM(C45:C47)</f>
        <v>83200</v>
      </c>
      <c r="D44" s="816">
        <f>SUM(D45:D47)</f>
        <v>0</v>
      </c>
    </row>
    <row r="45" spans="1:4" ht="30">
      <c r="A45" s="133" t="s">
        <v>231</v>
      </c>
      <c r="B45" s="620">
        <v>40000</v>
      </c>
      <c r="C45" s="620">
        <v>40000</v>
      </c>
      <c r="D45" s="815">
        <v>0</v>
      </c>
    </row>
    <row r="46" spans="1:4" ht="15">
      <c r="A46" s="133" t="s">
        <v>215</v>
      </c>
      <c r="B46" s="620">
        <v>21200</v>
      </c>
      <c r="C46" s="620">
        <v>21200</v>
      </c>
      <c r="D46" s="815">
        <v>0</v>
      </c>
    </row>
    <row r="47" spans="1:4" ht="15">
      <c r="A47" s="133" t="s">
        <v>218</v>
      </c>
      <c r="B47" s="620">
        <v>22000</v>
      </c>
      <c r="C47" s="620">
        <v>22000</v>
      </c>
      <c r="D47" s="815">
        <v>0</v>
      </c>
    </row>
    <row r="48" spans="1:4" ht="15">
      <c r="A48" s="133"/>
      <c r="B48" s="620"/>
      <c r="C48" s="620"/>
      <c r="D48" s="815"/>
    </row>
    <row r="49" spans="1:4" s="195" customFormat="1" ht="15">
      <c r="A49" s="194" t="s">
        <v>195</v>
      </c>
      <c r="B49" s="621">
        <f>SUM(B50:B52)</f>
        <v>21372</v>
      </c>
      <c r="C49" s="621">
        <f>SUM(C50:C52)</f>
        <v>21372</v>
      </c>
      <c r="D49" s="816">
        <f>SUM(D50:D52)</f>
        <v>0</v>
      </c>
    </row>
    <row r="50" spans="1:4" ht="15">
      <c r="A50" s="133" t="s">
        <v>342</v>
      </c>
      <c r="B50" s="620">
        <v>6300</v>
      </c>
      <c r="C50" s="620">
        <v>6300</v>
      </c>
      <c r="D50" s="815">
        <v>0</v>
      </c>
    </row>
    <row r="51" spans="1:4" ht="15">
      <c r="A51" s="133" t="s">
        <v>222</v>
      </c>
      <c r="B51" s="620">
        <v>10000</v>
      </c>
      <c r="C51" s="620">
        <v>10000</v>
      </c>
      <c r="D51" s="815">
        <v>0</v>
      </c>
    </row>
    <row r="52" spans="1:4" ht="15">
      <c r="A52" s="133" t="s">
        <v>225</v>
      </c>
      <c r="B52" s="620">
        <v>5072</v>
      </c>
      <c r="C52" s="620">
        <v>5072</v>
      </c>
      <c r="D52" s="815">
        <v>0</v>
      </c>
    </row>
    <row r="53" spans="1:4" ht="15">
      <c r="A53" s="133"/>
      <c r="B53" s="620"/>
      <c r="C53" s="620"/>
      <c r="D53" s="815"/>
    </row>
    <row r="54" spans="1:4" s="195" customFormat="1" ht="15">
      <c r="A54" s="194" t="s">
        <v>194</v>
      </c>
      <c r="B54" s="621">
        <f>SUM(B55:B57)</f>
        <v>6553</v>
      </c>
      <c r="C54" s="621">
        <f>SUM(C55:C57)</f>
        <v>6553</v>
      </c>
      <c r="D54" s="816">
        <f>SUM(D55:D57)</f>
        <v>0</v>
      </c>
    </row>
    <row r="55" spans="1:4" ht="15">
      <c r="A55" s="133" t="s">
        <v>447</v>
      </c>
      <c r="B55" s="620">
        <v>739</v>
      </c>
      <c r="C55" s="620">
        <v>739</v>
      </c>
      <c r="D55" s="815">
        <v>0</v>
      </c>
    </row>
    <row r="56" spans="1:4" ht="15">
      <c r="A56" s="133" t="s">
        <v>448</v>
      </c>
      <c r="B56" s="620">
        <v>2314</v>
      </c>
      <c r="C56" s="620">
        <v>2314</v>
      </c>
      <c r="D56" s="815">
        <v>0</v>
      </c>
    </row>
    <row r="57" spans="1:4" ht="15">
      <c r="A57" s="133" t="s">
        <v>449</v>
      </c>
      <c r="B57" s="620">
        <v>3500</v>
      </c>
      <c r="C57" s="620">
        <v>3500</v>
      </c>
      <c r="D57" s="815">
        <v>0</v>
      </c>
    </row>
    <row r="58" spans="1:4" ht="15">
      <c r="A58" s="133"/>
      <c r="B58" s="620"/>
      <c r="C58" s="620"/>
      <c r="D58" s="815"/>
    </row>
    <row r="59" spans="1:4" s="132" customFormat="1" ht="15" thickBot="1">
      <c r="A59" s="134" t="s">
        <v>161</v>
      </c>
      <c r="B59" s="622">
        <f>SUM(B5,B21)</f>
        <v>1489965</v>
      </c>
      <c r="C59" s="622">
        <f>SUM(C5,C21)</f>
        <v>1439053</v>
      </c>
      <c r="D59" s="817">
        <f>SUM(D5,D21)</f>
        <v>1130</v>
      </c>
    </row>
    <row r="61" ht="15">
      <c r="A61" s="242" t="s">
        <v>1095</v>
      </c>
    </row>
    <row r="62" ht="15">
      <c r="A62" s="1" t="s">
        <v>1096</v>
      </c>
    </row>
    <row r="63" ht="15">
      <c r="A63" s="1" t="s">
        <v>1097</v>
      </c>
    </row>
    <row r="64" ht="15">
      <c r="A64" s="1" t="s">
        <v>1152</v>
      </c>
    </row>
  </sheetData>
  <sheetProtection/>
  <mergeCells count="1">
    <mergeCell ref="A2:D2"/>
  </mergeCells>
  <printOptions horizontalCentered="1"/>
  <pageMargins left="0.4724409448818898" right="0.4724409448818898" top="0.8645833333333334" bottom="0.47552083333333334" header="0.4724409448818898" footer="0.5118110236220472"/>
  <pageSetup horizontalDpi="600" verticalDpi="600" orientation="portrait" paperSize="9" scale="77" r:id="rId1"/>
  <headerFooter alignWithMargins="0">
    <oddHeader xml:space="preserve">&amp;L 19. melléklet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70"/>
  <sheetViews>
    <sheetView view="pageLayout" zoomScaleNormal="80" zoomScaleSheetLayoutView="75" workbookViewId="0" topLeftCell="A1">
      <selection activeCell="A14" sqref="A14"/>
    </sheetView>
  </sheetViews>
  <sheetFormatPr defaultColWidth="9.00390625" defaultRowHeight="12.75"/>
  <cols>
    <col min="1" max="1" width="88.75390625" style="243" customWidth="1"/>
    <col min="2" max="2" width="15.625" style="243" customWidth="1"/>
    <col min="3" max="3" width="16.25390625" style="243" customWidth="1"/>
    <col min="4" max="4" width="16.75390625" style="243" customWidth="1"/>
    <col min="5" max="5" width="12.25390625" style="243" customWidth="1"/>
    <col min="6" max="6" width="15.125" style="243" customWidth="1"/>
    <col min="7" max="7" width="16.75390625" style="243" customWidth="1"/>
    <col min="8" max="8" width="13.375" style="243" customWidth="1"/>
    <col min="9" max="9" width="15.875" style="243" customWidth="1"/>
    <col min="10" max="10" width="16.75390625" style="243" customWidth="1"/>
    <col min="11" max="11" width="13.125" style="243" customWidth="1"/>
    <col min="12" max="12" width="15.625" style="243" customWidth="1"/>
    <col min="13" max="13" width="16.75390625" style="243" customWidth="1"/>
    <col min="14" max="14" width="14.375" style="243" customWidth="1"/>
    <col min="15" max="15" width="15.125" style="243" customWidth="1"/>
    <col min="16" max="16" width="16.75390625" style="243" customWidth="1"/>
    <col min="17" max="16384" width="9.125" style="243" customWidth="1"/>
  </cols>
  <sheetData>
    <row r="1" ht="15.75">
      <c r="A1" s="332"/>
    </row>
    <row r="2" spans="1:16" ht="15.75">
      <c r="A2" s="1063" t="s">
        <v>0</v>
      </c>
      <c r="B2" s="1063"/>
      <c r="C2" s="1063"/>
      <c r="D2" s="1063"/>
      <c r="E2" s="1063"/>
      <c r="F2" s="1063"/>
      <c r="G2" s="1063"/>
      <c r="H2" s="1063"/>
      <c r="I2" s="1063"/>
      <c r="J2" s="1063"/>
      <c r="K2" s="1063"/>
      <c r="L2" s="1063"/>
      <c r="M2" s="1063"/>
      <c r="N2" s="1063"/>
      <c r="O2" s="1032"/>
      <c r="P2" s="1032"/>
    </row>
    <row r="3" ht="16.5" thickBot="1"/>
    <row r="4" spans="1:16" ht="87" customHeight="1">
      <c r="A4" s="1070" t="s">
        <v>81</v>
      </c>
      <c r="B4" s="1067" t="s">
        <v>163</v>
      </c>
      <c r="C4" s="1068"/>
      <c r="D4" s="1069"/>
      <c r="E4" s="1067" t="s">
        <v>169</v>
      </c>
      <c r="F4" s="1068"/>
      <c r="G4" s="1069"/>
      <c r="H4" s="1067" t="s">
        <v>34</v>
      </c>
      <c r="I4" s="1068"/>
      <c r="J4" s="1069"/>
      <c r="K4" s="1067" t="s">
        <v>170</v>
      </c>
      <c r="L4" s="1068"/>
      <c r="M4" s="1069"/>
      <c r="N4" s="1064" t="s">
        <v>500</v>
      </c>
      <c r="O4" s="1065"/>
      <c r="P4" s="1066"/>
    </row>
    <row r="5" spans="1:16" ht="18.75" customHeight="1">
      <c r="A5" s="1071"/>
      <c r="B5" s="230" t="s">
        <v>162</v>
      </c>
      <c r="C5" s="230" t="s">
        <v>888</v>
      </c>
      <c r="D5" s="230" t="s">
        <v>947</v>
      </c>
      <c r="E5" s="230" t="s">
        <v>162</v>
      </c>
      <c r="F5" s="230" t="s">
        <v>888</v>
      </c>
      <c r="G5" s="230" t="s">
        <v>947</v>
      </c>
      <c r="H5" s="230" t="s">
        <v>162</v>
      </c>
      <c r="I5" s="230" t="s">
        <v>888</v>
      </c>
      <c r="J5" s="230" t="s">
        <v>947</v>
      </c>
      <c r="K5" s="230" t="s">
        <v>162</v>
      </c>
      <c r="L5" s="230" t="s">
        <v>888</v>
      </c>
      <c r="M5" s="230" t="s">
        <v>947</v>
      </c>
      <c r="N5" s="231" t="s">
        <v>122</v>
      </c>
      <c r="O5" s="494" t="s">
        <v>888</v>
      </c>
      <c r="P5" s="232" t="s">
        <v>947</v>
      </c>
    </row>
    <row r="6" spans="1:16" s="332" customFormat="1" ht="18" customHeight="1">
      <c r="A6" s="333" t="s">
        <v>82</v>
      </c>
      <c r="B6" s="334">
        <f aca="true" t="shared" si="0" ref="B6:M6">SUM(B7:B9)</f>
        <v>1221389</v>
      </c>
      <c r="C6" s="334">
        <f>SUM(C7:C9)</f>
        <v>1277869</v>
      </c>
      <c r="D6" s="334">
        <f t="shared" si="0"/>
        <v>1298932</v>
      </c>
      <c r="E6" s="334">
        <f t="shared" si="0"/>
        <v>0</v>
      </c>
      <c r="F6" s="334">
        <f>SUM(F7:F9)</f>
        <v>0</v>
      </c>
      <c r="G6" s="334">
        <f t="shared" si="0"/>
        <v>0</v>
      </c>
      <c r="H6" s="334">
        <f t="shared" si="0"/>
        <v>0</v>
      </c>
      <c r="I6" s="334">
        <f>SUM(I7:I9)</f>
        <v>0</v>
      </c>
      <c r="J6" s="334">
        <f t="shared" si="0"/>
        <v>0</v>
      </c>
      <c r="K6" s="334">
        <f t="shared" si="0"/>
        <v>0</v>
      </c>
      <c r="L6" s="334">
        <f>SUM(L7:L9)</f>
        <v>0</v>
      </c>
      <c r="M6" s="334">
        <f t="shared" si="0"/>
        <v>0</v>
      </c>
      <c r="N6" s="335">
        <f>SUM(B6+E6+H6+K6)</f>
        <v>1221389</v>
      </c>
      <c r="O6" s="357">
        <f>SUM(C6+F6+I6+L6)</f>
        <v>1277869</v>
      </c>
      <c r="P6" s="639">
        <f>SUM(D6+G6+J6+M6)</f>
        <v>1298932</v>
      </c>
    </row>
    <row r="7" spans="1:16" ht="18" customHeight="1">
      <c r="A7" s="336" t="s">
        <v>83</v>
      </c>
      <c r="B7" s="337">
        <v>41769</v>
      </c>
      <c r="C7" s="337">
        <v>63635</v>
      </c>
      <c r="D7" s="337">
        <v>84698</v>
      </c>
      <c r="E7" s="337"/>
      <c r="F7" s="337"/>
      <c r="G7" s="337"/>
      <c r="H7" s="337"/>
      <c r="I7" s="337"/>
      <c r="J7" s="337"/>
      <c r="K7" s="337"/>
      <c r="L7" s="338"/>
      <c r="M7" s="338"/>
      <c r="N7" s="335">
        <f aca="true" t="shared" si="1" ref="N7:N60">SUM(B7+E7+H7+K7)</f>
        <v>41769</v>
      </c>
      <c r="O7" s="357">
        <f aca="true" t="shared" si="2" ref="O7:O60">SUM(C7+F7+I7+L7)</f>
        <v>63635</v>
      </c>
      <c r="P7" s="639">
        <f aca="true" t="shared" si="3" ref="P7:P60">SUM(D7+G7+J7+M7)</f>
        <v>84698</v>
      </c>
    </row>
    <row r="8" spans="1:16" s="342" customFormat="1" ht="18" customHeight="1">
      <c r="A8" s="339" t="s">
        <v>84</v>
      </c>
      <c r="B8" s="337">
        <v>1086770</v>
      </c>
      <c r="C8" s="337">
        <v>1121384</v>
      </c>
      <c r="D8" s="337">
        <v>1121384</v>
      </c>
      <c r="E8" s="340"/>
      <c r="F8" s="340"/>
      <c r="G8" s="340"/>
      <c r="H8" s="340"/>
      <c r="I8" s="340"/>
      <c r="J8" s="340"/>
      <c r="K8" s="340"/>
      <c r="L8" s="341"/>
      <c r="M8" s="341"/>
      <c r="N8" s="335">
        <f t="shared" si="1"/>
        <v>1086770</v>
      </c>
      <c r="O8" s="357">
        <f t="shared" si="2"/>
        <v>1121384</v>
      </c>
      <c r="P8" s="639">
        <f t="shared" si="3"/>
        <v>1121384</v>
      </c>
    </row>
    <row r="9" spans="1:16" s="342" customFormat="1" ht="18" customHeight="1">
      <c r="A9" s="339" t="s">
        <v>85</v>
      </c>
      <c r="B9" s="337">
        <v>92850</v>
      </c>
      <c r="C9" s="337">
        <v>92850</v>
      </c>
      <c r="D9" s="337">
        <v>92850</v>
      </c>
      <c r="E9" s="340"/>
      <c r="F9" s="340"/>
      <c r="G9" s="340"/>
      <c r="H9" s="340"/>
      <c r="I9" s="340"/>
      <c r="J9" s="340"/>
      <c r="K9" s="340"/>
      <c r="L9" s="341"/>
      <c r="M9" s="341"/>
      <c r="N9" s="335">
        <f t="shared" si="1"/>
        <v>92850</v>
      </c>
      <c r="O9" s="357">
        <f t="shared" si="2"/>
        <v>92850</v>
      </c>
      <c r="P9" s="639">
        <f t="shared" si="3"/>
        <v>92850</v>
      </c>
    </row>
    <row r="10" spans="1:16" ht="18" customHeight="1">
      <c r="A10" s="343" t="s">
        <v>86</v>
      </c>
      <c r="B10" s="334">
        <f aca="true" t="shared" si="4" ref="B10:M10">SUM(B11:B12)</f>
        <v>143448</v>
      </c>
      <c r="C10" s="334">
        <f>SUM(C11:C12)</f>
        <v>198556</v>
      </c>
      <c r="D10" s="334">
        <f t="shared" si="4"/>
        <v>248021</v>
      </c>
      <c r="E10" s="334">
        <f t="shared" si="4"/>
        <v>21030</v>
      </c>
      <c r="F10" s="334">
        <f>SUM(F11:F12)</f>
        <v>29909</v>
      </c>
      <c r="G10" s="334">
        <f t="shared" si="4"/>
        <v>37030</v>
      </c>
      <c r="H10" s="334">
        <f t="shared" si="4"/>
        <v>111933</v>
      </c>
      <c r="I10" s="334">
        <f>SUM(I11:I12)</f>
        <v>120303</v>
      </c>
      <c r="J10" s="334">
        <f t="shared" si="4"/>
        <v>118430</v>
      </c>
      <c r="K10" s="334">
        <f t="shared" si="4"/>
        <v>0</v>
      </c>
      <c r="L10" s="334">
        <f>SUM(L11:L12)</f>
        <v>3122</v>
      </c>
      <c r="M10" s="334">
        <f t="shared" si="4"/>
        <v>10439</v>
      </c>
      <c r="N10" s="335">
        <f t="shared" si="1"/>
        <v>276411</v>
      </c>
      <c r="O10" s="357">
        <f t="shared" si="2"/>
        <v>351890</v>
      </c>
      <c r="P10" s="639">
        <f t="shared" si="3"/>
        <v>413920</v>
      </c>
    </row>
    <row r="11" spans="1:16" ht="18" customHeight="1">
      <c r="A11" s="339" t="s">
        <v>87</v>
      </c>
      <c r="B11" s="337"/>
      <c r="C11" s="337"/>
      <c r="D11" s="337"/>
      <c r="E11" s="337"/>
      <c r="F11" s="337"/>
      <c r="G11" s="337"/>
      <c r="H11" s="337"/>
      <c r="I11" s="337"/>
      <c r="J11" s="337"/>
      <c r="K11" s="337"/>
      <c r="L11" s="338"/>
      <c r="M11" s="338"/>
      <c r="N11" s="335">
        <f t="shared" si="1"/>
        <v>0</v>
      </c>
      <c r="O11" s="357">
        <f t="shared" si="2"/>
        <v>0</v>
      </c>
      <c r="P11" s="639">
        <f t="shared" si="3"/>
        <v>0</v>
      </c>
    </row>
    <row r="12" spans="1:16" ht="18" customHeight="1">
      <c r="A12" s="339" t="s">
        <v>88</v>
      </c>
      <c r="B12" s="337">
        <v>143448</v>
      </c>
      <c r="C12" s="337">
        <v>198556</v>
      </c>
      <c r="D12" s="337">
        <v>248021</v>
      </c>
      <c r="E12" s="337">
        <v>21030</v>
      </c>
      <c r="F12" s="337">
        <v>29909</v>
      </c>
      <c r="G12" s="337">
        <v>37030</v>
      </c>
      <c r="H12" s="337">
        <v>111933</v>
      </c>
      <c r="I12" s="337">
        <v>120303</v>
      </c>
      <c r="J12" s="337">
        <v>118430</v>
      </c>
      <c r="K12" s="337"/>
      <c r="L12" s="338">
        <v>3122</v>
      </c>
      <c r="M12" s="338">
        <v>10439</v>
      </c>
      <c r="N12" s="335">
        <f t="shared" si="1"/>
        <v>276411</v>
      </c>
      <c r="O12" s="357">
        <f t="shared" si="2"/>
        <v>351890</v>
      </c>
      <c r="P12" s="639">
        <f t="shared" si="3"/>
        <v>413920</v>
      </c>
    </row>
    <row r="13" spans="1:16" s="342" customFormat="1" ht="18" customHeight="1">
      <c r="A13" s="344" t="s">
        <v>89</v>
      </c>
      <c r="B13" s="334">
        <f>SUM(B14:B17)</f>
        <v>2314562</v>
      </c>
      <c r="C13" s="334">
        <f>SUM(C14:C17)</f>
        <v>2311433</v>
      </c>
      <c r="D13" s="334">
        <f>SUM(D14:D17)</f>
        <v>2080425</v>
      </c>
      <c r="E13" s="334">
        <f aca="true" t="shared" si="5" ref="E13:M13">SUM(E15:E17)</f>
        <v>0</v>
      </c>
      <c r="F13" s="334">
        <f>SUM(F15:F17)</f>
        <v>0</v>
      </c>
      <c r="G13" s="334">
        <f t="shared" si="5"/>
        <v>0</v>
      </c>
      <c r="H13" s="334">
        <f t="shared" si="5"/>
        <v>900</v>
      </c>
      <c r="I13" s="334">
        <f>SUM(I15:I17)</f>
        <v>900</v>
      </c>
      <c r="J13" s="334">
        <f t="shared" si="5"/>
        <v>6900</v>
      </c>
      <c r="K13" s="334">
        <f t="shared" si="5"/>
        <v>0</v>
      </c>
      <c r="L13" s="334">
        <f>SUM(L15:L17)</f>
        <v>0</v>
      </c>
      <c r="M13" s="334">
        <f t="shared" si="5"/>
        <v>0</v>
      </c>
      <c r="N13" s="335">
        <f t="shared" si="1"/>
        <v>2315462</v>
      </c>
      <c r="O13" s="357">
        <f t="shared" si="2"/>
        <v>2312333</v>
      </c>
      <c r="P13" s="639">
        <f t="shared" si="3"/>
        <v>2087325</v>
      </c>
    </row>
    <row r="14" spans="1:16" s="342" customFormat="1" ht="18" customHeight="1">
      <c r="A14" s="339" t="s">
        <v>785</v>
      </c>
      <c r="B14" s="334"/>
      <c r="C14" s="337">
        <v>49795</v>
      </c>
      <c r="D14" s="337">
        <v>56077</v>
      </c>
      <c r="E14" s="334"/>
      <c r="F14" s="334"/>
      <c r="G14" s="334"/>
      <c r="H14" s="334"/>
      <c r="I14" s="334"/>
      <c r="J14" s="334"/>
      <c r="K14" s="334"/>
      <c r="L14" s="335"/>
      <c r="M14" s="335"/>
      <c r="N14" s="335">
        <f t="shared" si="1"/>
        <v>0</v>
      </c>
      <c r="O14" s="357">
        <f t="shared" si="2"/>
        <v>49795</v>
      </c>
      <c r="P14" s="639">
        <f t="shared" si="3"/>
        <v>56077</v>
      </c>
    </row>
    <row r="15" spans="1:16" ht="18" customHeight="1">
      <c r="A15" s="339" t="s">
        <v>87</v>
      </c>
      <c r="B15" s="337"/>
      <c r="C15" s="337"/>
      <c r="D15" s="337"/>
      <c r="E15" s="337"/>
      <c r="F15" s="337"/>
      <c r="G15" s="337"/>
      <c r="H15" s="337"/>
      <c r="I15" s="337"/>
      <c r="J15" s="337"/>
      <c r="K15" s="337"/>
      <c r="L15" s="338"/>
      <c r="M15" s="338"/>
      <c r="N15" s="335">
        <f t="shared" si="1"/>
        <v>0</v>
      </c>
      <c r="O15" s="357">
        <f t="shared" si="2"/>
        <v>0</v>
      </c>
      <c r="P15" s="639">
        <f t="shared" si="3"/>
        <v>0</v>
      </c>
    </row>
    <row r="16" spans="1:16" s="347" customFormat="1" ht="18" customHeight="1">
      <c r="A16" s="339" t="s">
        <v>88</v>
      </c>
      <c r="B16" s="337">
        <v>1690328</v>
      </c>
      <c r="C16" s="337">
        <v>1637404</v>
      </c>
      <c r="D16" s="337">
        <v>2024348</v>
      </c>
      <c r="E16" s="345"/>
      <c r="F16" s="345"/>
      <c r="G16" s="345"/>
      <c r="H16" s="337">
        <v>900</v>
      </c>
      <c r="I16" s="337">
        <v>900</v>
      </c>
      <c r="J16" s="337">
        <v>6900</v>
      </c>
      <c r="K16" s="345"/>
      <c r="L16" s="346"/>
      <c r="M16" s="346"/>
      <c r="N16" s="335">
        <f t="shared" si="1"/>
        <v>1691228</v>
      </c>
      <c r="O16" s="357">
        <f t="shared" si="2"/>
        <v>1638304</v>
      </c>
      <c r="P16" s="639">
        <f t="shared" si="3"/>
        <v>2031248</v>
      </c>
    </row>
    <row r="17" spans="1:16" s="347" customFormat="1" ht="18" customHeight="1">
      <c r="A17" s="339" t="s">
        <v>1</v>
      </c>
      <c r="B17" s="337">
        <v>624234</v>
      </c>
      <c r="C17" s="337">
        <v>624234</v>
      </c>
      <c r="D17" s="337">
        <v>0</v>
      </c>
      <c r="E17" s="345"/>
      <c r="F17" s="345"/>
      <c r="G17" s="345"/>
      <c r="H17" s="345"/>
      <c r="I17" s="345"/>
      <c r="J17" s="345"/>
      <c r="K17" s="345"/>
      <c r="L17" s="346"/>
      <c r="M17" s="346"/>
      <c r="N17" s="335">
        <f t="shared" si="1"/>
        <v>624234</v>
      </c>
      <c r="O17" s="357">
        <f t="shared" si="2"/>
        <v>624234</v>
      </c>
      <c r="P17" s="639">
        <f t="shared" si="3"/>
        <v>0</v>
      </c>
    </row>
    <row r="18" spans="1:16" s="342" customFormat="1" ht="18" customHeight="1">
      <c r="A18" s="344" t="s">
        <v>90</v>
      </c>
      <c r="B18" s="334">
        <f aca="true" t="shared" si="6" ref="B18:M18">SUM(B19,B23,B28,B29)</f>
        <v>1794800</v>
      </c>
      <c r="C18" s="334">
        <f t="shared" si="6"/>
        <v>1794800</v>
      </c>
      <c r="D18" s="334">
        <f t="shared" si="6"/>
        <v>1831300</v>
      </c>
      <c r="E18" s="334">
        <f t="shared" si="6"/>
        <v>1000</v>
      </c>
      <c r="F18" s="334">
        <f t="shared" si="6"/>
        <v>1000</v>
      </c>
      <c r="G18" s="334">
        <f t="shared" si="6"/>
        <v>35</v>
      </c>
      <c r="H18" s="334">
        <f t="shared" si="6"/>
        <v>0</v>
      </c>
      <c r="I18" s="334">
        <f t="shared" si="6"/>
        <v>0</v>
      </c>
      <c r="J18" s="334">
        <f t="shared" si="6"/>
        <v>0</v>
      </c>
      <c r="K18" s="334">
        <f t="shared" si="6"/>
        <v>0</v>
      </c>
      <c r="L18" s="334">
        <f t="shared" si="6"/>
        <v>0</v>
      </c>
      <c r="M18" s="334">
        <f t="shared" si="6"/>
        <v>0</v>
      </c>
      <c r="N18" s="335">
        <f t="shared" si="1"/>
        <v>1795800</v>
      </c>
      <c r="O18" s="357">
        <f t="shared" si="2"/>
        <v>1795800</v>
      </c>
      <c r="P18" s="639">
        <f t="shared" si="3"/>
        <v>1831335</v>
      </c>
    </row>
    <row r="19" spans="1:16" s="347" customFormat="1" ht="18" customHeight="1">
      <c r="A19" s="339" t="s">
        <v>91</v>
      </c>
      <c r="B19" s="337">
        <f>SUM(B20:B22)</f>
        <v>446000</v>
      </c>
      <c r="C19" s="337">
        <f aca="true" t="shared" si="7" ref="C19:M19">SUM(C20:C22)</f>
        <v>446000</v>
      </c>
      <c r="D19" s="337">
        <f t="shared" si="7"/>
        <v>444000</v>
      </c>
      <c r="E19" s="337">
        <f t="shared" si="7"/>
        <v>0</v>
      </c>
      <c r="F19" s="337">
        <f t="shared" si="7"/>
        <v>0</v>
      </c>
      <c r="G19" s="337">
        <f t="shared" si="7"/>
        <v>0</v>
      </c>
      <c r="H19" s="337">
        <f t="shared" si="7"/>
        <v>0</v>
      </c>
      <c r="I19" s="337">
        <f t="shared" si="7"/>
        <v>0</v>
      </c>
      <c r="J19" s="337">
        <f t="shared" si="7"/>
        <v>0</v>
      </c>
      <c r="K19" s="337">
        <f t="shared" si="7"/>
        <v>0</v>
      </c>
      <c r="L19" s="337">
        <f t="shared" si="7"/>
        <v>0</v>
      </c>
      <c r="M19" s="337">
        <f t="shared" si="7"/>
        <v>0</v>
      </c>
      <c r="N19" s="335">
        <f t="shared" si="1"/>
        <v>446000</v>
      </c>
      <c r="O19" s="357">
        <f t="shared" si="2"/>
        <v>446000</v>
      </c>
      <c r="P19" s="639">
        <f t="shared" si="3"/>
        <v>444000</v>
      </c>
    </row>
    <row r="20" spans="1:16" s="347" customFormat="1" ht="18" customHeight="1">
      <c r="A20" s="348" t="s">
        <v>92</v>
      </c>
      <c r="B20" s="349">
        <v>320000</v>
      </c>
      <c r="C20" s="349">
        <v>320000</v>
      </c>
      <c r="D20" s="349">
        <v>320000</v>
      </c>
      <c r="E20" s="349"/>
      <c r="F20" s="349"/>
      <c r="G20" s="349"/>
      <c r="H20" s="349"/>
      <c r="I20" s="349"/>
      <c r="J20" s="349"/>
      <c r="K20" s="349"/>
      <c r="L20" s="350"/>
      <c r="M20" s="350"/>
      <c r="N20" s="335">
        <f t="shared" si="1"/>
        <v>320000</v>
      </c>
      <c r="O20" s="357">
        <f t="shared" si="2"/>
        <v>320000</v>
      </c>
      <c r="P20" s="639">
        <f t="shared" si="3"/>
        <v>320000</v>
      </c>
    </row>
    <row r="21" spans="1:16" s="347" customFormat="1" ht="18" customHeight="1">
      <c r="A21" s="351" t="s">
        <v>93</v>
      </c>
      <c r="B21" s="345">
        <v>100000</v>
      </c>
      <c r="C21" s="345">
        <v>100000</v>
      </c>
      <c r="D21" s="345">
        <v>124000</v>
      </c>
      <c r="E21" s="345"/>
      <c r="F21" s="345"/>
      <c r="G21" s="345"/>
      <c r="H21" s="345"/>
      <c r="I21" s="345"/>
      <c r="J21" s="345"/>
      <c r="K21" s="345"/>
      <c r="L21" s="346"/>
      <c r="M21" s="346"/>
      <c r="N21" s="335">
        <f t="shared" si="1"/>
        <v>100000</v>
      </c>
      <c r="O21" s="357">
        <f t="shared" si="2"/>
        <v>100000</v>
      </c>
      <c r="P21" s="639">
        <f t="shared" si="3"/>
        <v>124000</v>
      </c>
    </row>
    <row r="22" spans="1:16" s="347" customFormat="1" ht="18" customHeight="1">
      <c r="A22" s="348" t="s">
        <v>94</v>
      </c>
      <c r="B22" s="349">
        <v>26000</v>
      </c>
      <c r="C22" s="349">
        <v>26000</v>
      </c>
      <c r="D22" s="349">
        <v>0</v>
      </c>
      <c r="E22" s="349"/>
      <c r="F22" s="349"/>
      <c r="G22" s="349"/>
      <c r="H22" s="349"/>
      <c r="I22" s="349"/>
      <c r="J22" s="349"/>
      <c r="K22" s="349"/>
      <c r="L22" s="350"/>
      <c r="M22" s="350"/>
      <c r="N22" s="335">
        <f t="shared" si="1"/>
        <v>26000</v>
      </c>
      <c r="O22" s="357">
        <f t="shared" si="2"/>
        <v>26000</v>
      </c>
      <c r="P22" s="639">
        <f t="shared" si="3"/>
        <v>0</v>
      </c>
    </row>
    <row r="23" spans="1:16" s="347" customFormat="1" ht="18" customHeight="1">
      <c r="A23" s="339" t="s">
        <v>95</v>
      </c>
      <c r="B23" s="352">
        <f>SUM(B24:B27)</f>
        <v>1338000</v>
      </c>
      <c r="C23" s="352">
        <f aca="true" t="shared" si="8" ref="C23:M23">SUM(C24:C27)</f>
        <v>1338000</v>
      </c>
      <c r="D23" s="352">
        <f t="shared" si="8"/>
        <v>1369000</v>
      </c>
      <c r="E23" s="352">
        <f t="shared" si="8"/>
        <v>0</v>
      </c>
      <c r="F23" s="352">
        <f t="shared" si="8"/>
        <v>0</v>
      </c>
      <c r="G23" s="352">
        <f t="shared" si="8"/>
        <v>0</v>
      </c>
      <c r="H23" s="352">
        <f t="shared" si="8"/>
        <v>0</v>
      </c>
      <c r="I23" s="352">
        <f t="shared" si="8"/>
        <v>0</v>
      </c>
      <c r="J23" s="352">
        <f t="shared" si="8"/>
        <v>0</v>
      </c>
      <c r="K23" s="352">
        <f t="shared" si="8"/>
        <v>0</v>
      </c>
      <c r="L23" s="352">
        <f t="shared" si="8"/>
        <v>0</v>
      </c>
      <c r="M23" s="352">
        <f t="shared" si="8"/>
        <v>0</v>
      </c>
      <c r="N23" s="335">
        <f t="shared" si="1"/>
        <v>1338000</v>
      </c>
      <c r="O23" s="357">
        <f t="shared" si="2"/>
        <v>1338000</v>
      </c>
      <c r="P23" s="639">
        <f t="shared" si="3"/>
        <v>1369000</v>
      </c>
    </row>
    <row r="24" spans="1:16" s="347" customFormat="1" ht="18" customHeight="1">
      <c r="A24" s="348" t="s">
        <v>96</v>
      </c>
      <c r="B24" s="349">
        <v>1225000</v>
      </c>
      <c r="C24" s="349">
        <v>1225000</v>
      </c>
      <c r="D24" s="349">
        <v>1225000</v>
      </c>
      <c r="E24" s="349"/>
      <c r="F24" s="349"/>
      <c r="G24" s="349"/>
      <c r="H24" s="349"/>
      <c r="I24" s="349"/>
      <c r="J24" s="349"/>
      <c r="K24" s="349"/>
      <c r="L24" s="350"/>
      <c r="M24" s="350"/>
      <c r="N24" s="335">
        <f t="shared" si="1"/>
        <v>1225000</v>
      </c>
      <c r="O24" s="357">
        <f t="shared" si="2"/>
        <v>1225000</v>
      </c>
      <c r="P24" s="639">
        <f t="shared" si="3"/>
        <v>1225000</v>
      </c>
    </row>
    <row r="25" spans="1:16" s="347" customFormat="1" ht="18" customHeight="1">
      <c r="A25" s="348" t="s">
        <v>97</v>
      </c>
      <c r="B25" s="349">
        <v>110000</v>
      </c>
      <c r="C25" s="349">
        <v>110000</v>
      </c>
      <c r="D25" s="349">
        <v>110000</v>
      </c>
      <c r="E25" s="349"/>
      <c r="F25" s="349"/>
      <c r="G25" s="349"/>
      <c r="H25" s="349"/>
      <c r="I25" s="349"/>
      <c r="J25" s="349"/>
      <c r="K25" s="349"/>
      <c r="L25" s="350"/>
      <c r="M25" s="350"/>
      <c r="N25" s="335">
        <f t="shared" si="1"/>
        <v>110000</v>
      </c>
      <c r="O25" s="357">
        <f t="shared" si="2"/>
        <v>110000</v>
      </c>
      <c r="P25" s="639">
        <f t="shared" si="3"/>
        <v>110000</v>
      </c>
    </row>
    <row r="26" spans="1:16" s="347" customFormat="1" ht="18" customHeight="1">
      <c r="A26" s="348" t="s">
        <v>98</v>
      </c>
      <c r="B26" s="349">
        <v>3000</v>
      </c>
      <c r="C26" s="349">
        <v>3000</v>
      </c>
      <c r="D26" s="349">
        <v>3000</v>
      </c>
      <c r="E26" s="349"/>
      <c r="F26" s="349"/>
      <c r="G26" s="349"/>
      <c r="H26" s="349"/>
      <c r="I26" s="349"/>
      <c r="J26" s="349"/>
      <c r="K26" s="349"/>
      <c r="L26" s="350"/>
      <c r="M26" s="350"/>
      <c r="N26" s="335">
        <f t="shared" si="1"/>
        <v>3000</v>
      </c>
      <c r="O26" s="357">
        <f t="shared" si="2"/>
        <v>3000</v>
      </c>
      <c r="P26" s="639">
        <f t="shared" si="3"/>
        <v>3000</v>
      </c>
    </row>
    <row r="27" spans="1:16" s="347" customFormat="1" ht="18" customHeight="1">
      <c r="A27" s="348" t="s">
        <v>94</v>
      </c>
      <c r="B27" s="349"/>
      <c r="C27" s="349"/>
      <c r="D27" s="349">
        <v>31000</v>
      </c>
      <c r="E27" s="349"/>
      <c r="F27" s="349"/>
      <c r="G27" s="349"/>
      <c r="H27" s="349"/>
      <c r="I27" s="349"/>
      <c r="J27" s="349"/>
      <c r="K27" s="349"/>
      <c r="L27" s="350"/>
      <c r="M27" s="350"/>
      <c r="N27" s="335">
        <f t="shared" si="1"/>
        <v>0</v>
      </c>
      <c r="O27" s="357">
        <f t="shared" si="2"/>
        <v>0</v>
      </c>
      <c r="P27" s="639">
        <f t="shared" si="3"/>
        <v>31000</v>
      </c>
    </row>
    <row r="28" spans="1:16" ht="18" customHeight="1">
      <c r="A28" s="339" t="s">
        <v>99</v>
      </c>
      <c r="B28" s="352">
        <v>300</v>
      </c>
      <c r="C28" s="352">
        <v>300</v>
      </c>
      <c r="D28" s="352">
        <v>300</v>
      </c>
      <c r="E28" s="352">
        <v>1000</v>
      </c>
      <c r="F28" s="352">
        <v>1000</v>
      </c>
      <c r="G28" s="352">
        <v>35</v>
      </c>
      <c r="H28" s="352"/>
      <c r="I28" s="352"/>
      <c r="J28" s="352"/>
      <c r="K28" s="352"/>
      <c r="L28" s="353"/>
      <c r="M28" s="353"/>
      <c r="N28" s="335">
        <f t="shared" si="1"/>
        <v>1300</v>
      </c>
      <c r="O28" s="357">
        <f t="shared" si="2"/>
        <v>1300</v>
      </c>
      <c r="P28" s="639">
        <f t="shared" si="3"/>
        <v>335</v>
      </c>
    </row>
    <row r="29" spans="1:16" s="347" customFormat="1" ht="18" customHeight="1">
      <c r="A29" s="354" t="s">
        <v>100</v>
      </c>
      <c r="B29" s="352">
        <v>10500</v>
      </c>
      <c r="C29" s="352">
        <v>10500</v>
      </c>
      <c r="D29" s="352">
        <v>18000</v>
      </c>
      <c r="E29" s="352"/>
      <c r="F29" s="352"/>
      <c r="G29" s="352"/>
      <c r="H29" s="352"/>
      <c r="I29" s="352"/>
      <c r="J29" s="352"/>
      <c r="K29" s="352"/>
      <c r="L29" s="353"/>
      <c r="M29" s="353"/>
      <c r="N29" s="335">
        <f t="shared" si="1"/>
        <v>10500</v>
      </c>
      <c r="O29" s="357">
        <f t="shared" si="2"/>
        <v>10500</v>
      </c>
      <c r="P29" s="639">
        <f t="shared" si="3"/>
        <v>18000</v>
      </c>
    </row>
    <row r="30" spans="1:16" s="347" customFormat="1" ht="18" customHeight="1">
      <c r="A30" s="343" t="s">
        <v>101</v>
      </c>
      <c r="B30" s="355">
        <f>SUM(B31+B32+B34+B35+B37+B38+B39+B40)</f>
        <v>1069106</v>
      </c>
      <c r="C30" s="355">
        <f>SUM(C31+C32+C34+C35+C37+C38+C39+C40)</f>
        <v>1011406</v>
      </c>
      <c r="D30" s="355">
        <f>SUM(D31+D32+D34+D35+D37+D38+D39+D40)</f>
        <v>1009730</v>
      </c>
      <c r="E30" s="355">
        <f aca="true" t="shared" si="9" ref="E30:M30">SUM(E31+E32+E35+E37+E38+E39+E40)</f>
        <v>6310</v>
      </c>
      <c r="F30" s="355">
        <f t="shared" si="9"/>
        <v>7263</v>
      </c>
      <c r="G30" s="355">
        <f t="shared" si="9"/>
        <v>10304</v>
      </c>
      <c r="H30" s="355">
        <f t="shared" si="9"/>
        <v>164817</v>
      </c>
      <c r="I30" s="355">
        <f t="shared" si="9"/>
        <v>210132</v>
      </c>
      <c r="J30" s="355">
        <f t="shared" si="9"/>
        <v>211900</v>
      </c>
      <c r="K30" s="355">
        <f t="shared" si="9"/>
        <v>42857</v>
      </c>
      <c r="L30" s="355">
        <f t="shared" si="9"/>
        <v>42857</v>
      </c>
      <c r="M30" s="355">
        <f t="shared" si="9"/>
        <v>43379</v>
      </c>
      <c r="N30" s="335">
        <f t="shared" si="1"/>
        <v>1283090</v>
      </c>
      <c r="O30" s="357">
        <f t="shared" si="2"/>
        <v>1271658</v>
      </c>
      <c r="P30" s="639">
        <f t="shared" si="3"/>
        <v>1275313</v>
      </c>
    </row>
    <row r="31" spans="1:16" ht="18" customHeight="1">
      <c r="A31" s="339" t="s">
        <v>344</v>
      </c>
      <c r="B31" s="352">
        <f>579136+42372</f>
        <v>621508</v>
      </c>
      <c r="C31" s="352">
        <v>562508</v>
      </c>
      <c r="D31" s="352">
        <v>555707</v>
      </c>
      <c r="E31" s="352"/>
      <c r="F31" s="352"/>
      <c r="G31" s="352"/>
      <c r="H31" s="352"/>
      <c r="I31" s="352"/>
      <c r="J31" s="352"/>
      <c r="K31" s="352">
        <v>33746</v>
      </c>
      <c r="L31" s="353">
        <v>1760</v>
      </c>
      <c r="M31" s="353">
        <v>2060</v>
      </c>
      <c r="N31" s="335">
        <f t="shared" si="1"/>
        <v>655254</v>
      </c>
      <c r="O31" s="357">
        <f t="shared" si="2"/>
        <v>564268</v>
      </c>
      <c r="P31" s="639">
        <f t="shared" si="3"/>
        <v>557767</v>
      </c>
    </row>
    <row r="32" spans="1:16" ht="18" customHeight="1">
      <c r="A32" s="339" t="s">
        <v>102</v>
      </c>
      <c r="B32" s="352">
        <v>214770</v>
      </c>
      <c r="C32" s="352">
        <v>129838</v>
      </c>
      <c r="D32" s="352">
        <v>82749</v>
      </c>
      <c r="E32" s="352">
        <v>6310</v>
      </c>
      <c r="F32" s="352">
        <v>7263</v>
      </c>
      <c r="G32" s="352">
        <v>10304</v>
      </c>
      <c r="H32" s="352">
        <v>42953</v>
      </c>
      <c r="I32" s="352">
        <v>55920</v>
      </c>
      <c r="J32" s="352">
        <v>54045</v>
      </c>
      <c r="K32" s="352"/>
      <c r="L32" s="353">
        <v>31938</v>
      </c>
      <c r="M32" s="353">
        <v>31938</v>
      </c>
      <c r="N32" s="335">
        <f t="shared" si="1"/>
        <v>264033</v>
      </c>
      <c r="O32" s="357">
        <f t="shared" si="2"/>
        <v>224959</v>
      </c>
      <c r="P32" s="639">
        <f t="shared" si="3"/>
        <v>179036</v>
      </c>
    </row>
    <row r="33" spans="1:16" ht="18" customHeight="1">
      <c r="A33" s="339" t="s">
        <v>103</v>
      </c>
      <c r="B33" s="352">
        <v>46000</v>
      </c>
      <c r="C33" s="352">
        <v>0</v>
      </c>
      <c r="D33" s="352">
        <v>0</v>
      </c>
      <c r="E33" s="352"/>
      <c r="F33" s="352"/>
      <c r="G33" s="352"/>
      <c r="H33" s="352"/>
      <c r="I33" s="352"/>
      <c r="J33" s="352"/>
      <c r="K33" s="352"/>
      <c r="L33" s="353"/>
      <c r="M33" s="353"/>
      <c r="N33" s="335">
        <f t="shared" si="1"/>
        <v>46000</v>
      </c>
      <c r="O33" s="357">
        <f t="shared" si="2"/>
        <v>0</v>
      </c>
      <c r="P33" s="639">
        <f t="shared" si="3"/>
        <v>0</v>
      </c>
    </row>
    <row r="34" spans="1:16" ht="18" customHeight="1">
      <c r="A34" s="339" t="s">
        <v>1024</v>
      </c>
      <c r="B34" s="352"/>
      <c r="C34" s="352"/>
      <c r="D34" s="352">
        <v>29920</v>
      </c>
      <c r="E34" s="352"/>
      <c r="F34" s="352"/>
      <c r="G34" s="352"/>
      <c r="H34" s="352"/>
      <c r="I34" s="352"/>
      <c r="J34" s="352"/>
      <c r="K34" s="352"/>
      <c r="L34" s="353"/>
      <c r="M34" s="353"/>
      <c r="N34" s="335">
        <f t="shared" si="1"/>
        <v>0</v>
      </c>
      <c r="O34" s="357">
        <f t="shared" si="2"/>
        <v>0</v>
      </c>
      <c r="P34" s="639">
        <f t="shared" si="3"/>
        <v>29920</v>
      </c>
    </row>
    <row r="35" spans="1:16" ht="18" customHeight="1">
      <c r="A35" s="339" t="s">
        <v>227</v>
      </c>
      <c r="B35" s="352">
        <v>18215</v>
      </c>
      <c r="C35" s="352">
        <v>104447</v>
      </c>
      <c r="D35" s="352">
        <v>115738</v>
      </c>
      <c r="E35" s="352"/>
      <c r="F35" s="352"/>
      <c r="G35" s="352"/>
      <c r="H35" s="352"/>
      <c r="I35" s="352"/>
      <c r="J35" s="352"/>
      <c r="K35" s="352"/>
      <c r="L35" s="353"/>
      <c r="M35" s="353"/>
      <c r="N35" s="335">
        <f t="shared" si="1"/>
        <v>18215</v>
      </c>
      <c r="O35" s="357">
        <f t="shared" si="2"/>
        <v>104447</v>
      </c>
      <c r="P35" s="639">
        <f t="shared" si="3"/>
        <v>115738</v>
      </c>
    </row>
    <row r="36" spans="1:16" ht="18" customHeight="1">
      <c r="A36" s="339" t="s">
        <v>103</v>
      </c>
      <c r="B36" s="352"/>
      <c r="C36" s="352">
        <v>46000</v>
      </c>
      <c r="D36" s="352">
        <v>46000</v>
      </c>
      <c r="E36" s="352"/>
      <c r="F36" s="352"/>
      <c r="G36" s="352"/>
      <c r="H36" s="352"/>
      <c r="I36" s="352"/>
      <c r="J36" s="352"/>
      <c r="K36" s="352"/>
      <c r="L36" s="353"/>
      <c r="M36" s="353"/>
      <c r="N36" s="335">
        <f t="shared" si="1"/>
        <v>0</v>
      </c>
      <c r="O36" s="357">
        <f t="shared" si="2"/>
        <v>46000</v>
      </c>
      <c r="P36" s="639">
        <f t="shared" si="3"/>
        <v>46000</v>
      </c>
    </row>
    <row r="37" spans="1:16" ht="18" customHeight="1">
      <c r="A37" s="339" t="s">
        <v>104</v>
      </c>
      <c r="B37" s="352"/>
      <c r="C37" s="352"/>
      <c r="D37" s="352"/>
      <c r="E37" s="352"/>
      <c r="F37" s="352"/>
      <c r="G37" s="352"/>
      <c r="H37" s="352">
        <v>82011</v>
      </c>
      <c r="I37" s="352">
        <v>82011</v>
      </c>
      <c r="J37" s="352">
        <v>85537</v>
      </c>
      <c r="K37" s="352"/>
      <c r="L37" s="353"/>
      <c r="M37" s="353"/>
      <c r="N37" s="335">
        <f t="shared" si="1"/>
        <v>82011</v>
      </c>
      <c r="O37" s="357">
        <f t="shared" si="2"/>
        <v>82011</v>
      </c>
      <c r="P37" s="639">
        <f t="shared" si="3"/>
        <v>85537</v>
      </c>
    </row>
    <row r="38" spans="1:16" ht="18" customHeight="1">
      <c r="A38" s="356" t="s">
        <v>228</v>
      </c>
      <c r="B38" s="352">
        <v>187372</v>
      </c>
      <c r="C38" s="352">
        <v>187372</v>
      </c>
      <c r="D38" s="352">
        <v>185793</v>
      </c>
      <c r="E38" s="352"/>
      <c r="F38" s="352"/>
      <c r="G38" s="352"/>
      <c r="H38" s="352">
        <v>39853</v>
      </c>
      <c r="I38" s="352">
        <v>72201</v>
      </c>
      <c r="J38" s="352">
        <v>72318</v>
      </c>
      <c r="K38" s="352">
        <v>9111</v>
      </c>
      <c r="L38" s="353">
        <v>9111</v>
      </c>
      <c r="M38" s="353">
        <v>9111</v>
      </c>
      <c r="N38" s="335">
        <f t="shared" si="1"/>
        <v>236336</v>
      </c>
      <c r="O38" s="357">
        <f t="shared" si="2"/>
        <v>268684</v>
      </c>
      <c r="P38" s="639">
        <f t="shared" si="3"/>
        <v>267222</v>
      </c>
    </row>
    <row r="39" spans="1:16" ht="18" customHeight="1">
      <c r="A39" s="339" t="s">
        <v>105</v>
      </c>
      <c r="B39" s="352">
        <v>5000</v>
      </c>
      <c r="C39" s="352">
        <v>5000</v>
      </c>
      <c r="D39" s="352">
        <v>5000</v>
      </c>
      <c r="E39" s="352"/>
      <c r="F39" s="352"/>
      <c r="G39" s="352"/>
      <c r="H39" s="352"/>
      <c r="I39" s="352"/>
      <c r="J39" s="352"/>
      <c r="K39" s="352"/>
      <c r="L39" s="353">
        <v>48</v>
      </c>
      <c r="M39" s="353">
        <v>270</v>
      </c>
      <c r="N39" s="335">
        <f t="shared" si="1"/>
        <v>5000</v>
      </c>
      <c r="O39" s="357">
        <f t="shared" si="2"/>
        <v>5048</v>
      </c>
      <c r="P39" s="639">
        <f t="shared" si="3"/>
        <v>5270</v>
      </c>
    </row>
    <row r="40" spans="1:16" ht="18" customHeight="1">
      <c r="A40" s="339" t="s">
        <v>196</v>
      </c>
      <c r="B40" s="352">
        <v>22241</v>
      </c>
      <c r="C40" s="352">
        <v>22241</v>
      </c>
      <c r="D40" s="352">
        <v>34823</v>
      </c>
      <c r="E40" s="352"/>
      <c r="F40" s="352"/>
      <c r="G40" s="352"/>
      <c r="H40" s="352"/>
      <c r="I40" s="352"/>
      <c r="J40" s="352"/>
      <c r="K40" s="352"/>
      <c r="L40" s="353"/>
      <c r="M40" s="353"/>
      <c r="N40" s="335">
        <f t="shared" si="1"/>
        <v>22241</v>
      </c>
      <c r="O40" s="357">
        <f t="shared" si="2"/>
        <v>22241</v>
      </c>
      <c r="P40" s="639">
        <f t="shared" si="3"/>
        <v>34823</v>
      </c>
    </row>
    <row r="41" spans="1:16" s="332" customFormat="1" ht="18" customHeight="1">
      <c r="A41" s="344" t="s">
        <v>106</v>
      </c>
      <c r="B41" s="355">
        <f>SUM(B42:B43)</f>
        <v>7494</v>
      </c>
      <c r="C41" s="355">
        <f>SUM(C42:C43)</f>
        <v>67494</v>
      </c>
      <c r="D41" s="355">
        <f aca="true" t="shared" si="10" ref="D41:M41">SUM(D42:D43)</f>
        <v>74458</v>
      </c>
      <c r="E41" s="355">
        <f t="shared" si="10"/>
        <v>0</v>
      </c>
      <c r="F41" s="355">
        <f>SUM(F42:F43)</f>
        <v>0</v>
      </c>
      <c r="G41" s="355">
        <f t="shared" si="10"/>
        <v>0</v>
      </c>
      <c r="H41" s="355">
        <f t="shared" si="10"/>
        <v>0</v>
      </c>
      <c r="I41" s="355">
        <f>SUM(I42:I43)</f>
        <v>0</v>
      </c>
      <c r="J41" s="355">
        <f t="shared" si="10"/>
        <v>0</v>
      </c>
      <c r="K41" s="355">
        <f t="shared" si="10"/>
        <v>0</v>
      </c>
      <c r="L41" s="355">
        <f>SUM(L42:L43)</f>
        <v>0</v>
      </c>
      <c r="M41" s="355">
        <f t="shared" si="10"/>
        <v>0</v>
      </c>
      <c r="N41" s="335">
        <f t="shared" si="1"/>
        <v>7494</v>
      </c>
      <c r="O41" s="357">
        <f t="shared" si="2"/>
        <v>67494</v>
      </c>
      <c r="P41" s="639">
        <f t="shared" si="3"/>
        <v>74458</v>
      </c>
    </row>
    <row r="42" spans="1:16" ht="18" customHeight="1">
      <c r="A42" s="339" t="s">
        <v>197</v>
      </c>
      <c r="B42" s="352">
        <v>7494</v>
      </c>
      <c r="C42" s="352">
        <v>67494</v>
      </c>
      <c r="D42" s="352">
        <v>74395</v>
      </c>
      <c r="E42" s="352"/>
      <c r="F42" s="352"/>
      <c r="G42" s="352"/>
      <c r="H42" s="352"/>
      <c r="I42" s="352"/>
      <c r="J42" s="352"/>
      <c r="K42" s="352"/>
      <c r="L42" s="353"/>
      <c r="M42" s="353"/>
      <c r="N42" s="335">
        <f t="shared" si="1"/>
        <v>7494</v>
      </c>
      <c r="O42" s="357">
        <f t="shared" si="2"/>
        <v>67494</v>
      </c>
      <c r="P42" s="639">
        <f t="shared" si="3"/>
        <v>74395</v>
      </c>
    </row>
    <row r="43" spans="1:16" ht="18" customHeight="1">
      <c r="A43" s="339" t="s">
        <v>229</v>
      </c>
      <c r="B43" s="352"/>
      <c r="C43" s="352"/>
      <c r="D43" s="352">
        <v>63</v>
      </c>
      <c r="E43" s="352"/>
      <c r="F43" s="352"/>
      <c r="G43" s="352"/>
      <c r="H43" s="352"/>
      <c r="I43" s="352"/>
      <c r="J43" s="352"/>
      <c r="K43" s="352"/>
      <c r="L43" s="353"/>
      <c r="M43" s="353"/>
      <c r="N43" s="335">
        <f t="shared" si="1"/>
        <v>0</v>
      </c>
      <c r="O43" s="357">
        <f t="shared" si="2"/>
        <v>0</v>
      </c>
      <c r="P43" s="639">
        <f t="shared" si="3"/>
        <v>63</v>
      </c>
    </row>
    <row r="44" spans="1:16" s="332" customFormat="1" ht="18" customHeight="1">
      <c r="A44" s="344" t="s">
        <v>108</v>
      </c>
      <c r="B44" s="355">
        <f>SUM(B45:B47)</f>
        <v>178693</v>
      </c>
      <c r="C44" s="355">
        <f>SUM(C45:C47)</f>
        <v>178632</v>
      </c>
      <c r="D44" s="355">
        <f aca="true" t="shared" si="11" ref="D44:M44">SUM(D45:D47)</f>
        <v>74268</v>
      </c>
      <c r="E44" s="355">
        <f t="shared" si="11"/>
        <v>0</v>
      </c>
      <c r="F44" s="355">
        <f>SUM(F45:F47)</f>
        <v>0</v>
      </c>
      <c r="G44" s="355">
        <f t="shared" si="11"/>
        <v>0</v>
      </c>
      <c r="H44" s="355">
        <f t="shared" si="11"/>
        <v>0</v>
      </c>
      <c r="I44" s="355">
        <f>SUM(I45:I47)</f>
        <v>312</v>
      </c>
      <c r="J44" s="355">
        <f t="shared" si="11"/>
        <v>344</v>
      </c>
      <c r="K44" s="355">
        <f t="shared" si="11"/>
        <v>0</v>
      </c>
      <c r="L44" s="355">
        <f>SUM(L45:L47)</f>
        <v>0</v>
      </c>
      <c r="M44" s="355">
        <f t="shared" si="11"/>
        <v>0</v>
      </c>
      <c r="N44" s="335">
        <f t="shared" si="1"/>
        <v>178693</v>
      </c>
      <c r="O44" s="357">
        <f t="shared" si="2"/>
        <v>178944</v>
      </c>
      <c r="P44" s="639">
        <f t="shared" si="3"/>
        <v>74612</v>
      </c>
    </row>
    <row r="45" spans="1:16" ht="18" customHeight="1">
      <c r="A45" s="356" t="s">
        <v>109</v>
      </c>
      <c r="B45" s="352">
        <v>154763</v>
      </c>
      <c r="C45" s="352">
        <v>154763</v>
      </c>
      <c r="D45" s="352">
        <v>70489</v>
      </c>
      <c r="E45" s="352"/>
      <c r="F45" s="352"/>
      <c r="G45" s="352"/>
      <c r="H45" s="352"/>
      <c r="I45" s="352"/>
      <c r="J45" s="352"/>
      <c r="K45" s="352"/>
      <c r="L45" s="353"/>
      <c r="M45" s="353"/>
      <c r="N45" s="335">
        <f t="shared" si="1"/>
        <v>154763</v>
      </c>
      <c r="O45" s="357">
        <f t="shared" si="2"/>
        <v>154763</v>
      </c>
      <c r="P45" s="639">
        <f t="shared" si="3"/>
        <v>70489</v>
      </c>
    </row>
    <row r="46" spans="1:16" ht="18" customHeight="1">
      <c r="A46" s="356" t="s">
        <v>110</v>
      </c>
      <c r="B46" s="352">
        <v>3840</v>
      </c>
      <c r="C46" s="352">
        <v>3779</v>
      </c>
      <c r="D46" s="352">
        <v>3779</v>
      </c>
      <c r="E46" s="352"/>
      <c r="F46" s="352"/>
      <c r="G46" s="352"/>
      <c r="H46" s="352"/>
      <c r="I46" s="352">
        <v>312</v>
      </c>
      <c r="J46" s="352">
        <v>344</v>
      </c>
      <c r="K46" s="352"/>
      <c r="L46" s="353"/>
      <c r="M46" s="353"/>
      <c r="N46" s="335">
        <f t="shared" si="1"/>
        <v>3840</v>
      </c>
      <c r="O46" s="357">
        <f t="shared" si="2"/>
        <v>4091</v>
      </c>
      <c r="P46" s="639">
        <f t="shared" si="3"/>
        <v>4123</v>
      </c>
    </row>
    <row r="47" spans="1:16" ht="18" customHeight="1">
      <c r="A47" s="356" t="s">
        <v>202</v>
      </c>
      <c r="B47" s="352">
        <v>20090</v>
      </c>
      <c r="C47" s="352">
        <v>20090</v>
      </c>
      <c r="D47" s="352">
        <v>0</v>
      </c>
      <c r="E47" s="352"/>
      <c r="F47" s="352"/>
      <c r="G47" s="352"/>
      <c r="H47" s="352"/>
      <c r="I47" s="352"/>
      <c r="J47" s="352"/>
      <c r="K47" s="352"/>
      <c r="L47" s="353"/>
      <c r="M47" s="353"/>
      <c r="N47" s="335">
        <f t="shared" si="1"/>
        <v>20090</v>
      </c>
      <c r="O47" s="357">
        <f t="shared" si="2"/>
        <v>20090</v>
      </c>
      <c r="P47" s="639">
        <f t="shared" si="3"/>
        <v>0</v>
      </c>
    </row>
    <row r="48" spans="1:16" s="332" customFormat="1" ht="18" customHeight="1">
      <c r="A48" s="358" t="s">
        <v>111</v>
      </c>
      <c r="B48" s="355">
        <f>SUM(B49:B50)</f>
        <v>109123</v>
      </c>
      <c r="C48" s="355">
        <f>SUM(C49:C50)</f>
        <v>116129</v>
      </c>
      <c r="D48" s="355">
        <f>SUM(D49:D50)</f>
        <v>135593</v>
      </c>
      <c r="E48" s="355">
        <f aca="true" t="shared" si="12" ref="E48:M48">SUM(E49:E50)</f>
        <v>1000</v>
      </c>
      <c r="F48" s="355">
        <f t="shared" si="12"/>
        <v>1000</v>
      </c>
      <c r="G48" s="355">
        <f t="shared" si="12"/>
        <v>1000</v>
      </c>
      <c r="H48" s="355">
        <f t="shared" si="12"/>
        <v>0</v>
      </c>
      <c r="I48" s="355">
        <f t="shared" si="12"/>
        <v>0</v>
      </c>
      <c r="J48" s="355">
        <f t="shared" si="12"/>
        <v>0</v>
      </c>
      <c r="K48" s="355">
        <f t="shared" si="12"/>
        <v>0</v>
      </c>
      <c r="L48" s="355">
        <f t="shared" si="12"/>
        <v>0</v>
      </c>
      <c r="M48" s="355">
        <f t="shared" si="12"/>
        <v>0</v>
      </c>
      <c r="N48" s="335">
        <f t="shared" si="1"/>
        <v>110123</v>
      </c>
      <c r="O48" s="357">
        <f t="shared" si="2"/>
        <v>117129</v>
      </c>
      <c r="P48" s="639">
        <f t="shared" si="3"/>
        <v>136593</v>
      </c>
    </row>
    <row r="49" spans="1:16" ht="18" customHeight="1">
      <c r="A49" s="356" t="s">
        <v>112</v>
      </c>
      <c r="B49" s="352">
        <v>108523</v>
      </c>
      <c r="C49" s="352">
        <v>115529</v>
      </c>
      <c r="D49" s="352">
        <v>97633</v>
      </c>
      <c r="E49" s="352">
        <v>1000</v>
      </c>
      <c r="F49" s="352">
        <v>1000</v>
      </c>
      <c r="G49" s="352">
        <v>1000</v>
      </c>
      <c r="H49" s="352"/>
      <c r="I49" s="352"/>
      <c r="J49" s="352"/>
      <c r="K49" s="352"/>
      <c r="L49" s="353"/>
      <c r="M49" s="353"/>
      <c r="N49" s="335">
        <f t="shared" si="1"/>
        <v>109523</v>
      </c>
      <c r="O49" s="357">
        <f t="shared" si="2"/>
        <v>116529</v>
      </c>
      <c r="P49" s="639">
        <f t="shared" si="3"/>
        <v>98633</v>
      </c>
    </row>
    <row r="50" spans="1:16" ht="18" customHeight="1">
      <c r="A50" s="356" t="s">
        <v>113</v>
      </c>
      <c r="B50" s="352">
        <v>600</v>
      </c>
      <c r="C50" s="352">
        <v>600</v>
      </c>
      <c r="D50" s="352">
        <v>37960</v>
      </c>
      <c r="E50" s="352"/>
      <c r="F50" s="352"/>
      <c r="G50" s="352"/>
      <c r="H50" s="352"/>
      <c r="I50" s="352"/>
      <c r="J50" s="352"/>
      <c r="K50" s="352"/>
      <c r="L50" s="353"/>
      <c r="M50" s="353"/>
      <c r="N50" s="335">
        <f t="shared" si="1"/>
        <v>600</v>
      </c>
      <c r="O50" s="357">
        <f t="shared" si="2"/>
        <v>600</v>
      </c>
      <c r="P50" s="639">
        <f t="shared" si="3"/>
        <v>37960</v>
      </c>
    </row>
    <row r="51" spans="1:16" s="342" customFormat="1" ht="18" customHeight="1">
      <c r="A51" s="358" t="s">
        <v>114</v>
      </c>
      <c r="B51" s="355">
        <f>SUM(B6,B10,B13,B18,B30,B41,B44,B48)</f>
        <v>6838615</v>
      </c>
      <c r="C51" s="355">
        <f>SUM(C6,C10,C13,C18,C30,C41,C44,C48)</f>
        <v>6956319</v>
      </c>
      <c r="D51" s="355">
        <f aca="true" t="shared" si="13" ref="D51:M51">SUM(D6,D10,D13,D18,D30,D41,D44,D48)</f>
        <v>6752727</v>
      </c>
      <c r="E51" s="355">
        <f t="shared" si="13"/>
        <v>29340</v>
      </c>
      <c r="F51" s="355">
        <f t="shared" si="13"/>
        <v>39172</v>
      </c>
      <c r="G51" s="355">
        <f t="shared" si="13"/>
        <v>48369</v>
      </c>
      <c r="H51" s="355">
        <f t="shared" si="13"/>
        <v>277650</v>
      </c>
      <c r="I51" s="355">
        <f t="shared" si="13"/>
        <v>331647</v>
      </c>
      <c r="J51" s="355">
        <f t="shared" si="13"/>
        <v>337574</v>
      </c>
      <c r="K51" s="355">
        <f t="shared" si="13"/>
        <v>42857</v>
      </c>
      <c r="L51" s="355">
        <f t="shared" si="13"/>
        <v>45979</v>
      </c>
      <c r="M51" s="355">
        <f t="shared" si="13"/>
        <v>53818</v>
      </c>
      <c r="N51" s="335">
        <f t="shared" si="1"/>
        <v>7188462</v>
      </c>
      <c r="O51" s="357">
        <f t="shared" si="2"/>
        <v>7373117</v>
      </c>
      <c r="P51" s="639">
        <f t="shared" si="3"/>
        <v>7192488</v>
      </c>
    </row>
    <row r="52" spans="1:16" s="342" customFormat="1" ht="18" customHeight="1">
      <c r="A52" s="343" t="s">
        <v>115</v>
      </c>
      <c r="B52" s="355">
        <f aca="true" t="shared" si="14" ref="B52:M52">SUM(B53:B55)</f>
        <v>904031</v>
      </c>
      <c r="C52" s="355">
        <f t="shared" si="14"/>
        <v>900000</v>
      </c>
      <c r="D52" s="355">
        <f t="shared" si="14"/>
        <v>335921</v>
      </c>
      <c r="E52" s="355">
        <f t="shared" si="14"/>
        <v>0</v>
      </c>
      <c r="F52" s="355">
        <f t="shared" si="14"/>
        <v>0</v>
      </c>
      <c r="G52" s="355">
        <f t="shared" si="14"/>
        <v>0</v>
      </c>
      <c r="H52" s="355">
        <f t="shared" si="14"/>
        <v>0</v>
      </c>
      <c r="I52" s="355">
        <f t="shared" si="14"/>
        <v>0</v>
      </c>
      <c r="J52" s="355">
        <f t="shared" si="14"/>
        <v>0</v>
      </c>
      <c r="K52" s="355">
        <f t="shared" si="14"/>
        <v>0</v>
      </c>
      <c r="L52" s="355">
        <f t="shared" si="14"/>
        <v>0</v>
      </c>
      <c r="M52" s="355">
        <f t="shared" si="14"/>
        <v>0</v>
      </c>
      <c r="N52" s="335">
        <f t="shared" si="1"/>
        <v>904031</v>
      </c>
      <c r="O52" s="357">
        <f t="shared" si="2"/>
        <v>900000</v>
      </c>
      <c r="P52" s="639">
        <f t="shared" si="3"/>
        <v>335921</v>
      </c>
    </row>
    <row r="53" spans="1:16" s="347" customFormat="1" ht="18" customHeight="1">
      <c r="A53" s="354" t="s">
        <v>501</v>
      </c>
      <c r="B53" s="352">
        <v>250000</v>
      </c>
      <c r="C53" s="352">
        <v>250000</v>
      </c>
      <c r="D53" s="352">
        <v>250000</v>
      </c>
      <c r="E53" s="349"/>
      <c r="F53" s="349"/>
      <c r="G53" s="349"/>
      <c r="H53" s="349"/>
      <c r="I53" s="349"/>
      <c r="J53" s="349"/>
      <c r="K53" s="349"/>
      <c r="L53" s="350"/>
      <c r="M53" s="350"/>
      <c r="N53" s="335">
        <f t="shared" si="1"/>
        <v>250000</v>
      </c>
      <c r="O53" s="357">
        <f t="shared" si="2"/>
        <v>250000</v>
      </c>
      <c r="P53" s="639">
        <f t="shared" si="3"/>
        <v>250000</v>
      </c>
    </row>
    <row r="54" spans="1:16" s="347" customFormat="1" ht="18" customHeight="1">
      <c r="A54" s="354" t="s">
        <v>507</v>
      </c>
      <c r="B54" s="352">
        <v>654031</v>
      </c>
      <c r="C54" s="352">
        <v>650000</v>
      </c>
      <c r="D54" s="352">
        <v>0</v>
      </c>
      <c r="E54" s="349"/>
      <c r="F54" s="349"/>
      <c r="G54" s="349"/>
      <c r="H54" s="349"/>
      <c r="I54" s="349"/>
      <c r="J54" s="349"/>
      <c r="K54" s="349"/>
      <c r="L54" s="350"/>
      <c r="M54" s="350"/>
      <c r="N54" s="335">
        <f t="shared" si="1"/>
        <v>654031</v>
      </c>
      <c r="O54" s="357">
        <f t="shared" si="2"/>
        <v>650000</v>
      </c>
      <c r="P54" s="639">
        <f t="shared" si="3"/>
        <v>0</v>
      </c>
    </row>
    <row r="55" spans="1:16" s="347" customFormat="1" ht="18" customHeight="1">
      <c r="A55" s="354" t="s">
        <v>1025</v>
      </c>
      <c r="B55" s="352"/>
      <c r="C55" s="352"/>
      <c r="D55" s="352">
        <v>85921</v>
      </c>
      <c r="E55" s="349"/>
      <c r="F55" s="349"/>
      <c r="G55" s="349"/>
      <c r="H55" s="349"/>
      <c r="I55" s="349"/>
      <c r="J55" s="349"/>
      <c r="K55" s="349"/>
      <c r="L55" s="350"/>
      <c r="M55" s="350"/>
      <c r="N55" s="335">
        <f t="shared" si="1"/>
        <v>0</v>
      </c>
      <c r="O55" s="357">
        <f t="shared" si="2"/>
        <v>0</v>
      </c>
      <c r="P55" s="639">
        <f t="shared" si="3"/>
        <v>85921</v>
      </c>
    </row>
    <row r="56" spans="1:16" s="347" customFormat="1" ht="18" customHeight="1">
      <c r="A56" s="343" t="s">
        <v>1030</v>
      </c>
      <c r="B56" s="355"/>
      <c r="C56" s="355"/>
      <c r="D56" s="355">
        <v>2715000</v>
      </c>
      <c r="E56" s="349"/>
      <c r="F56" s="349"/>
      <c r="G56" s="349"/>
      <c r="H56" s="349"/>
      <c r="I56" s="349"/>
      <c r="J56" s="349"/>
      <c r="K56" s="349"/>
      <c r="L56" s="350"/>
      <c r="M56" s="350"/>
      <c r="N56" s="335">
        <f t="shared" si="1"/>
        <v>0</v>
      </c>
      <c r="O56" s="357">
        <f t="shared" si="2"/>
        <v>0</v>
      </c>
      <c r="P56" s="639">
        <f t="shared" si="3"/>
        <v>2715000</v>
      </c>
    </row>
    <row r="57" spans="1:16" s="342" customFormat="1" ht="18" customHeight="1">
      <c r="A57" s="358" t="s">
        <v>116</v>
      </c>
      <c r="B57" s="355">
        <v>350000</v>
      </c>
      <c r="C57" s="355">
        <v>437067</v>
      </c>
      <c r="D57" s="355">
        <v>437067</v>
      </c>
      <c r="E57" s="359"/>
      <c r="F57" s="355">
        <v>12502</v>
      </c>
      <c r="G57" s="355">
        <v>12502</v>
      </c>
      <c r="H57" s="359"/>
      <c r="I57" s="355">
        <v>44513</v>
      </c>
      <c r="J57" s="355">
        <v>44513</v>
      </c>
      <c r="K57" s="359"/>
      <c r="L57" s="357">
        <v>50174</v>
      </c>
      <c r="M57" s="357">
        <v>50174</v>
      </c>
      <c r="N57" s="335">
        <f t="shared" si="1"/>
        <v>350000</v>
      </c>
      <c r="O57" s="357">
        <f t="shared" si="2"/>
        <v>544256</v>
      </c>
      <c r="P57" s="639">
        <f t="shared" si="3"/>
        <v>544256</v>
      </c>
    </row>
    <row r="58" spans="1:16" s="332" customFormat="1" ht="18" customHeight="1">
      <c r="A58" s="358" t="s">
        <v>117</v>
      </c>
      <c r="B58" s="355"/>
      <c r="C58" s="355"/>
      <c r="D58" s="355"/>
      <c r="E58" s="355">
        <v>703219</v>
      </c>
      <c r="F58" s="355">
        <v>711313</v>
      </c>
      <c r="G58" s="355">
        <v>713549</v>
      </c>
      <c r="H58" s="355">
        <v>789701</v>
      </c>
      <c r="I58" s="355">
        <v>800728</v>
      </c>
      <c r="J58" s="355">
        <v>799277</v>
      </c>
      <c r="K58" s="355">
        <v>144887</v>
      </c>
      <c r="L58" s="357">
        <v>148793</v>
      </c>
      <c r="M58" s="357">
        <v>149201</v>
      </c>
      <c r="N58" s="335">
        <f t="shared" si="1"/>
        <v>1637807</v>
      </c>
      <c r="O58" s="357">
        <f t="shared" si="2"/>
        <v>1660834</v>
      </c>
      <c r="P58" s="639">
        <f t="shared" si="3"/>
        <v>1662027</v>
      </c>
    </row>
    <row r="59" spans="1:16" s="362" customFormat="1" ht="18" customHeight="1">
      <c r="A59" s="360" t="s">
        <v>118</v>
      </c>
      <c r="B59" s="361">
        <f>SUM(B52+B56+B57+B58)</f>
        <v>1254031</v>
      </c>
      <c r="C59" s="361">
        <f aca="true" t="shared" si="15" ref="C59:M59">SUM(C52+C56+C57+C58)</f>
        <v>1337067</v>
      </c>
      <c r="D59" s="361">
        <f t="shared" si="15"/>
        <v>3487988</v>
      </c>
      <c r="E59" s="361">
        <f t="shared" si="15"/>
        <v>703219</v>
      </c>
      <c r="F59" s="361">
        <f t="shared" si="15"/>
        <v>723815</v>
      </c>
      <c r="G59" s="361">
        <f t="shared" si="15"/>
        <v>726051</v>
      </c>
      <c r="H59" s="361">
        <f t="shared" si="15"/>
        <v>789701</v>
      </c>
      <c r="I59" s="361">
        <f t="shared" si="15"/>
        <v>845241</v>
      </c>
      <c r="J59" s="361">
        <f t="shared" si="15"/>
        <v>843790</v>
      </c>
      <c r="K59" s="361">
        <f t="shared" si="15"/>
        <v>144887</v>
      </c>
      <c r="L59" s="361">
        <f t="shared" si="15"/>
        <v>198967</v>
      </c>
      <c r="M59" s="361">
        <f t="shared" si="15"/>
        <v>199375</v>
      </c>
      <c r="N59" s="335">
        <f t="shared" si="1"/>
        <v>2891838</v>
      </c>
      <c r="O59" s="357">
        <f t="shared" si="2"/>
        <v>3105090</v>
      </c>
      <c r="P59" s="639">
        <f t="shared" si="3"/>
        <v>5257204</v>
      </c>
    </row>
    <row r="60" spans="1:16" s="332" customFormat="1" ht="18" customHeight="1" thickBot="1">
      <c r="A60" s="363" t="s">
        <v>119</v>
      </c>
      <c r="B60" s="364">
        <f aca="true" t="shared" si="16" ref="B60:M60">SUM(B51,B59)</f>
        <v>8092646</v>
      </c>
      <c r="C60" s="364">
        <f>SUM(C51,C59)</f>
        <v>8293386</v>
      </c>
      <c r="D60" s="364">
        <f t="shared" si="16"/>
        <v>10240715</v>
      </c>
      <c r="E60" s="364">
        <f t="shared" si="16"/>
        <v>732559</v>
      </c>
      <c r="F60" s="364">
        <f>SUM(F51,F59)</f>
        <v>762987</v>
      </c>
      <c r="G60" s="364">
        <f t="shared" si="16"/>
        <v>774420</v>
      </c>
      <c r="H60" s="364">
        <f t="shared" si="16"/>
        <v>1067351</v>
      </c>
      <c r="I60" s="364">
        <f>SUM(I51,I59)</f>
        <v>1176888</v>
      </c>
      <c r="J60" s="364">
        <f t="shared" si="16"/>
        <v>1181364</v>
      </c>
      <c r="K60" s="364">
        <f t="shared" si="16"/>
        <v>187744</v>
      </c>
      <c r="L60" s="364">
        <f>SUM(L51,L59)</f>
        <v>244946</v>
      </c>
      <c r="M60" s="364">
        <f t="shared" si="16"/>
        <v>253193</v>
      </c>
      <c r="N60" s="365">
        <f t="shared" si="1"/>
        <v>10080300</v>
      </c>
      <c r="O60" s="366">
        <f t="shared" si="2"/>
        <v>10478207</v>
      </c>
      <c r="P60" s="641">
        <f t="shared" si="3"/>
        <v>12449692</v>
      </c>
    </row>
    <row r="61" ht="15.75">
      <c r="P61" s="640"/>
    </row>
    <row r="62" spans="1:16" ht="15.75">
      <c r="A62" s="242" t="s">
        <v>1140</v>
      </c>
      <c r="P62" s="640"/>
    </row>
    <row r="63" spans="1:16" ht="15.75">
      <c r="A63" s="1" t="s">
        <v>1139</v>
      </c>
      <c r="P63" s="640"/>
    </row>
    <row r="64" spans="1:16" ht="15.75">
      <c r="A64" s="1" t="s">
        <v>1138</v>
      </c>
      <c r="P64" s="640"/>
    </row>
    <row r="65" spans="1:16" ht="15.75">
      <c r="A65" s="1" t="s">
        <v>1129</v>
      </c>
      <c r="P65" s="640"/>
    </row>
    <row r="66" ht="15.75">
      <c r="P66" s="640"/>
    </row>
    <row r="67" ht="15.75">
      <c r="P67" s="640"/>
    </row>
    <row r="68" ht="15.75">
      <c r="P68" s="640"/>
    </row>
    <row r="69" ht="15.75">
      <c r="P69" s="640"/>
    </row>
    <row r="70" ht="15.75">
      <c r="P70" s="640"/>
    </row>
  </sheetData>
  <sheetProtection/>
  <mergeCells count="7">
    <mergeCell ref="A2:P2"/>
    <mergeCell ref="N4:P4"/>
    <mergeCell ref="K4:M4"/>
    <mergeCell ref="A4:A5"/>
    <mergeCell ref="B4:D4"/>
    <mergeCell ref="E4:G4"/>
    <mergeCell ref="H4:J4"/>
  </mergeCells>
  <printOptions horizontalCentered="1"/>
  <pageMargins left="0.07874015748031496" right="0.07874015748031496" top="0.4724409448818898" bottom="0.2362204724409449" header="0.2362204724409449" footer="0.15748031496062992"/>
  <pageSetup fitToHeight="1" fitToWidth="1" horizontalDpi="600" verticalDpi="600" orientation="landscape" paperSize="9" scale="44" r:id="rId1"/>
  <headerFooter alignWithMargins="0">
    <oddHeader xml:space="preserve">&amp;L&amp;11 3. melléklet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266"/>
  <sheetViews>
    <sheetView view="pageLayout" zoomScaleNormal="91" zoomScaleSheetLayoutView="80" workbookViewId="0" topLeftCell="C1">
      <selection activeCell="C43" sqref="C43"/>
    </sheetView>
  </sheetViews>
  <sheetFormatPr defaultColWidth="9.00390625" defaultRowHeight="25.5" customHeight="1"/>
  <cols>
    <col min="1" max="1" width="0.12890625" style="498" hidden="1" customWidth="1"/>
    <col min="2" max="2" width="0" style="498" hidden="1" customWidth="1"/>
    <col min="3" max="3" width="56.75390625" style="498" customWidth="1"/>
    <col min="4" max="4" width="13.125" style="498" customWidth="1"/>
    <col min="5" max="5" width="15.625" style="498" customWidth="1"/>
    <col min="6" max="6" width="15.125" style="498" customWidth="1"/>
    <col min="7" max="7" width="12.625" style="498" customWidth="1"/>
    <col min="8" max="8" width="15.75390625" style="498" customWidth="1"/>
    <col min="9" max="9" width="15.125" style="498" customWidth="1"/>
    <col min="10" max="10" width="12.75390625" style="498" customWidth="1"/>
    <col min="11" max="11" width="15.625" style="498" customWidth="1"/>
    <col min="12" max="12" width="15.125" style="498" customWidth="1"/>
    <col min="13" max="13" width="11.625" style="498" customWidth="1"/>
    <col min="14" max="14" width="15.25390625" style="498" customWidth="1"/>
    <col min="15" max="15" width="15.125" style="498" customWidth="1"/>
    <col min="16" max="16" width="12.625" style="498" customWidth="1"/>
    <col min="17" max="17" width="15.25390625" style="498" customWidth="1"/>
    <col min="18" max="18" width="15.00390625" style="498" customWidth="1"/>
    <col min="19" max="16384" width="9.125" style="498" customWidth="1"/>
  </cols>
  <sheetData>
    <row r="1" spans="3:18" s="495" customFormat="1" ht="18" customHeight="1">
      <c r="C1" s="1072" t="s">
        <v>2</v>
      </c>
      <c r="D1" s="1072"/>
      <c r="E1" s="1072"/>
      <c r="F1" s="1072"/>
      <c r="G1" s="1072"/>
      <c r="H1" s="1072"/>
      <c r="I1" s="1072"/>
      <c r="J1" s="1072"/>
      <c r="K1" s="1072"/>
      <c r="L1" s="1072"/>
      <c r="M1" s="1072"/>
      <c r="N1" s="1072"/>
      <c r="O1" s="1072"/>
      <c r="P1" s="1072"/>
      <c r="Q1" s="1032"/>
      <c r="R1" s="1032"/>
    </row>
    <row r="2" spans="3:18" s="495" customFormat="1" ht="18" customHeight="1">
      <c r="C2" s="1073" t="s">
        <v>32</v>
      </c>
      <c r="D2" s="1073"/>
      <c r="E2" s="1073"/>
      <c r="F2" s="1073"/>
      <c r="G2" s="1073"/>
      <c r="H2" s="1073"/>
      <c r="I2" s="1073"/>
      <c r="J2" s="1073"/>
      <c r="K2" s="1073"/>
      <c r="L2" s="1073"/>
      <c r="M2" s="1073"/>
      <c r="N2" s="1073"/>
      <c r="O2" s="1073"/>
      <c r="P2" s="1074"/>
      <c r="Q2" s="1032"/>
      <c r="R2" s="1032"/>
    </row>
    <row r="3" spans="3:15" s="495" customFormat="1" ht="18" customHeight="1" thickBot="1">
      <c r="C3" s="496"/>
      <c r="D3" s="496"/>
      <c r="E3" s="496"/>
      <c r="F3" s="496"/>
      <c r="G3" s="496"/>
      <c r="H3" s="496"/>
      <c r="I3" s="496"/>
      <c r="J3" s="496"/>
      <c r="K3" s="496"/>
      <c r="L3" s="496"/>
      <c r="M3" s="496"/>
      <c r="N3" s="496"/>
      <c r="O3" s="496"/>
    </row>
    <row r="4" spans="1:26" ht="65.25" customHeight="1">
      <c r="A4" s="497"/>
      <c r="B4" s="495"/>
      <c r="C4" s="1081" t="s">
        <v>33</v>
      </c>
      <c r="D4" s="1075" t="s">
        <v>163</v>
      </c>
      <c r="E4" s="1076"/>
      <c r="F4" s="1077"/>
      <c r="G4" s="1075" t="s">
        <v>169</v>
      </c>
      <c r="H4" s="1076"/>
      <c r="I4" s="1077"/>
      <c r="J4" s="1075" t="s">
        <v>34</v>
      </c>
      <c r="K4" s="1076"/>
      <c r="L4" s="1077"/>
      <c r="M4" s="1075" t="s">
        <v>35</v>
      </c>
      <c r="N4" s="1076"/>
      <c r="O4" s="1077"/>
      <c r="P4" s="1078" t="s">
        <v>500</v>
      </c>
      <c r="Q4" s="1079"/>
      <c r="R4" s="1080"/>
      <c r="S4" s="495"/>
      <c r="T4" s="495"/>
      <c r="U4" s="495"/>
      <c r="V4" s="495"/>
      <c r="W4" s="495"/>
      <c r="X4" s="495"/>
      <c r="Y4" s="495"/>
      <c r="Z4" s="495"/>
    </row>
    <row r="5" spans="1:26" ht="18.75" customHeight="1">
      <c r="A5" s="499"/>
      <c r="B5" s="500"/>
      <c r="C5" s="1082"/>
      <c r="D5" s="501" t="s">
        <v>162</v>
      </c>
      <c r="E5" s="502" t="s">
        <v>888</v>
      </c>
      <c r="F5" s="502" t="s">
        <v>947</v>
      </c>
      <c r="G5" s="501" t="s">
        <v>162</v>
      </c>
      <c r="H5" s="502" t="s">
        <v>888</v>
      </c>
      <c r="I5" s="502" t="s">
        <v>947</v>
      </c>
      <c r="J5" s="501" t="s">
        <v>162</v>
      </c>
      <c r="K5" s="502" t="s">
        <v>888</v>
      </c>
      <c r="L5" s="502" t="s">
        <v>947</v>
      </c>
      <c r="M5" s="501" t="s">
        <v>162</v>
      </c>
      <c r="N5" s="502" t="s">
        <v>888</v>
      </c>
      <c r="O5" s="502" t="s">
        <v>947</v>
      </c>
      <c r="P5" s="503" t="s">
        <v>122</v>
      </c>
      <c r="Q5" s="504" t="s">
        <v>888</v>
      </c>
      <c r="R5" s="505" t="s">
        <v>947</v>
      </c>
      <c r="S5" s="495"/>
      <c r="T5" s="495"/>
      <c r="U5" s="495"/>
      <c r="V5" s="495"/>
      <c r="W5" s="495"/>
      <c r="X5" s="495"/>
      <c r="Y5" s="495"/>
      <c r="Z5" s="495"/>
    </row>
    <row r="6" spans="1:26" s="512" customFormat="1" ht="19.5" customHeight="1">
      <c r="A6" s="506"/>
      <c r="B6" s="507"/>
      <c r="C6" s="508" t="s">
        <v>36</v>
      </c>
      <c r="D6" s="509">
        <v>193853</v>
      </c>
      <c r="E6" s="509">
        <v>216832</v>
      </c>
      <c r="F6" s="509">
        <v>266018</v>
      </c>
      <c r="G6" s="509">
        <v>359636</v>
      </c>
      <c r="H6" s="510">
        <v>378222</v>
      </c>
      <c r="I6" s="510">
        <v>380724</v>
      </c>
      <c r="J6" s="510">
        <v>413886</v>
      </c>
      <c r="K6" s="510">
        <v>440891</v>
      </c>
      <c r="L6" s="510">
        <v>443364</v>
      </c>
      <c r="M6" s="510">
        <v>82636</v>
      </c>
      <c r="N6" s="510">
        <v>85089</v>
      </c>
      <c r="O6" s="510">
        <v>88724</v>
      </c>
      <c r="P6" s="511">
        <f>SUM(D6+G6+J6+M6)</f>
        <v>1050011</v>
      </c>
      <c r="Q6" s="511">
        <f>SUM(E6+H6+K6+N6)</f>
        <v>1121034</v>
      </c>
      <c r="R6" s="637">
        <f>SUM(F6+I6+L6+O6)</f>
        <v>1178830</v>
      </c>
      <c r="S6" s="507"/>
      <c r="T6" s="507"/>
      <c r="U6" s="507"/>
      <c r="V6" s="507"/>
      <c r="W6" s="507"/>
      <c r="X6" s="507"/>
      <c r="Y6" s="507"/>
      <c r="Z6" s="507"/>
    </row>
    <row r="7" spans="1:26" s="512" customFormat="1" ht="19.5" customHeight="1">
      <c r="A7" s="506"/>
      <c r="B7" s="507"/>
      <c r="C7" s="508" t="s">
        <v>37</v>
      </c>
      <c r="D7" s="509">
        <v>44709</v>
      </c>
      <c r="E7" s="509">
        <v>46850</v>
      </c>
      <c r="F7" s="509">
        <v>52728</v>
      </c>
      <c r="G7" s="509">
        <v>101463</v>
      </c>
      <c r="H7" s="513">
        <v>105663</v>
      </c>
      <c r="I7" s="513">
        <v>105593</v>
      </c>
      <c r="J7" s="513">
        <v>110056</v>
      </c>
      <c r="K7" s="513">
        <v>117587</v>
      </c>
      <c r="L7" s="513">
        <v>118255</v>
      </c>
      <c r="M7" s="513">
        <v>23816</v>
      </c>
      <c r="N7" s="513">
        <v>24331</v>
      </c>
      <c r="O7" s="513">
        <v>24940</v>
      </c>
      <c r="P7" s="511">
        <f aca="true" t="shared" si="0" ref="P7:P35">SUM(D7+G7+J7+M7)</f>
        <v>280044</v>
      </c>
      <c r="Q7" s="511">
        <f aca="true" t="shared" si="1" ref="Q7:Q35">SUM(E7+H7+K7+N7)</f>
        <v>294431</v>
      </c>
      <c r="R7" s="637">
        <f aca="true" t="shared" si="2" ref="R7:R35">SUM(F7+I7+L7+O7)</f>
        <v>301516</v>
      </c>
      <c r="S7" s="507"/>
      <c r="T7" s="507"/>
      <c r="U7" s="507"/>
      <c r="V7" s="507"/>
      <c r="W7" s="507"/>
      <c r="X7" s="507"/>
      <c r="Y7" s="507"/>
      <c r="Z7" s="507"/>
    </row>
    <row r="8" spans="1:26" s="512" customFormat="1" ht="19.5" customHeight="1">
      <c r="A8" s="506"/>
      <c r="B8" s="507"/>
      <c r="C8" s="985" t="s">
        <v>38</v>
      </c>
      <c r="D8" s="986">
        <v>896883</v>
      </c>
      <c r="E8" s="986">
        <v>937226</v>
      </c>
      <c r="F8" s="986">
        <v>1131185</v>
      </c>
      <c r="G8" s="514">
        <v>130447</v>
      </c>
      <c r="H8" s="514">
        <v>136155</v>
      </c>
      <c r="I8" s="514">
        <v>135393</v>
      </c>
      <c r="J8" s="514">
        <v>505133</v>
      </c>
      <c r="K8" s="514">
        <v>553984</v>
      </c>
      <c r="L8" s="514">
        <v>545894</v>
      </c>
      <c r="M8" s="509">
        <v>79492</v>
      </c>
      <c r="N8" s="513">
        <v>109921</v>
      </c>
      <c r="O8" s="513">
        <v>113924</v>
      </c>
      <c r="P8" s="511">
        <f t="shared" si="0"/>
        <v>1611955</v>
      </c>
      <c r="Q8" s="511">
        <f t="shared" si="1"/>
        <v>1737286</v>
      </c>
      <c r="R8" s="990">
        <f t="shared" si="2"/>
        <v>1926396</v>
      </c>
      <c r="S8" s="507"/>
      <c r="T8" s="507"/>
      <c r="U8" s="507"/>
      <c r="V8" s="507"/>
      <c r="W8" s="507"/>
      <c r="X8" s="507"/>
      <c r="Y8" s="507"/>
      <c r="Z8" s="507"/>
    </row>
    <row r="9" spans="1:26" s="512" customFormat="1" ht="19.5" customHeight="1">
      <c r="A9" s="506"/>
      <c r="B9" s="507"/>
      <c r="C9" s="987" t="s">
        <v>45</v>
      </c>
      <c r="D9" s="986">
        <v>64150</v>
      </c>
      <c r="E9" s="986">
        <v>65700</v>
      </c>
      <c r="F9" s="986">
        <v>65700</v>
      </c>
      <c r="G9" s="514">
        <v>119955</v>
      </c>
      <c r="H9" s="515">
        <v>119955</v>
      </c>
      <c r="I9" s="515">
        <v>128867</v>
      </c>
      <c r="J9" s="515"/>
      <c r="K9" s="515">
        <v>67</v>
      </c>
      <c r="L9" s="515">
        <v>67</v>
      </c>
      <c r="M9" s="509"/>
      <c r="N9" s="513"/>
      <c r="O9" s="513"/>
      <c r="P9" s="511">
        <f t="shared" si="0"/>
        <v>184105</v>
      </c>
      <c r="Q9" s="511">
        <f t="shared" si="1"/>
        <v>185722</v>
      </c>
      <c r="R9" s="990">
        <f t="shared" si="2"/>
        <v>194634</v>
      </c>
      <c r="S9" s="507"/>
      <c r="T9" s="507"/>
      <c r="U9" s="507"/>
      <c r="V9" s="507"/>
      <c r="W9" s="507"/>
      <c r="X9" s="507"/>
      <c r="Y9" s="507"/>
      <c r="Z9" s="507"/>
    </row>
    <row r="10" spans="1:26" s="512" customFormat="1" ht="19.5" customHeight="1">
      <c r="A10" s="506"/>
      <c r="B10" s="507"/>
      <c r="C10" s="985" t="s">
        <v>40</v>
      </c>
      <c r="D10" s="986">
        <f aca="true" t="shared" si="3" ref="D10:O10">SUM(D11+D12+D13+D17)</f>
        <v>1002114</v>
      </c>
      <c r="E10" s="986">
        <f>SUM(E11+E12+E13+E17)</f>
        <v>1030633</v>
      </c>
      <c r="F10" s="986">
        <f t="shared" si="3"/>
        <v>915741</v>
      </c>
      <c r="G10" s="514">
        <f t="shared" si="3"/>
        <v>0</v>
      </c>
      <c r="H10" s="514">
        <f>SUM(H11+H12+H13+H17)</f>
        <v>933</v>
      </c>
      <c r="I10" s="514">
        <f t="shared" si="3"/>
        <v>1535</v>
      </c>
      <c r="J10" s="514">
        <f t="shared" si="3"/>
        <v>0</v>
      </c>
      <c r="K10" s="514">
        <f>SUM(K11+K12+K13+K17)</f>
        <v>4388</v>
      </c>
      <c r="L10" s="514">
        <f t="shared" si="3"/>
        <v>5225</v>
      </c>
      <c r="M10" s="514">
        <f t="shared" si="3"/>
        <v>0</v>
      </c>
      <c r="N10" s="514">
        <f>SUM(N11+N12+N13+N17)</f>
        <v>0</v>
      </c>
      <c r="O10" s="514">
        <f t="shared" si="3"/>
        <v>0</v>
      </c>
      <c r="P10" s="511">
        <f t="shared" si="0"/>
        <v>1002114</v>
      </c>
      <c r="Q10" s="511">
        <f t="shared" si="1"/>
        <v>1035954</v>
      </c>
      <c r="R10" s="990">
        <f t="shared" si="2"/>
        <v>922501</v>
      </c>
      <c r="S10" s="507"/>
      <c r="T10" s="507"/>
      <c r="U10" s="507"/>
      <c r="V10" s="507"/>
      <c r="W10" s="507"/>
      <c r="X10" s="507"/>
      <c r="Y10" s="507"/>
      <c r="Z10" s="507"/>
    </row>
    <row r="11" spans="1:26" ht="19.5" customHeight="1">
      <c r="A11" s="497"/>
      <c r="B11" s="495"/>
      <c r="C11" s="988" t="s">
        <v>42</v>
      </c>
      <c r="D11" s="989">
        <v>6000</v>
      </c>
      <c r="E11" s="989">
        <v>6000</v>
      </c>
      <c r="F11" s="989">
        <v>6000</v>
      </c>
      <c r="G11" s="517"/>
      <c r="H11" s="518"/>
      <c r="I11" s="518"/>
      <c r="J11" s="518"/>
      <c r="K11" s="518"/>
      <c r="L11" s="518"/>
      <c r="M11" s="518"/>
      <c r="N11" s="518"/>
      <c r="O11" s="518"/>
      <c r="P11" s="511">
        <f t="shared" si="0"/>
        <v>6000</v>
      </c>
      <c r="Q11" s="511">
        <f t="shared" si="1"/>
        <v>6000</v>
      </c>
      <c r="R11" s="990">
        <f t="shared" si="2"/>
        <v>6000</v>
      </c>
      <c r="S11" s="495"/>
      <c r="T11" s="495"/>
      <c r="U11" s="495"/>
      <c r="V11" s="495"/>
      <c r="W11" s="495"/>
      <c r="X11" s="495"/>
      <c r="Y11" s="495"/>
      <c r="Z11" s="495"/>
    </row>
    <row r="12" spans="1:26" ht="19.5" customHeight="1">
      <c r="A12" s="497"/>
      <c r="B12" s="495"/>
      <c r="C12" s="988" t="s">
        <v>43</v>
      </c>
      <c r="D12" s="989">
        <v>834414</v>
      </c>
      <c r="E12" s="989">
        <v>869218</v>
      </c>
      <c r="F12" s="989">
        <v>887327</v>
      </c>
      <c r="G12" s="517"/>
      <c r="H12" s="518"/>
      <c r="I12" s="518"/>
      <c r="J12" s="518"/>
      <c r="K12" s="518">
        <v>4388</v>
      </c>
      <c r="L12" s="518">
        <v>5225</v>
      </c>
      <c r="M12" s="518"/>
      <c r="N12" s="518"/>
      <c r="O12" s="518"/>
      <c r="P12" s="511">
        <f t="shared" si="0"/>
        <v>834414</v>
      </c>
      <c r="Q12" s="511">
        <f t="shared" si="1"/>
        <v>873606</v>
      </c>
      <c r="R12" s="990">
        <f t="shared" si="2"/>
        <v>892552</v>
      </c>
      <c r="S12" s="495"/>
      <c r="T12" s="495"/>
      <c r="U12" s="495"/>
      <c r="V12" s="495"/>
      <c r="W12" s="495"/>
      <c r="X12" s="495"/>
      <c r="Y12" s="495"/>
      <c r="Z12" s="495"/>
    </row>
    <row r="13" spans="1:26" s="512" customFormat="1" ht="19.5" customHeight="1">
      <c r="A13" s="506"/>
      <c r="B13" s="507"/>
      <c r="C13" s="519" t="s">
        <v>152</v>
      </c>
      <c r="D13" s="517">
        <f aca="true" t="shared" si="4" ref="D13:O13">SUM(D14:D16)</f>
        <v>161700</v>
      </c>
      <c r="E13" s="517">
        <f>SUM(E14:E16)</f>
        <v>140131</v>
      </c>
      <c r="F13" s="517">
        <f t="shared" si="4"/>
        <v>1130</v>
      </c>
      <c r="G13" s="517">
        <f t="shared" si="4"/>
        <v>0</v>
      </c>
      <c r="H13" s="517">
        <f>SUM(H14:H16)</f>
        <v>0</v>
      </c>
      <c r="I13" s="517">
        <f t="shared" si="4"/>
        <v>0</v>
      </c>
      <c r="J13" s="517">
        <f t="shared" si="4"/>
        <v>0</v>
      </c>
      <c r="K13" s="517">
        <f>SUM(K14:K16)</f>
        <v>0</v>
      </c>
      <c r="L13" s="517">
        <f>SUM(L14:L16)</f>
        <v>0</v>
      </c>
      <c r="M13" s="517">
        <f t="shared" si="4"/>
        <v>0</v>
      </c>
      <c r="N13" s="517">
        <f>SUM(N14:N16)</f>
        <v>0</v>
      </c>
      <c r="O13" s="517">
        <f t="shared" si="4"/>
        <v>0</v>
      </c>
      <c r="P13" s="511">
        <f t="shared" si="0"/>
        <v>161700</v>
      </c>
      <c r="Q13" s="511">
        <f t="shared" si="1"/>
        <v>140131</v>
      </c>
      <c r="R13" s="637">
        <f t="shared" si="2"/>
        <v>1130</v>
      </c>
      <c r="S13" s="507"/>
      <c r="T13" s="507"/>
      <c r="U13" s="507"/>
      <c r="V13" s="507"/>
      <c r="W13" s="507"/>
      <c r="X13" s="507"/>
      <c r="Y13" s="507"/>
      <c r="Z13" s="507"/>
    </row>
    <row r="14" spans="1:26" s="525" customFormat="1" ht="19.5" customHeight="1">
      <c r="A14" s="520"/>
      <c r="B14" s="521"/>
      <c r="C14" s="522" t="s">
        <v>44</v>
      </c>
      <c r="D14" s="523">
        <v>13000</v>
      </c>
      <c r="E14" s="523">
        <v>5958</v>
      </c>
      <c r="F14" s="523">
        <v>423</v>
      </c>
      <c r="G14" s="523"/>
      <c r="H14" s="524"/>
      <c r="I14" s="524"/>
      <c r="J14" s="524"/>
      <c r="K14" s="524"/>
      <c r="L14" s="524"/>
      <c r="M14" s="524"/>
      <c r="N14" s="524"/>
      <c r="O14" s="524"/>
      <c r="P14" s="511">
        <f t="shared" si="0"/>
        <v>13000</v>
      </c>
      <c r="Q14" s="511">
        <f t="shared" si="1"/>
        <v>5958</v>
      </c>
      <c r="R14" s="637">
        <f t="shared" si="2"/>
        <v>423</v>
      </c>
      <c r="S14" s="521"/>
      <c r="T14" s="521"/>
      <c r="U14" s="521"/>
      <c r="V14" s="521"/>
      <c r="W14" s="521"/>
      <c r="X14" s="521"/>
      <c r="Y14" s="521"/>
      <c r="Z14" s="521"/>
    </row>
    <row r="15" spans="1:26" s="525" customFormat="1" ht="19.5" customHeight="1">
      <c r="A15" s="520"/>
      <c r="B15" s="521"/>
      <c r="C15" s="522" t="s">
        <v>704</v>
      </c>
      <c r="D15" s="523">
        <v>125400</v>
      </c>
      <c r="E15" s="523">
        <v>81927</v>
      </c>
      <c r="F15" s="523">
        <v>0</v>
      </c>
      <c r="G15" s="523"/>
      <c r="H15" s="524"/>
      <c r="I15" s="524"/>
      <c r="J15" s="524"/>
      <c r="K15" s="524"/>
      <c r="L15" s="524"/>
      <c r="M15" s="524"/>
      <c r="N15" s="524"/>
      <c r="O15" s="524"/>
      <c r="P15" s="511">
        <f t="shared" si="0"/>
        <v>125400</v>
      </c>
      <c r="Q15" s="511">
        <f t="shared" si="1"/>
        <v>81927</v>
      </c>
      <c r="R15" s="637">
        <f t="shared" si="2"/>
        <v>0</v>
      </c>
      <c r="S15" s="521"/>
      <c r="T15" s="521"/>
      <c r="U15" s="521"/>
      <c r="V15" s="521"/>
      <c r="W15" s="521"/>
      <c r="X15" s="521"/>
      <c r="Y15" s="521"/>
      <c r="Z15" s="521"/>
    </row>
    <row r="16" spans="1:26" s="525" customFormat="1" ht="19.5" customHeight="1">
      <c r="A16" s="520"/>
      <c r="B16" s="521"/>
      <c r="C16" s="522" t="s">
        <v>63</v>
      </c>
      <c r="D16" s="523">
        <f>11800+11500</f>
        <v>23300</v>
      </c>
      <c r="E16" s="523">
        <v>52246</v>
      </c>
      <c r="F16" s="523">
        <v>707</v>
      </c>
      <c r="G16" s="523"/>
      <c r="H16" s="524"/>
      <c r="I16" s="524"/>
      <c r="J16" s="524"/>
      <c r="K16" s="524"/>
      <c r="L16" s="524"/>
      <c r="M16" s="524"/>
      <c r="N16" s="524"/>
      <c r="O16" s="524"/>
      <c r="P16" s="511">
        <f t="shared" si="0"/>
        <v>23300</v>
      </c>
      <c r="Q16" s="511">
        <f t="shared" si="1"/>
        <v>52246</v>
      </c>
      <c r="R16" s="637">
        <f t="shared" si="2"/>
        <v>707</v>
      </c>
      <c r="S16" s="521"/>
      <c r="T16" s="521"/>
      <c r="U16" s="521"/>
      <c r="V16" s="521"/>
      <c r="W16" s="521"/>
      <c r="X16" s="521"/>
      <c r="Y16" s="521"/>
      <c r="Z16" s="521"/>
    </row>
    <row r="17" spans="1:26" s="525" customFormat="1" ht="19.5" customHeight="1">
      <c r="A17" s="520"/>
      <c r="B17" s="521"/>
      <c r="C17" s="522" t="s">
        <v>786</v>
      </c>
      <c r="D17" s="523"/>
      <c r="E17" s="523">
        <v>15284</v>
      </c>
      <c r="F17" s="523">
        <v>21284</v>
      </c>
      <c r="G17" s="523"/>
      <c r="H17" s="524">
        <v>933</v>
      </c>
      <c r="I17" s="524">
        <v>1535</v>
      </c>
      <c r="J17" s="524"/>
      <c r="K17" s="524"/>
      <c r="L17" s="524"/>
      <c r="M17" s="524"/>
      <c r="N17" s="524"/>
      <c r="O17" s="524"/>
      <c r="P17" s="511">
        <f t="shared" si="0"/>
        <v>0</v>
      </c>
      <c r="Q17" s="511">
        <f t="shared" si="1"/>
        <v>16217</v>
      </c>
      <c r="R17" s="637">
        <f t="shared" si="2"/>
        <v>22819</v>
      </c>
      <c r="S17" s="521"/>
      <c r="T17" s="521"/>
      <c r="U17" s="521"/>
      <c r="V17" s="521"/>
      <c r="W17" s="521"/>
      <c r="X17" s="521"/>
      <c r="Y17" s="521"/>
      <c r="Z17" s="521"/>
    </row>
    <row r="18" spans="1:26" s="512" customFormat="1" ht="19.5" customHeight="1" thickBot="1">
      <c r="A18" s="526"/>
      <c r="B18" s="527"/>
      <c r="C18" s="508" t="s">
        <v>64</v>
      </c>
      <c r="D18" s="509">
        <v>2418569</v>
      </c>
      <c r="E18" s="509">
        <v>2527109</v>
      </c>
      <c r="F18" s="509">
        <v>2708848</v>
      </c>
      <c r="G18" s="509">
        <v>20058</v>
      </c>
      <c r="H18" s="513">
        <v>20088</v>
      </c>
      <c r="I18" s="513">
        <v>20088</v>
      </c>
      <c r="J18" s="513">
        <v>6795</v>
      </c>
      <c r="K18" s="513">
        <v>19990</v>
      </c>
      <c r="L18" s="513">
        <v>28708</v>
      </c>
      <c r="M18" s="513">
        <v>1800</v>
      </c>
      <c r="N18" s="513">
        <v>12182</v>
      </c>
      <c r="O18" s="513">
        <v>15182</v>
      </c>
      <c r="P18" s="511">
        <f t="shared" si="0"/>
        <v>2447222</v>
      </c>
      <c r="Q18" s="511">
        <f t="shared" si="1"/>
        <v>2579369</v>
      </c>
      <c r="R18" s="637">
        <f t="shared" si="2"/>
        <v>2772826</v>
      </c>
      <c r="S18" s="507"/>
      <c r="T18" s="507"/>
      <c r="U18" s="507"/>
      <c r="V18" s="507"/>
      <c r="W18" s="507"/>
      <c r="X18" s="507"/>
      <c r="Y18" s="507"/>
      <c r="Z18" s="507"/>
    </row>
    <row r="19" spans="1:26" s="512" customFormat="1" ht="19.5" customHeight="1">
      <c r="A19" s="507"/>
      <c r="B19" s="507"/>
      <c r="C19" s="508" t="s">
        <v>65</v>
      </c>
      <c r="D19" s="509">
        <v>251919</v>
      </c>
      <c r="E19" s="509">
        <v>334376</v>
      </c>
      <c r="F19" s="509">
        <v>344891</v>
      </c>
      <c r="G19" s="509">
        <v>0</v>
      </c>
      <c r="H19" s="513">
        <v>971</v>
      </c>
      <c r="I19" s="513">
        <v>1220</v>
      </c>
      <c r="J19" s="513">
        <v>31481</v>
      </c>
      <c r="K19" s="513">
        <v>39981</v>
      </c>
      <c r="L19" s="513">
        <v>39851</v>
      </c>
      <c r="M19" s="513">
        <v>0</v>
      </c>
      <c r="N19" s="513">
        <v>13423</v>
      </c>
      <c r="O19" s="513">
        <v>10423</v>
      </c>
      <c r="P19" s="511">
        <f t="shared" si="0"/>
        <v>283400</v>
      </c>
      <c r="Q19" s="511">
        <f t="shared" si="1"/>
        <v>388751</v>
      </c>
      <c r="R19" s="637">
        <f t="shared" si="2"/>
        <v>396385</v>
      </c>
      <c r="S19" s="507"/>
      <c r="T19" s="507"/>
      <c r="U19" s="507"/>
      <c r="V19" s="507"/>
      <c r="W19" s="507"/>
      <c r="X19" s="507"/>
      <c r="Y19" s="507"/>
      <c r="Z19" s="507"/>
    </row>
    <row r="20" spans="1:26" s="512" customFormat="1" ht="19.5" customHeight="1">
      <c r="A20" s="507"/>
      <c r="B20" s="507"/>
      <c r="C20" s="508" t="s">
        <v>66</v>
      </c>
      <c r="D20" s="509">
        <f aca="true" t="shared" si="5" ref="D20:O20">SUM(D21:D24)</f>
        <v>1406334</v>
      </c>
      <c r="E20" s="509">
        <f>SUM(E21:E24)</f>
        <v>1379971</v>
      </c>
      <c r="F20" s="509">
        <f t="shared" si="5"/>
        <v>198801</v>
      </c>
      <c r="G20" s="509">
        <f t="shared" si="5"/>
        <v>1000</v>
      </c>
      <c r="H20" s="509">
        <f>SUM(H21:H24)</f>
        <v>1000</v>
      </c>
      <c r="I20" s="509">
        <f t="shared" si="5"/>
        <v>1000</v>
      </c>
      <c r="J20" s="509">
        <f t="shared" si="5"/>
        <v>0</v>
      </c>
      <c r="K20" s="509">
        <f>SUM(K21:K24)</f>
        <v>0</v>
      </c>
      <c r="L20" s="509">
        <f t="shared" si="5"/>
        <v>0</v>
      </c>
      <c r="M20" s="509">
        <f t="shared" si="5"/>
        <v>0</v>
      </c>
      <c r="N20" s="509">
        <f>SUM(N21:N24)</f>
        <v>0</v>
      </c>
      <c r="O20" s="509">
        <f t="shared" si="5"/>
        <v>0</v>
      </c>
      <c r="P20" s="511">
        <f t="shared" si="0"/>
        <v>1407334</v>
      </c>
      <c r="Q20" s="511">
        <f t="shared" si="1"/>
        <v>1380971</v>
      </c>
      <c r="R20" s="637">
        <f t="shared" si="2"/>
        <v>199801</v>
      </c>
      <c r="S20" s="507"/>
      <c r="T20" s="507"/>
      <c r="U20" s="507"/>
      <c r="V20" s="507"/>
      <c r="W20" s="507"/>
      <c r="X20" s="507"/>
      <c r="Y20" s="507"/>
      <c r="Z20" s="507"/>
    </row>
    <row r="21" spans="1:26" s="512" customFormat="1" ht="19.5" customHeight="1">
      <c r="A21" s="507"/>
      <c r="B21" s="507"/>
      <c r="C21" s="519" t="s">
        <v>41</v>
      </c>
      <c r="D21" s="517">
        <v>808</v>
      </c>
      <c r="E21" s="517">
        <v>808</v>
      </c>
      <c r="F21" s="517">
        <v>1808</v>
      </c>
      <c r="G21" s="509"/>
      <c r="H21" s="513"/>
      <c r="I21" s="513"/>
      <c r="J21" s="513"/>
      <c r="K21" s="513"/>
      <c r="L21" s="513"/>
      <c r="M21" s="513"/>
      <c r="N21" s="513"/>
      <c r="O21" s="513"/>
      <c r="P21" s="511">
        <f t="shared" si="0"/>
        <v>808</v>
      </c>
      <c r="Q21" s="511">
        <f t="shared" si="1"/>
        <v>808</v>
      </c>
      <c r="R21" s="637">
        <f t="shared" si="2"/>
        <v>1808</v>
      </c>
      <c r="S21" s="507"/>
      <c r="T21" s="507"/>
      <c r="U21" s="507"/>
      <c r="V21" s="507"/>
      <c r="W21" s="507"/>
      <c r="X21" s="507"/>
      <c r="Y21" s="507"/>
      <c r="Z21" s="507"/>
    </row>
    <row r="22" spans="1:26" ht="19.5" customHeight="1">
      <c r="A22" s="495"/>
      <c r="B22" s="495"/>
      <c r="C22" s="516" t="s">
        <v>42</v>
      </c>
      <c r="D22" s="517">
        <v>3500</v>
      </c>
      <c r="E22" s="517">
        <v>3350</v>
      </c>
      <c r="F22" s="517">
        <v>3350</v>
      </c>
      <c r="G22" s="517">
        <v>1000</v>
      </c>
      <c r="H22" s="518">
        <v>1000</v>
      </c>
      <c r="I22" s="518">
        <v>1000</v>
      </c>
      <c r="J22" s="518"/>
      <c r="K22" s="518"/>
      <c r="L22" s="518"/>
      <c r="M22" s="518"/>
      <c r="N22" s="518"/>
      <c r="O22" s="518"/>
      <c r="P22" s="511">
        <f t="shared" si="0"/>
        <v>4500</v>
      </c>
      <c r="Q22" s="511">
        <f t="shared" si="1"/>
        <v>4350</v>
      </c>
      <c r="R22" s="637">
        <f t="shared" si="2"/>
        <v>4350</v>
      </c>
      <c r="S22" s="495"/>
      <c r="T22" s="495"/>
      <c r="U22" s="495"/>
      <c r="V22" s="495"/>
      <c r="W22" s="495"/>
      <c r="X22" s="495"/>
      <c r="Y22" s="495"/>
      <c r="Z22" s="495"/>
    </row>
    <row r="23" spans="1:26" s="512" customFormat="1" ht="19.5" customHeight="1">
      <c r="A23" s="507"/>
      <c r="B23" s="507"/>
      <c r="C23" s="516" t="s">
        <v>67</v>
      </c>
      <c r="D23" s="517">
        <v>73761</v>
      </c>
      <c r="E23" s="517">
        <v>76891</v>
      </c>
      <c r="F23" s="517">
        <v>193643</v>
      </c>
      <c r="G23" s="509"/>
      <c r="H23" s="513"/>
      <c r="I23" s="513"/>
      <c r="J23" s="513"/>
      <c r="K23" s="513"/>
      <c r="L23" s="513"/>
      <c r="M23" s="513"/>
      <c r="N23" s="513"/>
      <c r="O23" s="513"/>
      <c r="P23" s="511">
        <f t="shared" si="0"/>
        <v>73761</v>
      </c>
      <c r="Q23" s="511">
        <f t="shared" si="1"/>
        <v>76891</v>
      </c>
      <c r="R23" s="637">
        <f t="shared" si="2"/>
        <v>193643</v>
      </c>
      <c r="S23" s="507"/>
      <c r="T23" s="507"/>
      <c r="U23" s="507"/>
      <c r="V23" s="507"/>
      <c r="W23" s="507"/>
      <c r="X23" s="507"/>
      <c r="Y23" s="507"/>
      <c r="Z23" s="507"/>
    </row>
    <row r="24" spans="1:26" s="512" customFormat="1" ht="19.5" customHeight="1">
      <c r="A24" s="507"/>
      <c r="B24" s="507"/>
      <c r="C24" s="516" t="s">
        <v>157</v>
      </c>
      <c r="D24" s="517">
        <f>SUM(D25:D27)</f>
        <v>1328265</v>
      </c>
      <c r="E24" s="517">
        <f>SUM(E25:E27)</f>
        <v>1298922</v>
      </c>
      <c r="F24" s="517">
        <f>SUM(F25:F27)</f>
        <v>0</v>
      </c>
      <c r="G24" s="517">
        <f aca="true" t="shared" si="6" ref="G24:O24">SUM(G25:G27)</f>
        <v>0</v>
      </c>
      <c r="H24" s="517">
        <f>SUM(H25:H27)</f>
        <v>0</v>
      </c>
      <c r="I24" s="517">
        <f t="shared" si="6"/>
        <v>0</v>
      </c>
      <c r="J24" s="517">
        <f t="shared" si="6"/>
        <v>0</v>
      </c>
      <c r="K24" s="517">
        <f>SUM(K25:K27)</f>
        <v>0</v>
      </c>
      <c r="L24" s="517">
        <f t="shared" si="6"/>
        <v>0</v>
      </c>
      <c r="M24" s="517">
        <f t="shared" si="6"/>
        <v>0</v>
      </c>
      <c r="N24" s="517">
        <f>SUM(N25:N27)</f>
        <v>0</v>
      </c>
      <c r="O24" s="517">
        <f t="shared" si="6"/>
        <v>0</v>
      </c>
      <c r="P24" s="511">
        <f t="shared" si="0"/>
        <v>1328265</v>
      </c>
      <c r="Q24" s="511">
        <f t="shared" si="1"/>
        <v>1298922</v>
      </c>
      <c r="R24" s="637">
        <f t="shared" si="2"/>
        <v>0</v>
      </c>
      <c r="S24" s="507"/>
      <c r="T24" s="507"/>
      <c r="U24" s="507"/>
      <c r="V24" s="507"/>
      <c r="W24" s="507"/>
      <c r="X24" s="507"/>
      <c r="Y24" s="507"/>
      <c r="Z24" s="507"/>
    </row>
    <row r="25" spans="1:26" s="530" customFormat="1" ht="19.5" customHeight="1">
      <c r="A25" s="528"/>
      <c r="B25" s="528"/>
      <c r="C25" s="529" t="s">
        <v>68</v>
      </c>
      <c r="D25" s="523">
        <v>50000</v>
      </c>
      <c r="E25" s="523">
        <v>24688</v>
      </c>
      <c r="F25" s="523"/>
      <c r="G25" s="523"/>
      <c r="H25" s="524"/>
      <c r="I25" s="524"/>
      <c r="J25" s="524"/>
      <c r="K25" s="524"/>
      <c r="L25" s="524"/>
      <c r="M25" s="524"/>
      <c r="N25" s="524"/>
      <c r="O25" s="524"/>
      <c r="P25" s="511">
        <f t="shared" si="0"/>
        <v>50000</v>
      </c>
      <c r="Q25" s="511">
        <f t="shared" si="1"/>
        <v>24688</v>
      </c>
      <c r="R25" s="637">
        <f t="shared" si="2"/>
        <v>0</v>
      </c>
      <c r="S25" s="528"/>
      <c r="T25" s="528"/>
      <c r="U25" s="528"/>
      <c r="V25" s="528"/>
      <c r="W25" s="528"/>
      <c r="X25" s="528"/>
      <c r="Y25" s="528"/>
      <c r="Z25" s="528"/>
    </row>
    <row r="26" spans="1:26" s="530" customFormat="1" ht="19.5" customHeight="1">
      <c r="A26" s="528"/>
      <c r="B26" s="528"/>
      <c r="C26" s="529" t="s">
        <v>69</v>
      </c>
      <c r="D26" s="523">
        <v>0</v>
      </c>
      <c r="E26" s="523"/>
      <c r="F26" s="523"/>
      <c r="G26" s="523"/>
      <c r="H26" s="524"/>
      <c r="I26" s="524"/>
      <c r="J26" s="524"/>
      <c r="K26" s="524"/>
      <c r="L26" s="524"/>
      <c r="M26" s="524"/>
      <c r="N26" s="524"/>
      <c r="O26" s="524"/>
      <c r="P26" s="511">
        <f t="shared" si="0"/>
        <v>0</v>
      </c>
      <c r="Q26" s="511">
        <f t="shared" si="1"/>
        <v>0</v>
      </c>
      <c r="R26" s="637">
        <f t="shared" si="2"/>
        <v>0</v>
      </c>
      <c r="S26" s="528"/>
      <c r="T26" s="528"/>
      <c r="U26" s="528"/>
      <c r="V26" s="528"/>
      <c r="W26" s="528"/>
      <c r="X26" s="528"/>
      <c r="Y26" s="528"/>
      <c r="Z26" s="528"/>
    </row>
    <row r="27" spans="1:26" s="530" customFormat="1" ht="19.5" customHeight="1">
      <c r="A27" s="528"/>
      <c r="B27" s="528"/>
      <c r="C27" s="522" t="s">
        <v>70</v>
      </c>
      <c r="D27" s="523">
        <v>1278265</v>
      </c>
      <c r="E27" s="523">
        <v>1274234</v>
      </c>
      <c r="F27" s="523"/>
      <c r="G27" s="523"/>
      <c r="H27" s="523"/>
      <c r="I27" s="523"/>
      <c r="J27" s="523"/>
      <c r="K27" s="523"/>
      <c r="L27" s="523"/>
      <c r="M27" s="523"/>
      <c r="N27" s="524"/>
      <c r="O27" s="524"/>
      <c r="P27" s="511">
        <f t="shared" si="0"/>
        <v>1278265</v>
      </c>
      <c r="Q27" s="511">
        <f t="shared" si="1"/>
        <v>1274234</v>
      </c>
      <c r="R27" s="637">
        <f t="shared" si="2"/>
        <v>0</v>
      </c>
      <c r="S27" s="528"/>
      <c r="T27" s="528"/>
      <c r="U27" s="528"/>
      <c r="V27" s="528"/>
      <c r="W27" s="528"/>
      <c r="X27" s="528"/>
      <c r="Y27" s="528"/>
      <c r="Z27" s="528"/>
    </row>
    <row r="28" spans="1:26" s="512" customFormat="1" ht="19.5" customHeight="1">
      <c r="A28" s="507"/>
      <c r="B28" s="507"/>
      <c r="C28" s="508" t="s">
        <v>71</v>
      </c>
      <c r="D28" s="509">
        <f aca="true" t="shared" si="7" ref="D28:O28">SUM(D6,D7,D8,D9,D18,D19,D20,D10)</f>
        <v>6278531</v>
      </c>
      <c r="E28" s="509">
        <f>SUM(E6,E7,E8,E9,E18,E19,E20,E10)</f>
        <v>6538697</v>
      </c>
      <c r="F28" s="509">
        <f t="shared" si="7"/>
        <v>5683912</v>
      </c>
      <c r="G28" s="509">
        <f t="shared" si="7"/>
        <v>732559</v>
      </c>
      <c r="H28" s="509">
        <f>SUM(H6,H7,H8,H9,H18,H19,H20,H10)</f>
        <v>762987</v>
      </c>
      <c r="I28" s="509">
        <f t="shared" si="7"/>
        <v>774420</v>
      </c>
      <c r="J28" s="509">
        <f t="shared" si="7"/>
        <v>1067351</v>
      </c>
      <c r="K28" s="509">
        <f>SUM(K6,K7,K8,K9,K18,K19,K20,K10)</f>
        <v>1176888</v>
      </c>
      <c r="L28" s="509">
        <f t="shared" si="7"/>
        <v>1181364</v>
      </c>
      <c r="M28" s="509">
        <f t="shared" si="7"/>
        <v>187744</v>
      </c>
      <c r="N28" s="509">
        <f>SUM(N6,N7,N8,N9,N18,N19,N20,N10)</f>
        <v>244946</v>
      </c>
      <c r="O28" s="509">
        <f t="shared" si="7"/>
        <v>253193</v>
      </c>
      <c r="P28" s="511">
        <f t="shared" si="0"/>
        <v>8266185</v>
      </c>
      <c r="Q28" s="511">
        <f t="shared" si="1"/>
        <v>8723518</v>
      </c>
      <c r="R28" s="637">
        <f t="shared" si="2"/>
        <v>7892889</v>
      </c>
      <c r="S28" s="507"/>
      <c r="T28" s="507"/>
      <c r="U28" s="507"/>
      <c r="V28" s="507"/>
      <c r="W28" s="507"/>
      <c r="X28" s="507"/>
      <c r="Y28" s="507"/>
      <c r="Z28" s="507"/>
    </row>
    <row r="29" spans="3:26" s="512" customFormat="1" ht="19.5" customHeight="1">
      <c r="C29" s="508" t="s">
        <v>573</v>
      </c>
      <c r="D29" s="509">
        <v>80158</v>
      </c>
      <c r="E29" s="509">
        <v>44961</v>
      </c>
      <c r="F29" s="509">
        <v>44961</v>
      </c>
      <c r="G29" s="509"/>
      <c r="H29" s="531"/>
      <c r="I29" s="531"/>
      <c r="J29" s="531"/>
      <c r="K29" s="531"/>
      <c r="L29" s="531"/>
      <c r="M29" s="531"/>
      <c r="N29" s="531"/>
      <c r="O29" s="531"/>
      <c r="P29" s="511">
        <f t="shared" si="0"/>
        <v>80158</v>
      </c>
      <c r="Q29" s="511">
        <f t="shared" si="1"/>
        <v>44961</v>
      </c>
      <c r="R29" s="637">
        <f t="shared" si="2"/>
        <v>44961</v>
      </c>
      <c r="S29" s="507"/>
      <c r="T29" s="507"/>
      <c r="U29" s="507"/>
      <c r="V29" s="507"/>
      <c r="W29" s="507"/>
      <c r="X29" s="507"/>
      <c r="Y29" s="507"/>
      <c r="Z29" s="507"/>
    </row>
    <row r="30" spans="3:26" s="512" customFormat="1" ht="19.5" customHeight="1">
      <c r="C30" s="508" t="s">
        <v>574</v>
      </c>
      <c r="D30" s="509">
        <v>96150</v>
      </c>
      <c r="E30" s="509">
        <v>48894</v>
      </c>
      <c r="F30" s="509">
        <v>48894</v>
      </c>
      <c r="G30" s="509"/>
      <c r="H30" s="531"/>
      <c r="I30" s="531"/>
      <c r="J30" s="531"/>
      <c r="K30" s="531"/>
      <c r="L30" s="531"/>
      <c r="M30" s="531"/>
      <c r="N30" s="531"/>
      <c r="O30" s="531"/>
      <c r="P30" s="511">
        <f t="shared" si="0"/>
        <v>96150</v>
      </c>
      <c r="Q30" s="511">
        <f t="shared" si="1"/>
        <v>48894</v>
      </c>
      <c r="R30" s="637">
        <f t="shared" si="2"/>
        <v>48894</v>
      </c>
      <c r="S30" s="507"/>
      <c r="T30" s="507"/>
      <c r="U30" s="507"/>
      <c r="V30" s="507"/>
      <c r="W30" s="507"/>
      <c r="X30" s="507"/>
      <c r="Y30" s="507"/>
      <c r="Z30" s="507"/>
    </row>
    <row r="31" spans="3:26" s="512" customFormat="1" ht="19.5" customHeight="1">
      <c r="C31" s="508" t="s">
        <v>1019</v>
      </c>
      <c r="D31" s="509"/>
      <c r="E31" s="509"/>
      <c r="F31" s="509">
        <v>85921</v>
      </c>
      <c r="G31" s="509"/>
      <c r="H31" s="531"/>
      <c r="I31" s="531"/>
      <c r="J31" s="531"/>
      <c r="K31" s="531"/>
      <c r="L31" s="531"/>
      <c r="M31" s="531"/>
      <c r="N31" s="531"/>
      <c r="O31" s="531"/>
      <c r="P31" s="511">
        <f t="shared" si="0"/>
        <v>0</v>
      </c>
      <c r="Q31" s="511">
        <f t="shared" si="1"/>
        <v>0</v>
      </c>
      <c r="R31" s="637">
        <f t="shared" si="2"/>
        <v>85921</v>
      </c>
      <c r="S31" s="507"/>
      <c r="T31" s="507"/>
      <c r="U31" s="507"/>
      <c r="V31" s="507"/>
      <c r="W31" s="507"/>
      <c r="X31" s="507"/>
      <c r="Y31" s="507"/>
      <c r="Z31" s="507"/>
    </row>
    <row r="32" spans="3:26" s="512" customFormat="1" ht="19.5" customHeight="1">
      <c r="C32" s="508" t="s">
        <v>1029</v>
      </c>
      <c r="D32" s="509"/>
      <c r="E32" s="509"/>
      <c r="F32" s="509">
        <v>2715000</v>
      </c>
      <c r="G32" s="509"/>
      <c r="H32" s="531"/>
      <c r="I32" s="531"/>
      <c r="J32" s="531"/>
      <c r="K32" s="531"/>
      <c r="L32" s="531"/>
      <c r="M32" s="531"/>
      <c r="N32" s="531"/>
      <c r="O32" s="531"/>
      <c r="P32" s="511">
        <f t="shared" si="0"/>
        <v>0</v>
      </c>
      <c r="Q32" s="511">
        <f t="shared" si="1"/>
        <v>0</v>
      </c>
      <c r="R32" s="637">
        <f t="shared" si="2"/>
        <v>2715000</v>
      </c>
      <c r="S32" s="507"/>
      <c r="T32" s="507"/>
      <c r="U32" s="507"/>
      <c r="V32" s="507"/>
      <c r="W32" s="507"/>
      <c r="X32" s="507"/>
      <c r="Y32" s="507"/>
      <c r="Z32" s="507"/>
    </row>
    <row r="33" spans="3:26" s="512" customFormat="1" ht="19.5" customHeight="1">
      <c r="C33" s="508" t="s">
        <v>477</v>
      </c>
      <c r="D33" s="509">
        <v>1637807</v>
      </c>
      <c r="E33" s="509">
        <v>1660834</v>
      </c>
      <c r="F33" s="509">
        <v>1662027</v>
      </c>
      <c r="G33" s="509"/>
      <c r="H33" s="531"/>
      <c r="I33" s="531"/>
      <c r="J33" s="531"/>
      <c r="K33" s="531"/>
      <c r="L33" s="531"/>
      <c r="M33" s="531"/>
      <c r="N33" s="531"/>
      <c r="O33" s="531"/>
      <c r="P33" s="511">
        <f t="shared" si="0"/>
        <v>1637807</v>
      </c>
      <c r="Q33" s="511">
        <f t="shared" si="1"/>
        <v>1660834</v>
      </c>
      <c r="R33" s="637">
        <f t="shared" si="2"/>
        <v>1662027</v>
      </c>
      <c r="S33" s="507"/>
      <c r="T33" s="507"/>
      <c r="U33" s="507"/>
      <c r="V33" s="507"/>
      <c r="W33" s="507"/>
      <c r="X33" s="507"/>
      <c r="Y33" s="507"/>
      <c r="Z33" s="507"/>
    </row>
    <row r="34" spans="3:26" s="512" customFormat="1" ht="19.5" customHeight="1">
      <c r="C34" s="508" t="s">
        <v>72</v>
      </c>
      <c r="D34" s="509">
        <f>SUM(D29:D33)</f>
        <v>1814115</v>
      </c>
      <c r="E34" s="509">
        <f>SUM(E29:E33)</f>
        <v>1754689</v>
      </c>
      <c r="F34" s="509">
        <f>SUM(F29:F33)</f>
        <v>4556803</v>
      </c>
      <c r="G34" s="509">
        <f aca="true" t="shared" si="8" ref="G34:O34">SUM(G29:G33)</f>
        <v>0</v>
      </c>
      <c r="H34" s="509">
        <f>SUM(H29:H33)</f>
        <v>0</v>
      </c>
      <c r="I34" s="509">
        <f t="shared" si="8"/>
        <v>0</v>
      </c>
      <c r="J34" s="509">
        <f t="shared" si="8"/>
        <v>0</v>
      </c>
      <c r="K34" s="509">
        <f>SUM(K29:K33)</f>
        <v>0</v>
      </c>
      <c r="L34" s="509">
        <f t="shared" si="8"/>
        <v>0</v>
      </c>
      <c r="M34" s="509">
        <f t="shared" si="8"/>
        <v>0</v>
      </c>
      <c r="N34" s="509">
        <f>SUM(N29:N33)</f>
        <v>0</v>
      </c>
      <c r="O34" s="509">
        <f t="shared" si="8"/>
        <v>0</v>
      </c>
      <c r="P34" s="511">
        <f t="shared" si="0"/>
        <v>1814115</v>
      </c>
      <c r="Q34" s="511">
        <f t="shared" si="1"/>
        <v>1754689</v>
      </c>
      <c r="R34" s="637">
        <f t="shared" si="2"/>
        <v>4556803</v>
      </c>
      <c r="S34" s="507"/>
      <c r="T34" s="507"/>
      <c r="U34" s="507"/>
      <c r="V34" s="507"/>
      <c r="W34" s="507"/>
      <c r="X34" s="507"/>
      <c r="Y34" s="507"/>
      <c r="Z34" s="507"/>
    </row>
    <row r="35" spans="3:26" s="512" customFormat="1" ht="19.5" customHeight="1" thickBot="1">
      <c r="C35" s="532" t="s">
        <v>73</v>
      </c>
      <c r="D35" s="533">
        <f aca="true" t="shared" si="9" ref="D35:O35">SUM(D28,D34)</f>
        <v>8092646</v>
      </c>
      <c r="E35" s="533">
        <f>SUM(E28,E34)</f>
        <v>8293386</v>
      </c>
      <c r="F35" s="533">
        <f t="shared" si="9"/>
        <v>10240715</v>
      </c>
      <c r="G35" s="533">
        <f t="shared" si="9"/>
        <v>732559</v>
      </c>
      <c r="H35" s="533">
        <f>SUM(H28,H34)</f>
        <v>762987</v>
      </c>
      <c r="I35" s="533">
        <f t="shared" si="9"/>
        <v>774420</v>
      </c>
      <c r="J35" s="533">
        <f t="shared" si="9"/>
        <v>1067351</v>
      </c>
      <c r="K35" s="533">
        <f>SUM(K28,K34)</f>
        <v>1176888</v>
      </c>
      <c r="L35" s="533">
        <f t="shared" si="9"/>
        <v>1181364</v>
      </c>
      <c r="M35" s="533">
        <f t="shared" si="9"/>
        <v>187744</v>
      </c>
      <c r="N35" s="533">
        <f>SUM(N28,N34)</f>
        <v>244946</v>
      </c>
      <c r="O35" s="533">
        <f t="shared" si="9"/>
        <v>253193</v>
      </c>
      <c r="P35" s="534">
        <f t="shared" si="0"/>
        <v>10080300</v>
      </c>
      <c r="Q35" s="534">
        <f t="shared" si="1"/>
        <v>10478207</v>
      </c>
      <c r="R35" s="638">
        <f t="shared" si="2"/>
        <v>12449692</v>
      </c>
      <c r="S35" s="507"/>
      <c r="T35" s="507"/>
      <c r="U35" s="507"/>
      <c r="V35" s="507"/>
      <c r="W35" s="507"/>
      <c r="X35" s="507"/>
      <c r="Y35" s="507"/>
      <c r="Z35" s="507"/>
    </row>
    <row r="36" s="495" customFormat="1" ht="19.5" customHeight="1"/>
    <row r="37" s="495" customFormat="1" ht="19.5" customHeight="1">
      <c r="C37" s="242" t="s">
        <v>1137</v>
      </c>
    </row>
    <row r="38" spans="3:26" ht="19.5" customHeight="1">
      <c r="C38" s="1" t="s">
        <v>1136</v>
      </c>
      <c r="D38" s="495"/>
      <c r="E38" s="495"/>
      <c r="F38" s="495"/>
      <c r="G38" s="495"/>
      <c r="H38" s="495"/>
      <c r="I38" s="495"/>
      <c r="J38" s="495"/>
      <c r="K38" s="495"/>
      <c r="L38" s="495"/>
      <c r="M38" s="495"/>
      <c r="N38" s="495"/>
      <c r="O38" s="495"/>
      <c r="P38" s="495"/>
      <c r="Q38" s="495"/>
      <c r="R38" s="495"/>
      <c r="S38" s="495"/>
      <c r="T38" s="495"/>
      <c r="U38" s="495"/>
      <c r="V38" s="495"/>
      <c r="W38" s="495"/>
      <c r="X38" s="495"/>
      <c r="Y38" s="495"/>
      <c r="Z38" s="495"/>
    </row>
    <row r="39" spans="3:26" ht="19.5" customHeight="1">
      <c r="C39" s="1" t="s">
        <v>1135</v>
      </c>
      <c r="D39" s="495"/>
      <c r="E39" s="495"/>
      <c r="F39" s="495"/>
      <c r="G39" s="495"/>
      <c r="H39" s="495"/>
      <c r="I39" s="495"/>
      <c r="J39" s="495"/>
      <c r="K39" s="495"/>
      <c r="L39" s="495"/>
      <c r="M39" s="495"/>
      <c r="N39" s="495"/>
      <c r="O39" s="495"/>
      <c r="P39" s="495"/>
      <c r="Q39" s="495"/>
      <c r="R39" s="495"/>
      <c r="S39" s="495"/>
      <c r="T39" s="495"/>
      <c r="U39" s="495"/>
      <c r="V39" s="495"/>
      <c r="W39" s="495"/>
      <c r="X39" s="495"/>
      <c r="Y39" s="495"/>
      <c r="Z39" s="495"/>
    </row>
    <row r="40" spans="3:26" ht="19.5" customHeight="1">
      <c r="C40" s="1" t="s">
        <v>1130</v>
      </c>
      <c r="D40" s="495"/>
      <c r="E40" s="495"/>
      <c r="F40" s="495"/>
      <c r="G40" s="495"/>
      <c r="H40" s="495"/>
      <c r="I40" s="495"/>
      <c r="J40" s="495"/>
      <c r="K40" s="495"/>
      <c r="L40" s="495"/>
      <c r="M40" s="495"/>
      <c r="N40" s="495"/>
      <c r="O40" s="495"/>
      <c r="P40" s="495"/>
      <c r="Q40" s="495"/>
      <c r="R40" s="495"/>
      <c r="S40" s="495"/>
      <c r="T40" s="495"/>
      <c r="U40" s="495"/>
      <c r="V40" s="495"/>
      <c r="W40" s="495"/>
      <c r="X40" s="495"/>
      <c r="Y40" s="495"/>
      <c r="Z40" s="495"/>
    </row>
    <row r="41" spans="3:26" ht="25.5" customHeight="1">
      <c r="C41" s="495"/>
      <c r="D41" s="495"/>
      <c r="E41" s="495"/>
      <c r="F41" s="495"/>
      <c r="G41" s="495"/>
      <c r="H41" s="495"/>
      <c r="I41" s="495"/>
      <c r="J41" s="495"/>
      <c r="K41" s="495"/>
      <c r="L41" s="495"/>
      <c r="M41" s="495"/>
      <c r="N41" s="495"/>
      <c r="O41" s="495"/>
      <c r="P41" s="495"/>
      <c r="Q41" s="495"/>
      <c r="R41" s="495"/>
      <c r="S41" s="495"/>
      <c r="T41" s="495"/>
      <c r="U41" s="495"/>
      <c r="V41" s="495"/>
      <c r="W41" s="495"/>
      <c r="X41" s="495"/>
      <c r="Y41" s="495"/>
      <c r="Z41" s="495"/>
    </row>
    <row r="42" spans="3:26" ht="25.5" customHeight="1">
      <c r="C42" s="495"/>
      <c r="D42" s="495"/>
      <c r="E42" s="495"/>
      <c r="F42" s="495"/>
      <c r="G42" s="495"/>
      <c r="H42" s="495"/>
      <c r="I42" s="495"/>
      <c r="J42" s="495"/>
      <c r="K42" s="495"/>
      <c r="L42" s="495"/>
      <c r="M42" s="495"/>
      <c r="N42" s="495"/>
      <c r="O42" s="495"/>
      <c r="P42" s="495"/>
      <c r="Q42" s="495"/>
      <c r="R42" s="495"/>
      <c r="S42" s="495"/>
      <c r="T42" s="495"/>
      <c r="U42" s="495"/>
      <c r="V42" s="495"/>
      <c r="W42" s="495"/>
      <c r="X42" s="495"/>
      <c r="Y42" s="495"/>
      <c r="Z42" s="495"/>
    </row>
    <row r="43" spans="3:26" ht="25.5" customHeight="1">
      <c r="C43" s="495"/>
      <c r="D43" s="495"/>
      <c r="E43" s="495"/>
      <c r="F43" s="495"/>
      <c r="G43" s="495"/>
      <c r="H43" s="495"/>
      <c r="I43" s="495"/>
      <c r="J43" s="495"/>
      <c r="K43" s="495"/>
      <c r="L43" s="495"/>
      <c r="M43" s="495"/>
      <c r="N43" s="495"/>
      <c r="O43" s="495"/>
      <c r="P43" s="495"/>
      <c r="Q43" s="495"/>
      <c r="R43" s="495"/>
      <c r="S43" s="495"/>
      <c r="T43" s="495"/>
      <c r="U43" s="495"/>
      <c r="V43" s="495"/>
      <c r="W43" s="495"/>
      <c r="X43" s="495"/>
      <c r="Y43" s="495"/>
      <c r="Z43" s="495"/>
    </row>
    <row r="44" spans="3:26" ht="25.5" customHeight="1">
      <c r="C44" s="495"/>
      <c r="D44" s="495"/>
      <c r="E44" s="495"/>
      <c r="F44" s="495"/>
      <c r="G44" s="495"/>
      <c r="H44" s="495"/>
      <c r="I44" s="495"/>
      <c r="J44" s="495"/>
      <c r="K44" s="495"/>
      <c r="L44" s="495"/>
      <c r="M44" s="495"/>
      <c r="N44" s="495"/>
      <c r="O44" s="495"/>
      <c r="P44" s="495"/>
      <c r="Q44" s="495"/>
      <c r="R44" s="495"/>
      <c r="S44" s="495"/>
      <c r="T44" s="495"/>
      <c r="U44" s="495"/>
      <c r="V44" s="495"/>
      <c r="W44" s="495"/>
      <c r="X44" s="495"/>
      <c r="Y44" s="495"/>
      <c r="Z44" s="495"/>
    </row>
    <row r="45" spans="3:26" ht="25.5" customHeight="1">
      <c r="C45" s="495"/>
      <c r="D45" s="495"/>
      <c r="E45" s="495"/>
      <c r="F45" s="495"/>
      <c r="G45" s="495"/>
      <c r="H45" s="495"/>
      <c r="I45" s="495"/>
      <c r="J45" s="495"/>
      <c r="K45" s="495"/>
      <c r="L45" s="495"/>
      <c r="M45" s="495"/>
      <c r="N45" s="495"/>
      <c r="O45" s="495"/>
      <c r="P45" s="495"/>
      <c r="Q45" s="495"/>
      <c r="R45" s="495"/>
      <c r="S45" s="495"/>
      <c r="T45" s="495"/>
      <c r="U45" s="495"/>
      <c r="V45" s="495"/>
      <c r="W45" s="495"/>
      <c r="X45" s="495"/>
      <c r="Y45" s="495"/>
      <c r="Z45" s="495"/>
    </row>
    <row r="46" spans="3:26" ht="25.5" customHeight="1">
      <c r="C46" s="495"/>
      <c r="D46" s="495"/>
      <c r="E46" s="495"/>
      <c r="F46" s="495"/>
      <c r="G46" s="495"/>
      <c r="H46" s="495"/>
      <c r="I46" s="495"/>
      <c r="J46" s="495"/>
      <c r="K46" s="495"/>
      <c r="L46" s="495"/>
      <c r="M46" s="495"/>
      <c r="N46" s="495"/>
      <c r="O46" s="495"/>
      <c r="P46" s="495"/>
      <c r="Q46" s="495"/>
      <c r="R46" s="495"/>
      <c r="S46" s="495"/>
      <c r="T46" s="495"/>
      <c r="U46" s="495"/>
      <c r="V46" s="495"/>
      <c r="W46" s="495"/>
      <c r="X46" s="495"/>
      <c r="Y46" s="495"/>
      <c r="Z46" s="495"/>
    </row>
    <row r="47" spans="3:26" ht="25.5" customHeight="1">
      <c r="C47" s="495"/>
      <c r="D47" s="495"/>
      <c r="E47" s="495"/>
      <c r="F47" s="495"/>
      <c r="G47" s="495"/>
      <c r="H47" s="495"/>
      <c r="I47" s="495"/>
      <c r="J47" s="495"/>
      <c r="K47" s="495"/>
      <c r="L47" s="495"/>
      <c r="M47" s="495"/>
      <c r="N47" s="495"/>
      <c r="O47" s="495"/>
      <c r="P47" s="495"/>
      <c r="Q47" s="495"/>
      <c r="R47" s="495"/>
      <c r="S47" s="495"/>
      <c r="T47" s="495"/>
      <c r="U47" s="495"/>
      <c r="V47" s="495"/>
      <c r="W47" s="495"/>
      <c r="X47" s="495"/>
      <c r="Y47" s="495"/>
      <c r="Z47" s="495"/>
    </row>
    <row r="48" spans="3:26" ht="25.5" customHeight="1">
      <c r="C48" s="495"/>
      <c r="D48" s="495"/>
      <c r="E48" s="495"/>
      <c r="F48" s="495"/>
      <c r="G48" s="495"/>
      <c r="H48" s="495"/>
      <c r="I48" s="495"/>
      <c r="J48" s="495"/>
      <c r="K48" s="495"/>
      <c r="L48" s="495"/>
      <c r="M48" s="495"/>
      <c r="N48" s="495"/>
      <c r="O48" s="495"/>
      <c r="P48" s="495"/>
      <c r="Q48" s="495"/>
      <c r="R48" s="495"/>
      <c r="S48" s="495"/>
      <c r="T48" s="495"/>
      <c r="U48" s="495"/>
      <c r="V48" s="495"/>
      <c r="W48" s="495"/>
      <c r="X48" s="495"/>
      <c r="Y48" s="495"/>
      <c r="Z48" s="495"/>
    </row>
    <row r="49" spans="3:26" ht="25.5" customHeight="1">
      <c r="C49" s="495"/>
      <c r="D49" s="495"/>
      <c r="E49" s="495"/>
      <c r="F49" s="495"/>
      <c r="G49" s="495"/>
      <c r="H49" s="495"/>
      <c r="I49" s="495"/>
      <c r="J49" s="495"/>
      <c r="K49" s="495"/>
      <c r="L49" s="495"/>
      <c r="M49" s="495"/>
      <c r="N49" s="495"/>
      <c r="O49" s="495"/>
      <c r="P49" s="495"/>
      <c r="Q49" s="495"/>
      <c r="R49" s="495"/>
      <c r="S49" s="495"/>
      <c r="T49" s="495"/>
      <c r="U49" s="495"/>
      <c r="V49" s="495"/>
      <c r="W49" s="495"/>
      <c r="X49" s="495"/>
      <c r="Y49" s="495"/>
      <c r="Z49" s="495"/>
    </row>
    <row r="50" spans="3:26" ht="25.5" customHeight="1">
      <c r="C50" s="495"/>
      <c r="D50" s="495"/>
      <c r="E50" s="495"/>
      <c r="F50" s="495"/>
      <c r="G50" s="495"/>
      <c r="H50" s="495"/>
      <c r="I50" s="495"/>
      <c r="J50" s="495"/>
      <c r="K50" s="495"/>
      <c r="L50" s="495"/>
      <c r="M50" s="495"/>
      <c r="N50" s="495"/>
      <c r="O50" s="495"/>
      <c r="P50" s="495"/>
      <c r="Q50" s="495"/>
      <c r="R50" s="495"/>
      <c r="S50" s="495"/>
      <c r="T50" s="495"/>
      <c r="U50" s="495"/>
      <c r="V50" s="495"/>
      <c r="W50" s="495"/>
      <c r="X50" s="495"/>
      <c r="Y50" s="495"/>
      <c r="Z50" s="495"/>
    </row>
    <row r="51" spans="3:26" ht="25.5" customHeight="1">
      <c r="C51" s="495"/>
      <c r="D51" s="495"/>
      <c r="E51" s="495"/>
      <c r="F51" s="495"/>
      <c r="G51" s="495"/>
      <c r="H51" s="495"/>
      <c r="I51" s="495"/>
      <c r="J51" s="495"/>
      <c r="K51" s="495"/>
      <c r="L51" s="495"/>
      <c r="M51" s="495"/>
      <c r="N51" s="495"/>
      <c r="O51" s="495"/>
      <c r="P51" s="495"/>
      <c r="Q51" s="495"/>
      <c r="R51" s="495"/>
      <c r="S51" s="495"/>
      <c r="T51" s="495"/>
      <c r="U51" s="495"/>
      <c r="V51" s="495"/>
      <c r="W51" s="495"/>
      <c r="X51" s="495"/>
      <c r="Y51" s="495"/>
      <c r="Z51" s="495"/>
    </row>
    <row r="52" spans="3:26" ht="25.5" customHeight="1">
      <c r="C52" s="495"/>
      <c r="D52" s="495"/>
      <c r="E52" s="495"/>
      <c r="F52" s="495"/>
      <c r="G52" s="495"/>
      <c r="H52" s="495"/>
      <c r="I52" s="495"/>
      <c r="J52" s="495"/>
      <c r="K52" s="495"/>
      <c r="L52" s="495"/>
      <c r="M52" s="495"/>
      <c r="N52" s="495"/>
      <c r="O52" s="495"/>
      <c r="P52" s="495"/>
      <c r="Q52" s="495"/>
      <c r="R52" s="495"/>
      <c r="S52" s="495"/>
      <c r="T52" s="495"/>
      <c r="U52" s="495"/>
      <c r="V52" s="495"/>
      <c r="W52" s="495"/>
      <c r="X52" s="495"/>
      <c r="Y52" s="495"/>
      <c r="Z52" s="495"/>
    </row>
    <row r="53" spans="3:26" ht="25.5" customHeight="1">
      <c r="C53" s="495"/>
      <c r="D53" s="495"/>
      <c r="E53" s="495"/>
      <c r="F53" s="495"/>
      <c r="G53" s="495"/>
      <c r="H53" s="495"/>
      <c r="I53" s="495"/>
      <c r="J53" s="495"/>
      <c r="K53" s="495"/>
      <c r="L53" s="495"/>
      <c r="M53" s="495"/>
      <c r="N53" s="495"/>
      <c r="O53" s="495"/>
      <c r="P53" s="495"/>
      <c r="Q53" s="495"/>
      <c r="R53" s="495"/>
      <c r="S53" s="495"/>
      <c r="T53" s="495"/>
      <c r="U53" s="495"/>
      <c r="V53" s="495"/>
      <c r="W53" s="495"/>
      <c r="X53" s="495"/>
      <c r="Y53" s="495"/>
      <c r="Z53" s="495"/>
    </row>
    <row r="54" spans="3:26" ht="25.5" customHeight="1">
      <c r="C54" s="495"/>
      <c r="D54" s="495"/>
      <c r="E54" s="495"/>
      <c r="F54" s="495"/>
      <c r="G54" s="495"/>
      <c r="H54" s="495"/>
      <c r="I54" s="495"/>
      <c r="J54" s="495"/>
      <c r="K54" s="495"/>
      <c r="L54" s="495"/>
      <c r="M54" s="495"/>
      <c r="N54" s="495"/>
      <c r="O54" s="495"/>
      <c r="P54" s="495"/>
      <c r="Q54" s="495"/>
      <c r="R54" s="495"/>
      <c r="S54" s="495"/>
      <c r="T54" s="495"/>
      <c r="U54" s="495"/>
      <c r="V54" s="495"/>
      <c r="W54" s="495"/>
      <c r="X54" s="495"/>
      <c r="Y54" s="495"/>
      <c r="Z54" s="495"/>
    </row>
    <row r="55" spans="3:26" ht="25.5" customHeight="1">
      <c r="C55" s="495"/>
      <c r="D55" s="495"/>
      <c r="E55" s="495"/>
      <c r="F55" s="495"/>
      <c r="G55" s="495"/>
      <c r="H55" s="495"/>
      <c r="I55" s="495"/>
      <c r="J55" s="495"/>
      <c r="K55" s="495"/>
      <c r="L55" s="495"/>
      <c r="M55" s="495"/>
      <c r="N55" s="495"/>
      <c r="O55" s="495"/>
      <c r="P55" s="495"/>
      <c r="Q55" s="495"/>
      <c r="R55" s="495"/>
      <c r="S55" s="495"/>
      <c r="T55" s="495"/>
      <c r="U55" s="495"/>
      <c r="V55" s="495"/>
      <c r="W55" s="495"/>
      <c r="X55" s="495"/>
      <c r="Y55" s="495"/>
      <c r="Z55" s="495"/>
    </row>
    <row r="56" spans="3:26" ht="25.5" customHeight="1">
      <c r="C56" s="495"/>
      <c r="D56" s="495"/>
      <c r="E56" s="495"/>
      <c r="F56" s="495"/>
      <c r="G56" s="495"/>
      <c r="H56" s="495"/>
      <c r="I56" s="495"/>
      <c r="J56" s="495"/>
      <c r="K56" s="495"/>
      <c r="L56" s="495"/>
      <c r="M56" s="495"/>
      <c r="N56" s="495"/>
      <c r="O56" s="495"/>
      <c r="P56" s="495"/>
      <c r="Q56" s="495"/>
      <c r="R56" s="495"/>
      <c r="S56" s="495"/>
      <c r="T56" s="495"/>
      <c r="U56" s="495"/>
      <c r="V56" s="495"/>
      <c r="W56" s="495"/>
      <c r="X56" s="495"/>
      <c r="Y56" s="495"/>
      <c r="Z56" s="495"/>
    </row>
    <row r="57" spans="3:26" ht="25.5" customHeight="1">
      <c r="C57" s="495"/>
      <c r="D57" s="495"/>
      <c r="E57" s="495"/>
      <c r="F57" s="495"/>
      <c r="G57" s="495"/>
      <c r="H57" s="495"/>
      <c r="I57" s="495"/>
      <c r="J57" s="495"/>
      <c r="K57" s="495"/>
      <c r="L57" s="495"/>
      <c r="M57" s="495"/>
      <c r="N57" s="495"/>
      <c r="O57" s="495"/>
      <c r="P57" s="495"/>
      <c r="Q57" s="495"/>
      <c r="R57" s="495"/>
      <c r="S57" s="495"/>
      <c r="T57" s="495"/>
      <c r="U57" s="495"/>
      <c r="V57" s="495"/>
      <c r="W57" s="495"/>
      <c r="X57" s="495"/>
      <c r="Y57" s="495"/>
      <c r="Z57" s="495"/>
    </row>
    <row r="58" spans="3:26" ht="25.5" customHeight="1">
      <c r="C58" s="495"/>
      <c r="D58" s="495"/>
      <c r="E58" s="495"/>
      <c r="F58" s="495"/>
      <c r="G58" s="495"/>
      <c r="H58" s="495"/>
      <c r="I58" s="495"/>
      <c r="J58" s="495"/>
      <c r="K58" s="495"/>
      <c r="L58" s="495"/>
      <c r="M58" s="495"/>
      <c r="N58" s="495"/>
      <c r="O58" s="495"/>
      <c r="P58" s="495"/>
      <c r="Q58" s="495"/>
      <c r="R58" s="495"/>
      <c r="S58" s="495"/>
      <c r="T58" s="495"/>
      <c r="U58" s="495"/>
      <c r="V58" s="495"/>
      <c r="W58" s="495"/>
      <c r="X58" s="495"/>
      <c r="Y58" s="495"/>
      <c r="Z58" s="495"/>
    </row>
    <row r="59" spans="3:26" ht="25.5" customHeight="1">
      <c r="C59" s="495"/>
      <c r="D59" s="495"/>
      <c r="E59" s="495"/>
      <c r="F59" s="495"/>
      <c r="G59" s="495"/>
      <c r="H59" s="495"/>
      <c r="I59" s="495"/>
      <c r="J59" s="495"/>
      <c r="K59" s="495"/>
      <c r="L59" s="495"/>
      <c r="M59" s="495"/>
      <c r="N59" s="495"/>
      <c r="O59" s="495"/>
      <c r="P59" s="495"/>
      <c r="Q59" s="495"/>
      <c r="R59" s="495"/>
      <c r="S59" s="495"/>
      <c r="T59" s="495"/>
      <c r="U59" s="495"/>
      <c r="V59" s="495"/>
      <c r="W59" s="495"/>
      <c r="X59" s="495"/>
      <c r="Y59" s="495"/>
      <c r="Z59" s="495"/>
    </row>
    <row r="60" spans="3:26" ht="25.5" customHeight="1">
      <c r="C60" s="495"/>
      <c r="D60" s="495"/>
      <c r="E60" s="495"/>
      <c r="F60" s="495"/>
      <c r="G60" s="495"/>
      <c r="H60" s="495"/>
      <c r="I60" s="495"/>
      <c r="J60" s="495"/>
      <c r="K60" s="495"/>
      <c r="L60" s="495"/>
      <c r="M60" s="495"/>
      <c r="N60" s="495"/>
      <c r="O60" s="495"/>
      <c r="P60" s="495"/>
      <c r="Q60" s="495"/>
      <c r="R60" s="495"/>
      <c r="S60" s="495"/>
      <c r="T60" s="495"/>
      <c r="U60" s="495"/>
      <c r="V60" s="495"/>
      <c r="W60" s="495"/>
      <c r="X60" s="495"/>
      <c r="Y60" s="495"/>
      <c r="Z60" s="495"/>
    </row>
    <row r="61" spans="3:26" ht="25.5" customHeight="1">
      <c r="C61" s="495"/>
      <c r="D61" s="495"/>
      <c r="E61" s="495"/>
      <c r="F61" s="495"/>
      <c r="G61" s="495"/>
      <c r="H61" s="495"/>
      <c r="I61" s="495"/>
      <c r="J61" s="495"/>
      <c r="K61" s="495"/>
      <c r="L61" s="495"/>
      <c r="M61" s="495"/>
      <c r="N61" s="495"/>
      <c r="O61" s="495"/>
      <c r="P61" s="495"/>
      <c r="Q61" s="495"/>
      <c r="R61" s="495"/>
      <c r="S61" s="495"/>
      <c r="T61" s="495"/>
      <c r="U61" s="495"/>
      <c r="V61" s="495"/>
      <c r="W61" s="495"/>
      <c r="X61" s="495"/>
      <c r="Y61" s="495"/>
      <c r="Z61" s="495"/>
    </row>
    <row r="62" spans="3:15" ht="25.5" customHeight="1">
      <c r="C62" s="495"/>
      <c r="D62" s="495"/>
      <c r="E62" s="495"/>
      <c r="F62" s="495"/>
      <c r="G62" s="495"/>
      <c r="H62" s="495"/>
      <c r="I62" s="495"/>
      <c r="J62" s="495"/>
      <c r="K62" s="495"/>
      <c r="L62" s="495"/>
      <c r="M62" s="495"/>
      <c r="N62" s="495"/>
      <c r="O62" s="495"/>
    </row>
    <row r="63" spans="3:15" ht="25.5" customHeight="1">
      <c r="C63" s="495"/>
      <c r="D63" s="495"/>
      <c r="E63" s="495"/>
      <c r="F63" s="495"/>
      <c r="G63" s="495"/>
      <c r="H63" s="495"/>
      <c r="I63" s="495"/>
      <c r="J63" s="495"/>
      <c r="K63" s="495"/>
      <c r="L63" s="495"/>
      <c r="M63" s="495"/>
      <c r="N63" s="495"/>
      <c r="O63" s="495"/>
    </row>
    <row r="64" spans="3:15" ht="25.5" customHeight="1">
      <c r="C64" s="495"/>
      <c r="D64" s="495"/>
      <c r="E64" s="495"/>
      <c r="F64" s="495"/>
      <c r="G64" s="495"/>
      <c r="H64" s="495"/>
      <c r="I64" s="495"/>
      <c r="J64" s="495"/>
      <c r="K64" s="495"/>
      <c r="L64" s="495"/>
      <c r="M64" s="495"/>
      <c r="N64" s="495"/>
      <c r="O64" s="495"/>
    </row>
    <row r="65" spans="3:15" ht="25.5" customHeight="1">
      <c r="C65" s="495"/>
      <c r="D65" s="495"/>
      <c r="E65" s="495"/>
      <c r="F65" s="495"/>
      <c r="G65" s="495"/>
      <c r="H65" s="495"/>
      <c r="I65" s="495"/>
      <c r="J65" s="495"/>
      <c r="K65" s="495"/>
      <c r="L65" s="495"/>
      <c r="M65" s="495"/>
      <c r="N65" s="495"/>
      <c r="O65" s="495"/>
    </row>
    <row r="66" spans="3:15" ht="25.5" customHeight="1">
      <c r="C66" s="495"/>
      <c r="D66" s="495"/>
      <c r="E66" s="495"/>
      <c r="F66" s="495"/>
      <c r="G66" s="495"/>
      <c r="H66" s="495"/>
      <c r="I66" s="495"/>
      <c r="J66" s="495"/>
      <c r="K66" s="495"/>
      <c r="L66" s="495"/>
      <c r="M66" s="495"/>
      <c r="N66" s="495"/>
      <c r="O66" s="495"/>
    </row>
    <row r="67" spans="3:15" ht="25.5" customHeight="1">
      <c r="C67" s="495"/>
      <c r="D67" s="495"/>
      <c r="E67" s="495"/>
      <c r="F67" s="495"/>
      <c r="G67" s="495"/>
      <c r="H67" s="495"/>
      <c r="I67" s="495"/>
      <c r="J67" s="495"/>
      <c r="K67" s="495"/>
      <c r="L67" s="495"/>
      <c r="M67" s="495"/>
      <c r="N67" s="495"/>
      <c r="O67" s="495"/>
    </row>
    <row r="68" spans="3:15" ht="25.5" customHeight="1">
      <c r="C68" s="495"/>
      <c r="D68" s="495"/>
      <c r="E68" s="495"/>
      <c r="F68" s="495"/>
      <c r="G68" s="495"/>
      <c r="H68" s="495"/>
      <c r="I68" s="495"/>
      <c r="J68" s="495"/>
      <c r="K68" s="495"/>
      <c r="L68" s="495"/>
      <c r="M68" s="495"/>
      <c r="N68" s="495"/>
      <c r="O68" s="495"/>
    </row>
    <row r="69" spans="3:15" ht="25.5" customHeight="1">
      <c r="C69" s="495"/>
      <c r="D69" s="495"/>
      <c r="E69" s="495"/>
      <c r="F69" s="495"/>
      <c r="G69" s="495"/>
      <c r="H69" s="495"/>
      <c r="I69" s="495"/>
      <c r="J69" s="495"/>
      <c r="K69" s="495"/>
      <c r="L69" s="495"/>
      <c r="M69" s="495"/>
      <c r="N69" s="495"/>
      <c r="O69" s="495"/>
    </row>
    <row r="70" spans="3:15" ht="25.5" customHeight="1">
      <c r="C70" s="495"/>
      <c r="D70" s="495"/>
      <c r="E70" s="495"/>
      <c r="F70" s="495"/>
      <c r="G70" s="495"/>
      <c r="H70" s="495"/>
      <c r="I70" s="495"/>
      <c r="J70" s="495"/>
      <c r="K70" s="495"/>
      <c r="L70" s="495"/>
      <c r="M70" s="495"/>
      <c r="N70" s="495"/>
      <c r="O70" s="495"/>
    </row>
    <row r="71" spans="3:15" ht="25.5" customHeight="1">
      <c r="C71" s="495"/>
      <c r="D71" s="495"/>
      <c r="E71" s="495"/>
      <c r="F71" s="495"/>
      <c r="G71" s="495"/>
      <c r="H71" s="495"/>
      <c r="I71" s="495"/>
      <c r="J71" s="495"/>
      <c r="K71" s="495"/>
      <c r="L71" s="495"/>
      <c r="M71" s="495"/>
      <c r="N71" s="495"/>
      <c r="O71" s="495"/>
    </row>
    <row r="72" spans="3:15" ht="25.5" customHeight="1">
      <c r="C72" s="495"/>
      <c r="D72" s="495"/>
      <c r="E72" s="495"/>
      <c r="F72" s="495"/>
      <c r="G72" s="495"/>
      <c r="H72" s="495"/>
      <c r="I72" s="495"/>
      <c r="J72" s="495"/>
      <c r="K72" s="495"/>
      <c r="L72" s="495"/>
      <c r="M72" s="495"/>
      <c r="N72" s="495"/>
      <c r="O72" s="495"/>
    </row>
    <row r="73" spans="3:15" ht="25.5" customHeight="1">
      <c r="C73" s="495"/>
      <c r="D73" s="495"/>
      <c r="E73" s="495"/>
      <c r="F73" s="495"/>
      <c r="G73" s="495"/>
      <c r="H73" s="495"/>
      <c r="I73" s="495"/>
      <c r="J73" s="495"/>
      <c r="K73" s="495"/>
      <c r="L73" s="495"/>
      <c r="M73" s="495"/>
      <c r="N73" s="495"/>
      <c r="O73" s="495"/>
    </row>
    <row r="74" spans="3:15" ht="25.5" customHeight="1">
      <c r="C74" s="495"/>
      <c r="D74" s="495"/>
      <c r="E74" s="495"/>
      <c r="F74" s="495"/>
      <c r="G74" s="495"/>
      <c r="H74" s="495"/>
      <c r="I74" s="495"/>
      <c r="J74" s="495"/>
      <c r="K74" s="495"/>
      <c r="L74" s="495"/>
      <c r="M74" s="495"/>
      <c r="N74" s="495"/>
      <c r="O74" s="495"/>
    </row>
    <row r="75" spans="3:15" ht="25.5" customHeight="1">
      <c r="C75" s="495"/>
      <c r="D75" s="495"/>
      <c r="E75" s="495"/>
      <c r="F75" s="495"/>
      <c r="G75" s="495"/>
      <c r="H75" s="495"/>
      <c r="I75" s="495"/>
      <c r="J75" s="495"/>
      <c r="K75" s="495"/>
      <c r="L75" s="495"/>
      <c r="M75" s="495"/>
      <c r="N75" s="495"/>
      <c r="O75" s="495"/>
    </row>
    <row r="76" spans="3:15" ht="25.5" customHeight="1">
      <c r="C76" s="495"/>
      <c r="D76" s="495"/>
      <c r="E76" s="495"/>
      <c r="F76" s="495"/>
      <c r="G76" s="495"/>
      <c r="H76" s="495"/>
      <c r="I76" s="495"/>
      <c r="J76" s="495"/>
      <c r="K76" s="495"/>
      <c r="L76" s="495"/>
      <c r="M76" s="495"/>
      <c r="N76" s="495"/>
      <c r="O76" s="495"/>
    </row>
    <row r="77" spans="3:15" ht="25.5" customHeight="1">
      <c r="C77" s="495"/>
      <c r="D77" s="495"/>
      <c r="E77" s="495"/>
      <c r="F77" s="495"/>
      <c r="G77" s="495"/>
      <c r="H77" s="495"/>
      <c r="I77" s="495"/>
      <c r="J77" s="495"/>
      <c r="K77" s="495"/>
      <c r="L77" s="495"/>
      <c r="M77" s="495"/>
      <c r="N77" s="495"/>
      <c r="O77" s="495"/>
    </row>
    <row r="78" spans="3:15" ht="25.5" customHeight="1">
      <c r="C78" s="495"/>
      <c r="D78" s="495"/>
      <c r="E78" s="495"/>
      <c r="F78" s="495"/>
      <c r="G78" s="495"/>
      <c r="H78" s="495"/>
      <c r="I78" s="495"/>
      <c r="J78" s="495"/>
      <c r="K78" s="495"/>
      <c r="L78" s="495"/>
      <c r="M78" s="495"/>
      <c r="N78" s="495"/>
      <c r="O78" s="495"/>
    </row>
    <row r="79" spans="3:15" ht="25.5" customHeight="1">
      <c r="C79" s="495"/>
      <c r="D79" s="495"/>
      <c r="E79" s="495"/>
      <c r="F79" s="495"/>
      <c r="G79" s="495"/>
      <c r="H79" s="495"/>
      <c r="I79" s="495"/>
      <c r="J79" s="495"/>
      <c r="K79" s="495"/>
      <c r="L79" s="495"/>
      <c r="M79" s="495"/>
      <c r="N79" s="495"/>
      <c r="O79" s="495"/>
    </row>
    <row r="80" spans="3:15" ht="25.5" customHeight="1">
      <c r="C80" s="495"/>
      <c r="D80" s="495"/>
      <c r="E80" s="495"/>
      <c r="F80" s="495"/>
      <c r="G80" s="495"/>
      <c r="H80" s="495"/>
      <c r="I80" s="495"/>
      <c r="J80" s="495"/>
      <c r="K80" s="495"/>
      <c r="L80" s="495"/>
      <c r="M80" s="495"/>
      <c r="N80" s="495"/>
      <c r="O80" s="495"/>
    </row>
    <row r="81" spans="3:15" ht="25.5" customHeight="1">
      <c r="C81" s="495"/>
      <c r="D81" s="495"/>
      <c r="E81" s="495"/>
      <c r="F81" s="495"/>
      <c r="G81" s="495"/>
      <c r="H81" s="495"/>
      <c r="I81" s="495"/>
      <c r="J81" s="495"/>
      <c r="K81" s="495"/>
      <c r="L81" s="495"/>
      <c r="M81" s="495"/>
      <c r="N81" s="495"/>
      <c r="O81" s="495"/>
    </row>
    <row r="82" spans="3:15" ht="25.5" customHeight="1">
      <c r="C82" s="495"/>
      <c r="D82" s="495"/>
      <c r="E82" s="495"/>
      <c r="F82" s="495"/>
      <c r="G82" s="495"/>
      <c r="H82" s="495"/>
      <c r="I82" s="495"/>
      <c r="J82" s="495"/>
      <c r="K82" s="495"/>
      <c r="L82" s="495"/>
      <c r="M82" s="495"/>
      <c r="N82" s="495"/>
      <c r="O82" s="495"/>
    </row>
    <row r="83" spans="3:15" ht="25.5" customHeight="1">
      <c r="C83" s="495"/>
      <c r="D83" s="495"/>
      <c r="E83" s="495"/>
      <c r="F83" s="495"/>
      <c r="G83" s="495"/>
      <c r="H83" s="495"/>
      <c r="I83" s="495"/>
      <c r="J83" s="495"/>
      <c r="K83" s="495"/>
      <c r="L83" s="495"/>
      <c r="M83" s="495"/>
      <c r="N83" s="495"/>
      <c r="O83" s="495"/>
    </row>
    <row r="84" spans="3:15" ht="25.5" customHeight="1">
      <c r="C84" s="495"/>
      <c r="D84" s="495"/>
      <c r="E84" s="495"/>
      <c r="F84" s="495"/>
      <c r="G84" s="495"/>
      <c r="H84" s="495"/>
      <c r="I84" s="495"/>
      <c r="J84" s="495"/>
      <c r="K84" s="495"/>
      <c r="L84" s="495"/>
      <c r="M84" s="495"/>
      <c r="N84" s="495"/>
      <c r="O84" s="495"/>
    </row>
    <row r="85" spans="3:15" ht="25.5" customHeight="1">
      <c r="C85" s="495"/>
      <c r="D85" s="495"/>
      <c r="E85" s="495"/>
      <c r="F85" s="495"/>
      <c r="G85" s="495"/>
      <c r="H85" s="495"/>
      <c r="I85" s="495"/>
      <c r="J85" s="495"/>
      <c r="K85" s="495"/>
      <c r="L85" s="495"/>
      <c r="M85" s="495"/>
      <c r="N85" s="495"/>
      <c r="O85" s="495"/>
    </row>
    <row r="86" spans="3:15" ht="25.5" customHeight="1">
      <c r="C86" s="495"/>
      <c r="D86" s="495"/>
      <c r="E86" s="495"/>
      <c r="F86" s="495"/>
      <c r="G86" s="495"/>
      <c r="H86" s="495"/>
      <c r="I86" s="495"/>
      <c r="J86" s="495"/>
      <c r="K86" s="495"/>
      <c r="L86" s="495"/>
      <c r="M86" s="495"/>
      <c r="N86" s="495"/>
      <c r="O86" s="495"/>
    </row>
    <row r="87" spans="3:15" ht="25.5" customHeight="1">
      <c r="C87" s="495"/>
      <c r="D87" s="495"/>
      <c r="E87" s="495"/>
      <c r="F87" s="495"/>
      <c r="G87" s="495"/>
      <c r="H87" s="495"/>
      <c r="I87" s="495"/>
      <c r="J87" s="495"/>
      <c r="K87" s="495"/>
      <c r="L87" s="495"/>
      <c r="M87" s="495"/>
      <c r="N87" s="495"/>
      <c r="O87" s="495"/>
    </row>
    <row r="88" spans="3:15" ht="25.5" customHeight="1">
      <c r="C88" s="495"/>
      <c r="D88" s="495"/>
      <c r="E88" s="495"/>
      <c r="F88" s="495"/>
      <c r="G88" s="495"/>
      <c r="H88" s="495"/>
      <c r="I88" s="495"/>
      <c r="J88" s="495"/>
      <c r="K88" s="495"/>
      <c r="L88" s="495"/>
      <c r="M88" s="495"/>
      <c r="N88" s="495"/>
      <c r="O88" s="495"/>
    </row>
    <row r="89" spans="3:15" ht="25.5" customHeight="1">
      <c r="C89" s="495"/>
      <c r="D89" s="495"/>
      <c r="E89" s="495"/>
      <c r="F89" s="495"/>
      <c r="G89" s="495"/>
      <c r="H89" s="495"/>
      <c r="I89" s="495"/>
      <c r="J89" s="495"/>
      <c r="K89" s="495"/>
      <c r="L89" s="495"/>
      <c r="M89" s="495"/>
      <c r="N89" s="495"/>
      <c r="O89" s="495"/>
    </row>
    <row r="90" spans="3:15" ht="25.5" customHeight="1">
      <c r="C90" s="495"/>
      <c r="D90" s="495"/>
      <c r="E90" s="495"/>
      <c r="F90" s="495"/>
      <c r="G90" s="495"/>
      <c r="H90" s="495"/>
      <c r="I90" s="495"/>
      <c r="J90" s="495"/>
      <c r="K90" s="495"/>
      <c r="L90" s="495"/>
      <c r="M90" s="495"/>
      <c r="N90" s="495"/>
      <c r="O90" s="495"/>
    </row>
    <row r="91" spans="3:15" ht="25.5" customHeight="1">
      <c r="C91" s="495"/>
      <c r="D91" s="495"/>
      <c r="E91" s="495"/>
      <c r="F91" s="495"/>
      <c r="G91" s="495"/>
      <c r="H91" s="495"/>
      <c r="I91" s="495"/>
      <c r="J91" s="495"/>
      <c r="K91" s="495"/>
      <c r="L91" s="495"/>
      <c r="M91" s="495"/>
      <c r="N91" s="495"/>
      <c r="O91" s="495"/>
    </row>
    <row r="92" spans="3:15" ht="25.5" customHeight="1">
      <c r="C92" s="495"/>
      <c r="D92" s="495"/>
      <c r="E92" s="495"/>
      <c r="F92" s="495"/>
      <c r="G92" s="495"/>
      <c r="H92" s="495"/>
      <c r="I92" s="495"/>
      <c r="J92" s="495"/>
      <c r="K92" s="495"/>
      <c r="L92" s="495"/>
      <c r="M92" s="495"/>
      <c r="N92" s="495"/>
      <c r="O92" s="495"/>
    </row>
    <row r="93" spans="3:15" ht="25.5" customHeight="1">
      <c r="C93" s="495"/>
      <c r="D93" s="495"/>
      <c r="E93" s="495"/>
      <c r="F93" s="495"/>
      <c r="G93" s="495"/>
      <c r="H93" s="495"/>
      <c r="I93" s="495"/>
      <c r="J93" s="495"/>
      <c r="K93" s="495"/>
      <c r="L93" s="495"/>
      <c r="M93" s="495"/>
      <c r="N93" s="495"/>
      <c r="O93" s="495"/>
    </row>
    <row r="94" spans="3:15" ht="25.5" customHeight="1">
      <c r="C94" s="495"/>
      <c r="D94" s="495"/>
      <c r="E94" s="495"/>
      <c r="F94" s="495"/>
      <c r="G94" s="495"/>
      <c r="H94" s="495"/>
      <c r="I94" s="495"/>
      <c r="J94" s="495"/>
      <c r="K94" s="495"/>
      <c r="L94" s="495"/>
      <c r="M94" s="495"/>
      <c r="N94" s="495"/>
      <c r="O94" s="495"/>
    </row>
    <row r="95" spans="3:15" ht="25.5" customHeight="1">
      <c r="C95" s="495"/>
      <c r="D95" s="495"/>
      <c r="E95" s="495"/>
      <c r="F95" s="495"/>
      <c r="G95" s="495"/>
      <c r="H95" s="495"/>
      <c r="I95" s="495"/>
      <c r="J95" s="495"/>
      <c r="K95" s="495"/>
      <c r="L95" s="495"/>
      <c r="M95" s="495"/>
      <c r="N95" s="495"/>
      <c r="O95" s="495"/>
    </row>
    <row r="96" spans="3:15" ht="25.5" customHeight="1">
      <c r="C96" s="495"/>
      <c r="D96" s="495"/>
      <c r="E96" s="495"/>
      <c r="F96" s="495"/>
      <c r="G96" s="495"/>
      <c r="H96" s="495"/>
      <c r="I96" s="495"/>
      <c r="J96" s="495"/>
      <c r="K96" s="495"/>
      <c r="L96" s="495"/>
      <c r="M96" s="495"/>
      <c r="N96" s="495"/>
      <c r="O96" s="495"/>
    </row>
    <row r="97" spans="3:15" ht="25.5" customHeight="1">
      <c r="C97" s="495"/>
      <c r="D97" s="495"/>
      <c r="E97" s="495"/>
      <c r="F97" s="495"/>
      <c r="G97" s="495"/>
      <c r="H97" s="495"/>
      <c r="I97" s="495"/>
      <c r="J97" s="495"/>
      <c r="K97" s="495"/>
      <c r="L97" s="495"/>
      <c r="M97" s="495"/>
      <c r="N97" s="495"/>
      <c r="O97" s="495"/>
    </row>
    <row r="98" spans="3:15" ht="25.5" customHeight="1">
      <c r="C98" s="495"/>
      <c r="D98" s="495"/>
      <c r="E98" s="495"/>
      <c r="F98" s="495"/>
      <c r="G98" s="495"/>
      <c r="H98" s="495"/>
      <c r="I98" s="495"/>
      <c r="J98" s="495"/>
      <c r="K98" s="495"/>
      <c r="L98" s="495"/>
      <c r="M98" s="495"/>
      <c r="N98" s="495"/>
      <c r="O98" s="495"/>
    </row>
    <row r="99" spans="3:15" ht="25.5" customHeight="1">
      <c r="C99" s="495"/>
      <c r="D99" s="495"/>
      <c r="E99" s="495"/>
      <c r="F99" s="495"/>
      <c r="G99" s="495"/>
      <c r="H99" s="495"/>
      <c r="I99" s="495"/>
      <c r="J99" s="495"/>
      <c r="K99" s="495"/>
      <c r="L99" s="495"/>
      <c r="M99" s="495"/>
      <c r="N99" s="495"/>
      <c r="O99" s="495"/>
    </row>
    <row r="100" spans="3:15" ht="25.5" customHeight="1">
      <c r="C100" s="495"/>
      <c r="D100" s="495"/>
      <c r="E100" s="495"/>
      <c r="F100" s="495"/>
      <c r="G100" s="495"/>
      <c r="H100" s="495"/>
      <c r="I100" s="495"/>
      <c r="J100" s="495"/>
      <c r="K100" s="495"/>
      <c r="L100" s="495"/>
      <c r="M100" s="495"/>
      <c r="N100" s="495"/>
      <c r="O100" s="495"/>
    </row>
    <row r="101" spans="3:15" ht="25.5" customHeight="1">
      <c r="C101" s="495"/>
      <c r="D101" s="495"/>
      <c r="E101" s="495"/>
      <c r="F101" s="495"/>
      <c r="G101" s="495"/>
      <c r="H101" s="495"/>
      <c r="I101" s="495"/>
      <c r="J101" s="495"/>
      <c r="K101" s="495"/>
      <c r="L101" s="495"/>
      <c r="M101" s="495"/>
      <c r="N101" s="495"/>
      <c r="O101" s="495"/>
    </row>
    <row r="102" spans="3:15" ht="25.5" customHeight="1">
      <c r="C102" s="495"/>
      <c r="D102" s="495"/>
      <c r="E102" s="495"/>
      <c r="F102" s="495"/>
      <c r="G102" s="495"/>
      <c r="H102" s="495"/>
      <c r="I102" s="495"/>
      <c r="J102" s="495"/>
      <c r="K102" s="495"/>
      <c r="L102" s="495"/>
      <c r="M102" s="495"/>
      <c r="N102" s="495"/>
      <c r="O102" s="495"/>
    </row>
    <row r="103" spans="3:15" ht="25.5" customHeight="1">
      <c r="C103" s="495"/>
      <c r="D103" s="495"/>
      <c r="E103" s="495"/>
      <c r="F103" s="495"/>
      <c r="G103" s="495"/>
      <c r="H103" s="495"/>
      <c r="I103" s="495"/>
      <c r="J103" s="495"/>
      <c r="K103" s="495"/>
      <c r="L103" s="495"/>
      <c r="M103" s="495"/>
      <c r="N103" s="495"/>
      <c r="O103" s="495"/>
    </row>
    <row r="104" spans="3:15" ht="25.5" customHeight="1">
      <c r="C104" s="495"/>
      <c r="D104" s="495"/>
      <c r="E104" s="495"/>
      <c r="F104" s="495"/>
      <c r="G104" s="495"/>
      <c r="H104" s="495"/>
      <c r="I104" s="495"/>
      <c r="J104" s="495"/>
      <c r="K104" s="495"/>
      <c r="L104" s="495"/>
      <c r="M104" s="495"/>
      <c r="N104" s="495"/>
      <c r="O104" s="495"/>
    </row>
    <row r="105" spans="3:15" ht="25.5" customHeight="1">
      <c r="C105" s="495"/>
      <c r="D105" s="495"/>
      <c r="E105" s="495"/>
      <c r="F105" s="495"/>
      <c r="G105" s="495"/>
      <c r="H105" s="495"/>
      <c r="I105" s="495"/>
      <c r="J105" s="495"/>
      <c r="K105" s="495"/>
      <c r="L105" s="495"/>
      <c r="M105" s="495"/>
      <c r="N105" s="495"/>
      <c r="O105" s="495"/>
    </row>
    <row r="106" spans="3:15" ht="25.5" customHeight="1">
      <c r="C106" s="495"/>
      <c r="D106" s="495"/>
      <c r="E106" s="495"/>
      <c r="F106" s="495"/>
      <c r="G106" s="495"/>
      <c r="H106" s="495"/>
      <c r="I106" s="495"/>
      <c r="J106" s="495"/>
      <c r="K106" s="495"/>
      <c r="L106" s="495"/>
      <c r="M106" s="495"/>
      <c r="N106" s="495"/>
      <c r="O106" s="495"/>
    </row>
    <row r="107" spans="3:15" ht="25.5" customHeight="1">
      <c r="C107" s="495"/>
      <c r="D107" s="495"/>
      <c r="E107" s="495"/>
      <c r="F107" s="495"/>
      <c r="G107" s="495"/>
      <c r="H107" s="495"/>
      <c r="I107" s="495"/>
      <c r="J107" s="495"/>
      <c r="K107" s="495"/>
      <c r="L107" s="495"/>
      <c r="M107" s="495"/>
      <c r="N107" s="495"/>
      <c r="O107" s="495"/>
    </row>
    <row r="108" spans="3:15" ht="25.5" customHeight="1">
      <c r="C108" s="495"/>
      <c r="D108" s="495"/>
      <c r="E108" s="495"/>
      <c r="F108" s="495"/>
      <c r="G108" s="495"/>
      <c r="H108" s="495"/>
      <c r="I108" s="495"/>
      <c r="J108" s="495"/>
      <c r="K108" s="495"/>
      <c r="L108" s="495"/>
      <c r="M108" s="495"/>
      <c r="N108" s="495"/>
      <c r="O108" s="495"/>
    </row>
    <row r="109" spans="3:15" ht="25.5" customHeight="1">
      <c r="C109" s="495"/>
      <c r="D109" s="495"/>
      <c r="E109" s="495"/>
      <c r="F109" s="495"/>
      <c r="G109" s="495"/>
      <c r="H109" s="495"/>
      <c r="I109" s="495"/>
      <c r="J109" s="495"/>
      <c r="K109" s="495"/>
      <c r="L109" s="495"/>
      <c r="M109" s="495"/>
      <c r="N109" s="495"/>
      <c r="O109" s="495"/>
    </row>
    <row r="110" spans="3:15" ht="25.5" customHeight="1">
      <c r="C110" s="495"/>
      <c r="D110" s="495"/>
      <c r="E110" s="495"/>
      <c r="F110" s="495"/>
      <c r="G110" s="495"/>
      <c r="H110" s="495"/>
      <c r="I110" s="495"/>
      <c r="J110" s="495"/>
      <c r="K110" s="495"/>
      <c r="L110" s="495"/>
      <c r="M110" s="495"/>
      <c r="N110" s="495"/>
      <c r="O110" s="495"/>
    </row>
    <row r="111" spans="3:15" ht="25.5" customHeight="1">
      <c r="C111" s="495"/>
      <c r="D111" s="495"/>
      <c r="E111" s="495"/>
      <c r="F111" s="495"/>
      <c r="G111" s="495"/>
      <c r="H111" s="495"/>
      <c r="I111" s="495"/>
      <c r="J111" s="495"/>
      <c r="K111" s="495"/>
      <c r="L111" s="495"/>
      <c r="M111" s="495"/>
      <c r="N111" s="495"/>
      <c r="O111" s="495"/>
    </row>
    <row r="112" spans="3:15" ht="25.5" customHeight="1">
      <c r="C112" s="495"/>
      <c r="D112" s="495"/>
      <c r="E112" s="495"/>
      <c r="F112" s="495"/>
      <c r="G112" s="495"/>
      <c r="H112" s="495"/>
      <c r="I112" s="495"/>
      <c r="J112" s="495"/>
      <c r="K112" s="495"/>
      <c r="L112" s="495"/>
      <c r="M112" s="495"/>
      <c r="N112" s="495"/>
      <c r="O112" s="495"/>
    </row>
    <row r="113" spans="3:15" ht="25.5" customHeight="1">
      <c r="C113" s="495"/>
      <c r="D113" s="495"/>
      <c r="E113" s="495"/>
      <c r="F113" s="495"/>
      <c r="G113" s="495"/>
      <c r="H113" s="495"/>
      <c r="I113" s="495"/>
      <c r="J113" s="495"/>
      <c r="K113" s="495"/>
      <c r="L113" s="495"/>
      <c r="M113" s="495"/>
      <c r="N113" s="495"/>
      <c r="O113" s="495"/>
    </row>
    <row r="114" spans="3:15" ht="25.5" customHeight="1">
      <c r="C114" s="495"/>
      <c r="D114" s="495"/>
      <c r="E114" s="495"/>
      <c r="F114" s="495"/>
      <c r="G114" s="495"/>
      <c r="H114" s="495"/>
      <c r="I114" s="495"/>
      <c r="J114" s="495"/>
      <c r="K114" s="495"/>
      <c r="L114" s="495"/>
      <c r="M114" s="495"/>
      <c r="N114" s="495"/>
      <c r="O114" s="495"/>
    </row>
    <row r="115" spans="3:15" ht="25.5" customHeight="1">
      <c r="C115" s="495"/>
      <c r="D115" s="495"/>
      <c r="E115" s="495"/>
      <c r="F115" s="495"/>
      <c r="G115" s="495"/>
      <c r="H115" s="495"/>
      <c r="I115" s="495"/>
      <c r="J115" s="495"/>
      <c r="K115" s="495"/>
      <c r="L115" s="495"/>
      <c r="M115" s="495"/>
      <c r="N115" s="495"/>
      <c r="O115" s="495"/>
    </row>
    <row r="116" spans="3:15" ht="25.5" customHeight="1">
      <c r="C116" s="495"/>
      <c r="D116" s="495"/>
      <c r="E116" s="495"/>
      <c r="F116" s="495"/>
      <c r="G116" s="495"/>
      <c r="H116" s="495"/>
      <c r="I116" s="495"/>
      <c r="J116" s="495"/>
      <c r="K116" s="495"/>
      <c r="L116" s="495"/>
      <c r="M116" s="495"/>
      <c r="N116" s="495"/>
      <c r="O116" s="495"/>
    </row>
    <row r="117" spans="3:15" ht="25.5" customHeight="1">
      <c r="C117" s="495"/>
      <c r="D117" s="495"/>
      <c r="E117" s="495"/>
      <c r="F117" s="495"/>
      <c r="G117" s="495"/>
      <c r="H117" s="495"/>
      <c r="I117" s="495"/>
      <c r="J117" s="495"/>
      <c r="K117" s="495"/>
      <c r="L117" s="495"/>
      <c r="M117" s="495"/>
      <c r="N117" s="495"/>
      <c r="O117" s="495"/>
    </row>
    <row r="118" spans="3:15" ht="25.5" customHeight="1">
      <c r="C118" s="495"/>
      <c r="D118" s="495"/>
      <c r="E118" s="495"/>
      <c r="F118" s="495"/>
      <c r="G118" s="495"/>
      <c r="H118" s="495"/>
      <c r="I118" s="495"/>
      <c r="J118" s="495"/>
      <c r="K118" s="495"/>
      <c r="L118" s="495"/>
      <c r="M118" s="495"/>
      <c r="N118" s="495"/>
      <c r="O118" s="495"/>
    </row>
    <row r="119" spans="3:15" ht="25.5" customHeight="1">
      <c r="C119" s="495"/>
      <c r="D119" s="495"/>
      <c r="E119" s="495"/>
      <c r="F119" s="495"/>
      <c r="G119" s="495"/>
      <c r="H119" s="495"/>
      <c r="I119" s="495"/>
      <c r="J119" s="495"/>
      <c r="K119" s="495"/>
      <c r="L119" s="495"/>
      <c r="M119" s="495"/>
      <c r="N119" s="495"/>
      <c r="O119" s="495"/>
    </row>
    <row r="120" spans="3:15" ht="25.5" customHeight="1">
      <c r="C120" s="495"/>
      <c r="D120" s="495"/>
      <c r="E120" s="495"/>
      <c r="F120" s="495"/>
      <c r="G120" s="495"/>
      <c r="H120" s="495"/>
      <c r="I120" s="495"/>
      <c r="J120" s="495"/>
      <c r="K120" s="495"/>
      <c r="L120" s="495"/>
      <c r="M120" s="495"/>
      <c r="N120" s="495"/>
      <c r="O120" s="495"/>
    </row>
    <row r="121" spans="3:15" ht="25.5" customHeight="1">
      <c r="C121" s="495"/>
      <c r="D121" s="495"/>
      <c r="E121" s="495"/>
      <c r="F121" s="495"/>
      <c r="G121" s="495"/>
      <c r="H121" s="495"/>
      <c r="I121" s="495"/>
      <c r="J121" s="495"/>
      <c r="K121" s="495"/>
      <c r="L121" s="495"/>
      <c r="M121" s="495"/>
      <c r="N121" s="495"/>
      <c r="O121" s="495"/>
    </row>
    <row r="122" spans="3:15" ht="25.5" customHeight="1">
      <c r="C122" s="495"/>
      <c r="D122" s="495"/>
      <c r="E122" s="495"/>
      <c r="F122" s="495"/>
      <c r="G122" s="495"/>
      <c r="H122" s="495"/>
      <c r="I122" s="495"/>
      <c r="J122" s="495"/>
      <c r="K122" s="495"/>
      <c r="L122" s="495"/>
      <c r="M122" s="495"/>
      <c r="N122" s="495"/>
      <c r="O122" s="495"/>
    </row>
    <row r="123" spans="3:15" ht="25.5" customHeight="1">
      <c r="C123" s="495"/>
      <c r="D123" s="495"/>
      <c r="E123" s="495"/>
      <c r="F123" s="495"/>
      <c r="G123" s="495"/>
      <c r="H123" s="495"/>
      <c r="I123" s="495"/>
      <c r="J123" s="495"/>
      <c r="K123" s="495"/>
      <c r="L123" s="495"/>
      <c r="M123" s="495"/>
      <c r="N123" s="495"/>
      <c r="O123" s="495"/>
    </row>
    <row r="124" spans="3:15" ht="25.5" customHeight="1">
      <c r="C124" s="495"/>
      <c r="D124" s="495"/>
      <c r="E124" s="495"/>
      <c r="F124" s="495"/>
      <c r="G124" s="495"/>
      <c r="H124" s="495"/>
      <c r="I124" s="495"/>
      <c r="J124" s="495"/>
      <c r="K124" s="495"/>
      <c r="L124" s="495"/>
      <c r="M124" s="495"/>
      <c r="N124" s="495"/>
      <c r="O124" s="495"/>
    </row>
    <row r="125" spans="3:15" ht="25.5" customHeight="1">
      <c r="C125" s="495"/>
      <c r="D125" s="495"/>
      <c r="E125" s="495"/>
      <c r="F125" s="495"/>
      <c r="G125" s="495"/>
      <c r="H125" s="495"/>
      <c r="I125" s="495"/>
      <c r="J125" s="495"/>
      <c r="K125" s="495"/>
      <c r="L125" s="495"/>
      <c r="M125" s="495"/>
      <c r="N125" s="495"/>
      <c r="O125" s="495"/>
    </row>
    <row r="126" spans="3:15" ht="25.5" customHeight="1">
      <c r="C126" s="495"/>
      <c r="D126" s="495"/>
      <c r="E126" s="495"/>
      <c r="F126" s="495"/>
      <c r="G126" s="495"/>
      <c r="H126" s="495"/>
      <c r="I126" s="495"/>
      <c r="J126" s="495"/>
      <c r="K126" s="495"/>
      <c r="L126" s="495"/>
      <c r="M126" s="495"/>
      <c r="N126" s="495"/>
      <c r="O126" s="495"/>
    </row>
    <row r="127" spans="3:15" ht="25.5" customHeight="1">
      <c r="C127" s="495"/>
      <c r="D127" s="495"/>
      <c r="E127" s="495"/>
      <c r="F127" s="495"/>
      <c r="G127" s="495"/>
      <c r="H127" s="495"/>
      <c r="I127" s="495"/>
      <c r="J127" s="495"/>
      <c r="K127" s="495"/>
      <c r="L127" s="495"/>
      <c r="M127" s="495"/>
      <c r="N127" s="495"/>
      <c r="O127" s="495"/>
    </row>
    <row r="128" spans="3:15" ht="25.5" customHeight="1">
      <c r="C128" s="495"/>
      <c r="D128" s="495"/>
      <c r="E128" s="495"/>
      <c r="F128" s="495"/>
      <c r="G128" s="495"/>
      <c r="H128" s="495"/>
      <c r="I128" s="495"/>
      <c r="J128" s="495"/>
      <c r="K128" s="495"/>
      <c r="L128" s="495"/>
      <c r="M128" s="495"/>
      <c r="N128" s="495"/>
      <c r="O128" s="495"/>
    </row>
    <row r="129" spans="3:15" ht="25.5" customHeight="1">
      <c r="C129" s="495"/>
      <c r="D129" s="495"/>
      <c r="E129" s="495"/>
      <c r="F129" s="495"/>
      <c r="G129" s="495"/>
      <c r="H129" s="495"/>
      <c r="I129" s="495"/>
      <c r="J129" s="495"/>
      <c r="K129" s="495"/>
      <c r="L129" s="495"/>
      <c r="M129" s="495"/>
      <c r="N129" s="495"/>
      <c r="O129" s="495"/>
    </row>
    <row r="130" spans="3:15" ht="25.5" customHeight="1">
      <c r="C130" s="495"/>
      <c r="D130" s="495"/>
      <c r="E130" s="495"/>
      <c r="F130" s="495"/>
      <c r="G130" s="495"/>
      <c r="H130" s="495"/>
      <c r="I130" s="495"/>
      <c r="J130" s="495"/>
      <c r="K130" s="495"/>
      <c r="L130" s="495"/>
      <c r="M130" s="495"/>
      <c r="N130" s="495"/>
      <c r="O130" s="495"/>
    </row>
    <row r="131" spans="3:15" ht="25.5" customHeight="1">
      <c r="C131" s="495"/>
      <c r="D131" s="495"/>
      <c r="E131" s="495"/>
      <c r="F131" s="495"/>
      <c r="G131" s="495"/>
      <c r="H131" s="495"/>
      <c r="I131" s="495"/>
      <c r="J131" s="495"/>
      <c r="K131" s="495"/>
      <c r="L131" s="495"/>
      <c r="M131" s="495"/>
      <c r="N131" s="495"/>
      <c r="O131" s="495"/>
    </row>
    <row r="132" spans="3:15" ht="25.5" customHeight="1">
      <c r="C132" s="495"/>
      <c r="D132" s="495"/>
      <c r="E132" s="495"/>
      <c r="F132" s="495"/>
      <c r="G132" s="495"/>
      <c r="H132" s="495"/>
      <c r="I132" s="495"/>
      <c r="J132" s="495"/>
      <c r="K132" s="495"/>
      <c r="L132" s="495"/>
      <c r="M132" s="495"/>
      <c r="N132" s="495"/>
      <c r="O132" s="495"/>
    </row>
    <row r="133" spans="3:15" ht="25.5" customHeight="1">
      <c r="C133" s="495"/>
      <c r="D133" s="495"/>
      <c r="E133" s="495"/>
      <c r="F133" s="495"/>
      <c r="G133" s="495"/>
      <c r="H133" s="495"/>
      <c r="I133" s="495"/>
      <c r="J133" s="495"/>
      <c r="K133" s="495"/>
      <c r="L133" s="495"/>
      <c r="M133" s="495"/>
      <c r="N133" s="495"/>
      <c r="O133" s="495"/>
    </row>
    <row r="134" spans="3:15" ht="25.5" customHeight="1">
      <c r="C134" s="495"/>
      <c r="D134" s="495"/>
      <c r="E134" s="495"/>
      <c r="F134" s="495"/>
      <c r="G134" s="495"/>
      <c r="H134" s="495"/>
      <c r="I134" s="495"/>
      <c r="J134" s="495"/>
      <c r="K134" s="495"/>
      <c r="L134" s="495"/>
      <c r="M134" s="495"/>
      <c r="N134" s="495"/>
      <c r="O134" s="495"/>
    </row>
    <row r="135" spans="3:15" ht="25.5" customHeight="1">
      <c r="C135" s="495"/>
      <c r="D135" s="495"/>
      <c r="E135" s="495"/>
      <c r="F135" s="495"/>
      <c r="G135" s="495"/>
      <c r="H135" s="495"/>
      <c r="I135" s="495"/>
      <c r="J135" s="495"/>
      <c r="K135" s="495"/>
      <c r="L135" s="495"/>
      <c r="M135" s="495"/>
      <c r="N135" s="495"/>
      <c r="O135" s="495"/>
    </row>
    <row r="136" spans="3:15" ht="25.5" customHeight="1">
      <c r="C136" s="495"/>
      <c r="D136" s="495"/>
      <c r="E136" s="495"/>
      <c r="F136" s="495"/>
      <c r="G136" s="495"/>
      <c r="H136" s="495"/>
      <c r="I136" s="495"/>
      <c r="J136" s="495"/>
      <c r="K136" s="495"/>
      <c r="L136" s="495"/>
      <c r="M136" s="495"/>
      <c r="N136" s="495"/>
      <c r="O136" s="495"/>
    </row>
    <row r="137" spans="3:15" ht="25.5" customHeight="1">
      <c r="C137" s="495"/>
      <c r="D137" s="495"/>
      <c r="E137" s="495"/>
      <c r="F137" s="495"/>
      <c r="G137" s="495"/>
      <c r="H137" s="495"/>
      <c r="I137" s="495"/>
      <c r="J137" s="495"/>
      <c r="K137" s="495"/>
      <c r="L137" s="495"/>
      <c r="M137" s="495"/>
      <c r="N137" s="495"/>
      <c r="O137" s="495"/>
    </row>
    <row r="138" spans="3:15" ht="25.5" customHeight="1">
      <c r="C138" s="495"/>
      <c r="D138" s="495"/>
      <c r="E138" s="495"/>
      <c r="F138" s="495"/>
      <c r="G138" s="495"/>
      <c r="H138" s="495"/>
      <c r="I138" s="495"/>
      <c r="J138" s="495"/>
      <c r="K138" s="495"/>
      <c r="L138" s="495"/>
      <c r="M138" s="495"/>
      <c r="N138" s="495"/>
      <c r="O138" s="495"/>
    </row>
    <row r="139" spans="3:15" ht="25.5" customHeight="1">
      <c r="C139" s="495"/>
      <c r="D139" s="495"/>
      <c r="E139" s="495"/>
      <c r="F139" s="495"/>
      <c r="G139" s="495"/>
      <c r="H139" s="495"/>
      <c r="I139" s="495"/>
      <c r="J139" s="495"/>
      <c r="K139" s="495"/>
      <c r="L139" s="495"/>
      <c r="M139" s="495"/>
      <c r="N139" s="495"/>
      <c r="O139" s="495"/>
    </row>
    <row r="140" spans="3:15" ht="25.5" customHeight="1">
      <c r="C140" s="495"/>
      <c r="D140" s="495"/>
      <c r="E140" s="495"/>
      <c r="F140" s="495"/>
      <c r="G140" s="495"/>
      <c r="H140" s="495"/>
      <c r="I140" s="495"/>
      <c r="J140" s="495"/>
      <c r="K140" s="495"/>
      <c r="L140" s="495"/>
      <c r="M140" s="495"/>
      <c r="N140" s="495"/>
      <c r="O140" s="495"/>
    </row>
    <row r="141" spans="3:15" ht="25.5" customHeight="1">
      <c r="C141" s="495"/>
      <c r="D141" s="495"/>
      <c r="E141" s="495"/>
      <c r="F141" s="495"/>
      <c r="G141" s="495"/>
      <c r="H141" s="495"/>
      <c r="I141" s="495"/>
      <c r="J141" s="495"/>
      <c r="K141" s="495"/>
      <c r="L141" s="495"/>
      <c r="M141" s="495"/>
      <c r="N141" s="495"/>
      <c r="O141" s="495"/>
    </row>
    <row r="142" spans="3:15" ht="25.5" customHeight="1">
      <c r="C142" s="495"/>
      <c r="D142" s="495"/>
      <c r="E142" s="495"/>
      <c r="F142" s="495"/>
      <c r="G142" s="495"/>
      <c r="H142" s="495"/>
      <c r="I142" s="495"/>
      <c r="J142" s="495"/>
      <c r="K142" s="495"/>
      <c r="L142" s="495"/>
      <c r="M142" s="495"/>
      <c r="N142" s="495"/>
      <c r="O142" s="495"/>
    </row>
    <row r="143" spans="3:15" ht="25.5" customHeight="1">
      <c r="C143" s="495"/>
      <c r="D143" s="495"/>
      <c r="E143" s="495"/>
      <c r="F143" s="495"/>
      <c r="G143" s="495"/>
      <c r="H143" s="495"/>
      <c r="I143" s="495"/>
      <c r="J143" s="495"/>
      <c r="K143" s="495"/>
      <c r="L143" s="495"/>
      <c r="M143" s="495"/>
      <c r="N143" s="495"/>
      <c r="O143" s="495"/>
    </row>
    <row r="144" spans="3:15" ht="25.5" customHeight="1">
      <c r="C144" s="495"/>
      <c r="D144" s="495"/>
      <c r="E144" s="495"/>
      <c r="F144" s="495"/>
      <c r="G144" s="495"/>
      <c r="H144" s="495"/>
      <c r="I144" s="495"/>
      <c r="J144" s="495"/>
      <c r="K144" s="495"/>
      <c r="L144" s="495"/>
      <c r="M144" s="495"/>
      <c r="N144" s="495"/>
      <c r="O144" s="495"/>
    </row>
    <row r="145" spans="3:15" ht="25.5" customHeight="1">
      <c r="C145" s="495"/>
      <c r="D145" s="495"/>
      <c r="E145" s="495"/>
      <c r="F145" s="495"/>
      <c r="G145" s="495"/>
      <c r="H145" s="495"/>
      <c r="I145" s="495"/>
      <c r="J145" s="495"/>
      <c r="K145" s="495"/>
      <c r="L145" s="495"/>
      <c r="M145" s="495"/>
      <c r="N145" s="495"/>
      <c r="O145" s="495"/>
    </row>
    <row r="146" spans="3:15" ht="25.5" customHeight="1">
      <c r="C146" s="495"/>
      <c r="D146" s="495"/>
      <c r="E146" s="495"/>
      <c r="F146" s="495"/>
      <c r="G146" s="495"/>
      <c r="H146" s="495"/>
      <c r="I146" s="495"/>
      <c r="J146" s="495"/>
      <c r="K146" s="495"/>
      <c r="L146" s="495"/>
      <c r="M146" s="495"/>
      <c r="N146" s="495"/>
      <c r="O146" s="495"/>
    </row>
    <row r="147" spans="3:15" ht="25.5" customHeight="1">
      <c r="C147" s="495"/>
      <c r="D147" s="495"/>
      <c r="E147" s="495"/>
      <c r="F147" s="495"/>
      <c r="G147" s="495"/>
      <c r="H147" s="495"/>
      <c r="I147" s="495"/>
      <c r="J147" s="495"/>
      <c r="K147" s="495"/>
      <c r="L147" s="495"/>
      <c r="M147" s="495"/>
      <c r="N147" s="495"/>
      <c r="O147" s="495"/>
    </row>
    <row r="148" spans="3:15" ht="25.5" customHeight="1">
      <c r="C148" s="495"/>
      <c r="D148" s="495"/>
      <c r="E148" s="495"/>
      <c r="F148" s="495"/>
      <c r="G148" s="495"/>
      <c r="H148" s="495"/>
      <c r="I148" s="495"/>
      <c r="J148" s="495"/>
      <c r="K148" s="495"/>
      <c r="L148" s="495"/>
      <c r="M148" s="495"/>
      <c r="N148" s="495"/>
      <c r="O148" s="495"/>
    </row>
    <row r="149" spans="3:15" ht="25.5" customHeight="1">
      <c r="C149" s="495"/>
      <c r="D149" s="495"/>
      <c r="E149" s="495"/>
      <c r="F149" s="495"/>
      <c r="G149" s="495"/>
      <c r="H149" s="495"/>
      <c r="I149" s="495"/>
      <c r="J149" s="495"/>
      <c r="K149" s="495"/>
      <c r="L149" s="495"/>
      <c r="M149" s="495"/>
      <c r="N149" s="495"/>
      <c r="O149" s="495"/>
    </row>
    <row r="150" spans="3:15" ht="25.5" customHeight="1">
      <c r="C150" s="495"/>
      <c r="D150" s="495"/>
      <c r="E150" s="495"/>
      <c r="F150" s="495"/>
      <c r="G150" s="495"/>
      <c r="H150" s="495"/>
      <c r="I150" s="495"/>
      <c r="J150" s="495"/>
      <c r="K150" s="495"/>
      <c r="L150" s="495"/>
      <c r="M150" s="495"/>
      <c r="N150" s="495"/>
      <c r="O150" s="495"/>
    </row>
    <row r="151" spans="3:15" ht="25.5" customHeight="1">
      <c r="C151" s="495"/>
      <c r="D151" s="495"/>
      <c r="E151" s="495"/>
      <c r="F151" s="495"/>
      <c r="G151" s="495"/>
      <c r="H151" s="495"/>
      <c r="I151" s="495"/>
      <c r="J151" s="495"/>
      <c r="K151" s="495"/>
      <c r="L151" s="495"/>
      <c r="M151" s="495"/>
      <c r="N151" s="495"/>
      <c r="O151" s="495"/>
    </row>
    <row r="152" spans="3:15" ht="25.5" customHeight="1">
      <c r="C152" s="495"/>
      <c r="D152" s="495"/>
      <c r="E152" s="495"/>
      <c r="F152" s="495"/>
      <c r="G152" s="495"/>
      <c r="H152" s="495"/>
      <c r="I152" s="495"/>
      <c r="J152" s="495"/>
      <c r="K152" s="495"/>
      <c r="L152" s="495"/>
      <c r="M152" s="495"/>
      <c r="N152" s="495"/>
      <c r="O152" s="495"/>
    </row>
    <row r="153" spans="3:15" ht="25.5" customHeight="1">
      <c r="C153" s="495"/>
      <c r="D153" s="495"/>
      <c r="E153" s="495"/>
      <c r="F153" s="495"/>
      <c r="G153" s="495"/>
      <c r="H153" s="495"/>
      <c r="I153" s="495"/>
      <c r="J153" s="495"/>
      <c r="K153" s="495"/>
      <c r="L153" s="495"/>
      <c r="M153" s="495"/>
      <c r="N153" s="495"/>
      <c r="O153" s="495"/>
    </row>
    <row r="154" spans="3:15" ht="25.5" customHeight="1">
      <c r="C154" s="495"/>
      <c r="D154" s="495"/>
      <c r="E154" s="495"/>
      <c r="F154" s="495"/>
      <c r="G154" s="495"/>
      <c r="H154" s="495"/>
      <c r="I154" s="495"/>
      <c r="J154" s="495"/>
      <c r="K154" s="495"/>
      <c r="L154" s="495"/>
      <c r="M154" s="495"/>
      <c r="N154" s="495"/>
      <c r="O154" s="495"/>
    </row>
    <row r="155" spans="3:15" ht="25.5" customHeight="1">
      <c r="C155" s="495"/>
      <c r="D155" s="495"/>
      <c r="E155" s="495"/>
      <c r="F155" s="495"/>
      <c r="G155" s="495"/>
      <c r="H155" s="495"/>
      <c r="I155" s="495"/>
      <c r="J155" s="495"/>
      <c r="K155" s="495"/>
      <c r="L155" s="495"/>
      <c r="M155" s="495"/>
      <c r="N155" s="495"/>
      <c r="O155" s="495"/>
    </row>
    <row r="156" spans="3:15" ht="25.5" customHeight="1">
      <c r="C156" s="495"/>
      <c r="D156" s="495"/>
      <c r="E156" s="495"/>
      <c r="F156" s="495"/>
      <c r="G156" s="495"/>
      <c r="H156" s="495"/>
      <c r="I156" s="495"/>
      <c r="J156" s="495"/>
      <c r="K156" s="495"/>
      <c r="L156" s="495"/>
      <c r="M156" s="495"/>
      <c r="N156" s="495"/>
      <c r="O156" s="495"/>
    </row>
    <row r="157" spans="3:15" ht="25.5" customHeight="1">
      <c r="C157" s="495"/>
      <c r="D157" s="495"/>
      <c r="E157" s="495"/>
      <c r="F157" s="495"/>
      <c r="G157" s="495"/>
      <c r="H157" s="495"/>
      <c r="I157" s="495"/>
      <c r="J157" s="495"/>
      <c r="K157" s="495"/>
      <c r="L157" s="495"/>
      <c r="M157" s="495"/>
      <c r="N157" s="495"/>
      <c r="O157" s="495"/>
    </row>
    <row r="158" spans="3:15" ht="25.5" customHeight="1">
      <c r="C158" s="495"/>
      <c r="D158" s="495"/>
      <c r="E158" s="495"/>
      <c r="F158" s="495"/>
      <c r="G158" s="495"/>
      <c r="H158" s="495"/>
      <c r="I158" s="495"/>
      <c r="J158" s="495"/>
      <c r="K158" s="495"/>
      <c r="L158" s="495"/>
      <c r="M158" s="495"/>
      <c r="N158" s="495"/>
      <c r="O158" s="495"/>
    </row>
    <row r="159" spans="3:15" ht="25.5" customHeight="1">
      <c r="C159" s="495"/>
      <c r="D159" s="495"/>
      <c r="E159" s="495"/>
      <c r="F159" s="495"/>
      <c r="G159" s="495"/>
      <c r="H159" s="495"/>
      <c r="I159" s="495"/>
      <c r="J159" s="495"/>
      <c r="K159" s="495"/>
      <c r="L159" s="495"/>
      <c r="M159" s="495"/>
      <c r="N159" s="495"/>
      <c r="O159" s="495"/>
    </row>
    <row r="160" spans="3:15" ht="25.5" customHeight="1">
      <c r="C160" s="495"/>
      <c r="D160" s="495"/>
      <c r="E160" s="495"/>
      <c r="F160" s="495"/>
      <c r="G160" s="495"/>
      <c r="H160" s="495"/>
      <c r="I160" s="495"/>
      <c r="J160" s="495"/>
      <c r="K160" s="495"/>
      <c r="L160" s="495"/>
      <c r="M160" s="495"/>
      <c r="N160" s="495"/>
      <c r="O160" s="495"/>
    </row>
    <row r="161" spans="3:15" ht="25.5" customHeight="1">
      <c r="C161" s="495"/>
      <c r="D161" s="495"/>
      <c r="E161" s="495"/>
      <c r="F161" s="495"/>
      <c r="G161" s="495"/>
      <c r="H161" s="495"/>
      <c r="I161" s="495"/>
      <c r="J161" s="495"/>
      <c r="K161" s="495"/>
      <c r="L161" s="495"/>
      <c r="M161" s="495"/>
      <c r="N161" s="495"/>
      <c r="O161" s="495"/>
    </row>
    <row r="162" spans="3:15" ht="25.5" customHeight="1">
      <c r="C162" s="495"/>
      <c r="D162" s="495"/>
      <c r="E162" s="495"/>
      <c r="F162" s="495"/>
      <c r="G162" s="495"/>
      <c r="H162" s="495"/>
      <c r="I162" s="495"/>
      <c r="J162" s="495"/>
      <c r="K162" s="495"/>
      <c r="L162" s="495"/>
      <c r="M162" s="495"/>
      <c r="N162" s="495"/>
      <c r="O162" s="495"/>
    </row>
    <row r="163" spans="3:15" ht="25.5" customHeight="1">
      <c r="C163" s="495"/>
      <c r="D163" s="495"/>
      <c r="E163" s="495"/>
      <c r="F163" s="495"/>
      <c r="G163" s="495"/>
      <c r="H163" s="495"/>
      <c r="I163" s="495"/>
      <c r="J163" s="495"/>
      <c r="K163" s="495"/>
      <c r="L163" s="495"/>
      <c r="M163" s="495"/>
      <c r="N163" s="495"/>
      <c r="O163" s="495"/>
    </row>
    <row r="164" spans="3:15" ht="25.5" customHeight="1">
      <c r="C164" s="495"/>
      <c r="D164" s="495"/>
      <c r="E164" s="495"/>
      <c r="F164" s="495"/>
      <c r="G164" s="495"/>
      <c r="H164" s="495"/>
      <c r="I164" s="495"/>
      <c r="J164" s="495"/>
      <c r="K164" s="495"/>
      <c r="L164" s="495"/>
      <c r="M164" s="495"/>
      <c r="N164" s="495"/>
      <c r="O164" s="495"/>
    </row>
    <row r="165" spans="3:15" ht="25.5" customHeight="1">
      <c r="C165" s="495"/>
      <c r="D165" s="495"/>
      <c r="E165" s="495"/>
      <c r="F165" s="495"/>
      <c r="G165" s="495"/>
      <c r="H165" s="495"/>
      <c r="I165" s="495"/>
      <c r="J165" s="495"/>
      <c r="K165" s="495"/>
      <c r="L165" s="495"/>
      <c r="M165" s="495"/>
      <c r="N165" s="495"/>
      <c r="O165" s="495"/>
    </row>
    <row r="166" spans="3:15" ht="25.5" customHeight="1">
      <c r="C166" s="495"/>
      <c r="D166" s="495"/>
      <c r="E166" s="495"/>
      <c r="F166" s="495"/>
      <c r="G166" s="495"/>
      <c r="H166" s="495"/>
      <c r="I166" s="495"/>
      <c r="J166" s="495"/>
      <c r="K166" s="495"/>
      <c r="L166" s="495"/>
      <c r="M166" s="495"/>
      <c r="N166" s="495"/>
      <c r="O166" s="495"/>
    </row>
    <row r="167" spans="3:15" ht="25.5" customHeight="1">
      <c r="C167" s="495"/>
      <c r="D167" s="495"/>
      <c r="E167" s="495"/>
      <c r="F167" s="495"/>
      <c r="G167" s="495"/>
      <c r="H167" s="495"/>
      <c r="I167" s="495"/>
      <c r="J167" s="495"/>
      <c r="K167" s="495"/>
      <c r="L167" s="495"/>
      <c r="M167" s="495"/>
      <c r="N167" s="495"/>
      <c r="O167" s="495"/>
    </row>
    <row r="168" spans="3:15" ht="25.5" customHeight="1">
      <c r="C168" s="495"/>
      <c r="D168" s="495"/>
      <c r="E168" s="495"/>
      <c r="F168" s="495"/>
      <c r="G168" s="495"/>
      <c r="H168" s="495"/>
      <c r="I168" s="495"/>
      <c r="J168" s="495"/>
      <c r="K168" s="495"/>
      <c r="L168" s="495"/>
      <c r="M168" s="495"/>
      <c r="N168" s="495"/>
      <c r="O168" s="495"/>
    </row>
    <row r="169" spans="3:15" ht="25.5" customHeight="1">
      <c r="C169" s="495"/>
      <c r="D169" s="495"/>
      <c r="E169" s="495"/>
      <c r="F169" s="495"/>
      <c r="G169" s="495"/>
      <c r="H169" s="495"/>
      <c r="I169" s="495"/>
      <c r="J169" s="495"/>
      <c r="K169" s="495"/>
      <c r="L169" s="495"/>
      <c r="M169" s="495"/>
      <c r="N169" s="495"/>
      <c r="O169" s="495"/>
    </row>
    <row r="170" spans="3:15" ht="25.5" customHeight="1">
      <c r="C170" s="495"/>
      <c r="D170" s="495"/>
      <c r="E170" s="495"/>
      <c r="F170" s="495"/>
      <c r="G170" s="495"/>
      <c r="H170" s="495"/>
      <c r="I170" s="495"/>
      <c r="J170" s="495"/>
      <c r="K170" s="495"/>
      <c r="L170" s="495"/>
      <c r="M170" s="495"/>
      <c r="N170" s="495"/>
      <c r="O170" s="495"/>
    </row>
    <row r="171" spans="3:15" ht="25.5" customHeight="1">
      <c r="C171" s="495"/>
      <c r="D171" s="495"/>
      <c r="E171" s="495"/>
      <c r="F171" s="495"/>
      <c r="G171" s="495"/>
      <c r="H171" s="495"/>
      <c r="I171" s="495"/>
      <c r="J171" s="495"/>
      <c r="K171" s="495"/>
      <c r="L171" s="495"/>
      <c r="M171" s="495"/>
      <c r="N171" s="495"/>
      <c r="O171" s="495"/>
    </row>
    <row r="172" spans="3:15" ht="25.5" customHeight="1">
      <c r="C172" s="495"/>
      <c r="D172" s="495"/>
      <c r="E172" s="495"/>
      <c r="F172" s="495"/>
      <c r="G172" s="495"/>
      <c r="H172" s="495"/>
      <c r="I172" s="495"/>
      <c r="J172" s="495"/>
      <c r="K172" s="495"/>
      <c r="L172" s="495"/>
      <c r="M172" s="495"/>
      <c r="N172" s="495"/>
      <c r="O172" s="495"/>
    </row>
    <row r="173" spans="3:15" ht="25.5" customHeight="1">
      <c r="C173" s="495"/>
      <c r="D173" s="495"/>
      <c r="E173" s="495"/>
      <c r="F173" s="495"/>
      <c r="G173" s="495"/>
      <c r="H173" s="495"/>
      <c r="I173" s="495"/>
      <c r="J173" s="495"/>
      <c r="K173" s="495"/>
      <c r="L173" s="495"/>
      <c r="M173" s="495"/>
      <c r="N173" s="495"/>
      <c r="O173" s="495"/>
    </row>
    <row r="174" spans="3:15" ht="25.5" customHeight="1">
      <c r="C174" s="495"/>
      <c r="D174" s="495"/>
      <c r="E174" s="495"/>
      <c r="F174" s="495"/>
      <c r="G174" s="495"/>
      <c r="H174" s="495"/>
      <c r="I174" s="495"/>
      <c r="J174" s="495"/>
      <c r="K174" s="495"/>
      <c r="L174" s="495"/>
      <c r="M174" s="495"/>
      <c r="N174" s="495"/>
      <c r="O174" s="495"/>
    </row>
    <row r="175" spans="3:15" ht="25.5" customHeight="1">
      <c r="C175" s="495"/>
      <c r="D175" s="495"/>
      <c r="E175" s="495"/>
      <c r="F175" s="495"/>
      <c r="G175" s="495"/>
      <c r="H175" s="495"/>
      <c r="I175" s="495"/>
      <c r="J175" s="495"/>
      <c r="K175" s="495"/>
      <c r="L175" s="495"/>
      <c r="M175" s="495"/>
      <c r="N175" s="495"/>
      <c r="O175" s="495"/>
    </row>
    <row r="176" spans="3:15" ht="25.5" customHeight="1">
      <c r="C176" s="495"/>
      <c r="D176" s="495"/>
      <c r="E176" s="495"/>
      <c r="F176" s="495"/>
      <c r="G176" s="495"/>
      <c r="H176" s="495"/>
      <c r="I176" s="495"/>
      <c r="J176" s="495"/>
      <c r="K176" s="495"/>
      <c r="L176" s="495"/>
      <c r="M176" s="495"/>
      <c r="N176" s="495"/>
      <c r="O176" s="495"/>
    </row>
    <row r="177" spans="3:15" ht="25.5" customHeight="1">
      <c r="C177" s="495"/>
      <c r="D177" s="495"/>
      <c r="E177" s="495"/>
      <c r="F177" s="495"/>
      <c r="G177" s="495"/>
      <c r="H177" s="495"/>
      <c r="I177" s="495"/>
      <c r="J177" s="495"/>
      <c r="K177" s="495"/>
      <c r="L177" s="495"/>
      <c r="M177" s="495"/>
      <c r="N177" s="495"/>
      <c r="O177" s="495"/>
    </row>
    <row r="178" spans="3:15" ht="25.5" customHeight="1">
      <c r="C178" s="495"/>
      <c r="D178" s="495"/>
      <c r="E178" s="495"/>
      <c r="F178" s="495"/>
      <c r="G178" s="495"/>
      <c r="H178" s="495"/>
      <c r="I178" s="495"/>
      <c r="J178" s="495"/>
      <c r="K178" s="495"/>
      <c r="L178" s="495"/>
      <c r="M178" s="495"/>
      <c r="N178" s="495"/>
      <c r="O178" s="495"/>
    </row>
    <row r="179" spans="3:15" ht="25.5" customHeight="1">
      <c r="C179" s="495"/>
      <c r="D179" s="495"/>
      <c r="E179" s="495"/>
      <c r="F179" s="495"/>
      <c r="G179" s="495"/>
      <c r="H179" s="495"/>
      <c r="I179" s="495"/>
      <c r="J179" s="495"/>
      <c r="K179" s="495"/>
      <c r="L179" s="495"/>
      <c r="M179" s="495"/>
      <c r="N179" s="495"/>
      <c r="O179" s="495"/>
    </row>
    <row r="180" spans="3:15" ht="25.5" customHeight="1">
      <c r="C180" s="495"/>
      <c r="D180" s="495"/>
      <c r="E180" s="495"/>
      <c r="F180" s="495"/>
      <c r="G180" s="495"/>
      <c r="H180" s="495"/>
      <c r="I180" s="495"/>
      <c r="J180" s="495"/>
      <c r="K180" s="495"/>
      <c r="L180" s="495"/>
      <c r="M180" s="495"/>
      <c r="N180" s="495"/>
      <c r="O180" s="495"/>
    </row>
    <row r="181" spans="3:15" ht="25.5" customHeight="1">
      <c r="C181" s="495"/>
      <c r="D181" s="495"/>
      <c r="E181" s="495"/>
      <c r="F181" s="495"/>
      <c r="G181" s="495"/>
      <c r="H181" s="495"/>
      <c r="I181" s="495"/>
      <c r="J181" s="495"/>
      <c r="K181" s="495"/>
      <c r="L181" s="495"/>
      <c r="M181" s="495"/>
      <c r="N181" s="495"/>
      <c r="O181" s="495"/>
    </row>
    <row r="182" spans="3:15" ht="25.5" customHeight="1">
      <c r="C182" s="495"/>
      <c r="D182" s="495"/>
      <c r="E182" s="495"/>
      <c r="F182" s="495"/>
      <c r="G182" s="495"/>
      <c r="H182" s="495"/>
      <c r="I182" s="495"/>
      <c r="J182" s="495"/>
      <c r="K182" s="495"/>
      <c r="L182" s="495"/>
      <c r="M182" s="495"/>
      <c r="N182" s="495"/>
      <c r="O182" s="495"/>
    </row>
    <row r="183" spans="3:15" ht="25.5" customHeight="1">
      <c r="C183" s="495"/>
      <c r="D183" s="495"/>
      <c r="E183" s="495"/>
      <c r="F183" s="495"/>
      <c r="G183" s="495"/>
      <c r="H183" s="495"/>
      <c r="I183" s="495"/>
      <c r="J183" s="495"/>
      <c r="K183" s="495"/>
      <c r="L183" s="495"/>
      <c r="M183" s="495"/>
      <c r="N183" s="495"/>
      <c r="O183" s="495"/>
    </row>
    <row r="184" spans="3:15" ht="25.5" customHeight="1">
      <c r="C184" s="495"/>
      <c r="D184" s="495"/>
      <c r="E184" s="495"/>
      <c r="F184" s="495"/>
      <c r="G184" s="495"/>
      <c r="H184" s="495"/>
      <c r="I184" s="495"/>
      <c r="J184" s="495"/>
      <c r="K184" s="495"/>
      <c r="L184" s="495"/>
      <c r="M184" s="495"/>
      <c r="N184" s="495"/>
      <c r="O184" s="495"/>
    </row>
    <row r="185" spans="3:15" ht="25.5" customHeight="1">
      <c r="C185" s="495"/>
      <c r="D185" s="495"/>
      <c r="E185" s="495"/>
      <c r="F185" s="495"/>
      <c r="G185" s="495"/>
      <c r="H185" s="495"/>
      <c r="I185" s="495"/>
      <c r="J185" s="495"/>
      <c r="K185" s="495"/>
      <c r="L185" s="495"/>
      <c r="M185" s="495"/>
      <c r="N185" s="495"/>
      <c r="O185" s="495"/>
    </row>
    <row r="186" spans="3:15" ht="25.5" customHeight="1">
      <c r="C186" s="495"/>
      <c r="D186" s="495"/>
      <c r="E186" s="495"/>
      <c r="F186" s="495"/>
      <c r="G186" s="495"/>
      <c r="H186" s="495"/>
      <c r="I186" s="495"/>
      <c r="J186" s="495"/>
      <c r="K186" s="495"/>
      <c r="L186" s="495"/>
      <c r="M186" s="495"/>
      <c r="N186" s="495"/>
      <c r="O186" s="495"/>
    </row>
    <row r="187" spans="3:15" ht="25.5" customHeight="1">
      <c r="C187" s="495"/>
      <c r="D187" s="495"/>
      <c r="E187" s="495"/>
      <c r="F187" s="495"/>
      <c r="G187" s="495"/>
      <c r="H187" s="495"/>
      <c r="I187" s="495"/>
      <c r="J187" s="495"/>
      <c r="K187" s="495"/>
      <c r="L187" s="495"/>
      <c r="M187" s="495"/>
      <c r="N187" s="495"/>
      <c r="O187" s="495"/>
    </row>
    <row r="188" spans="3:15" ht="25.5" customHeight="1">
      <c r="C188" s="495"/>
      <c r="D188" s="495"/>
      <c r="E188" s="495"/>
      <c r="F188" s="495"/>
      <c r="G188" s="495"/>
      <c r="H188" s="495"/>
      <c r="I188" s="495"/>
      <c r="J188" s="495"/>
      <c r="K188" s="495"/>
      <c r="L188" s="495"/>
      <c r="M188" s="495"/>
      <c r="N188" s="495"/>
      <c r="O188" s="495"/>
    </row>
    <row r="189" spans="3:15" ht="25.5" customHeight="1">
      <c r="C189" s="495"/>
      <c r="D189" s="495"/>
      <c r="E189" s="495"/>
      <c r="F189" s="495"/>
      <c r="G189" s="495"/>
      <c r="H189" s="495"/>
      <c r="I189" s="495"/>
      <c r="J189" s="495"/>
      <c r="K189" s="495"/>
      <c r="L189" s="495"/>
      <c r="M189" s="495"/>
      <c r="N189" s="495"/>
      <c r="O189" s="495"/>
    </row>
    <row r="190" spans="3:15" ht="25.5" customHeight="1">
      <c r="C190" s="495"/>
      <c r="D190" s="495"/>
      <c r="E190" s="495"/>
      <c r="F190" s="495"/>
      <c r="G190" s="495"/>
      <c r="H190" s="495"/>
      <c r="I190" s="495"/>
      <c r="J190" s="495"/>
      <c r="K190" s="495"/>
      <c r="L190" s="495"/>
      <c r="M190" s="495"/>
      <c r="N190" s="495"/>
      <c r="O190" s="495"/>
    </row>
    <row r="191" spans="3:15" ht="25.5" customHeight="1">
      <c r="C191" s="495"/>
      <c r="D191" s="495"/>
      <c r="E191" s="495"/>
      <c r="F191" s="495"/>
      <c r="G191" s="495"/>
      <c r="H191" s="495"/>
      <c r="I191" s="495"/>
      <c r="J191" s="495"/>
      <c r="K191" s="495"/>
      <c r="L191" s="495"/>
      <c r="M191" s="495"/>
      <c r="N191" s="495"/>
      <c r="O191" s="495"/>
    </row>
    <row r="192" spans="3:15" ht="25.5" customHeight="1">
      <c r="C192" s="495"/>
      <c r="D192" s="495"/>
      <c r="E192" s="495"/>
      <c r="F192" s="495"/>
      <c r="G192" s="495"/>
      <c r="H192" s="495"/>
      <c r="I192" s="495"/>
      <c r="J192" s="495"/>
      <c r="K192" s="495"/>
      <c r="L192" s="495"/>
      <c r="M192" s="495"/>
      <c r="N192" s="495"/>
      <c r="O192" s="495"/>
    </row>
    <row r="193" spans="3:15" ht="25.5" customHeight="1">
      <c r="C193" s="495"/>
      <c r="D193" s="495"/>
      <c r="E193" s="495"/>
      <c r="F193" s="495"/>
      <c r="G193" s="495"/>
      <c r="H193" s="495"/>
      <c r="I193" s="495"/>
      <c r="J193" s="495"/>
      <c r="K193" s="495"/>
      <c r="L193" s="495"/>
      <c r="M193" s="495"/>
      <c r="N193" s="495"/>
      <c r="O193" s="495"/>
    </row>
    <row r="194" spans="3:15" ht="25.5" customHeight="1">
      <c r="C194" s="495"/>
      <c r="D194" s="495"/>
      <c r="E194" s="495"/>
      <c r="F194" s="495"/>
      <c r="G194" s="495"/>
      <c r="H194" s="495"/>
      <c r="I194" s="495"/>
      <c r="J194" s="495"/>
      <c r="K194" s="495"/>
      <c r="L194" s="495"/>
      <c r="M194" s="495"/>
      <c r="N194" s="495"/>
      <c r="O194" s="495"/>
    </row>
    <row r="195" spans="3:15" ht="25.5" customHeight="1">
      <c r="C195" s="495"/>
      <c r="D195" s="495"/>
      <c r="E195" s="495"/>
      <c r="F195" s="495"/>
      <c r="G195" s="495"/>
      <c r="H195" s="495"/>
      <c r="I195" s="495"/>
      <c r="J195" s="495"/>
      <c r="K195" s="495"/>
      <c r="L195" s="495"/>
      <c r="M195" s="495"/>
      <c r="N195" s="495"/>
      <c r="O195" s="495"/>
    </row>
    <row r="196" spans="3:15" ht="25.5" customHeight="1">
      <c r="C196" s="495"/>
      <c r="D196" s="495"/>
      <c r="E196" s="495"/>
      <c r="F196" s="495"/>
      <c r="G196" s="495"/>
      <c r="H196" s="495"/>
      <c r="I196" s="495"/>
      <c r="J196" s="495"/>
      <c r="K196" s="495"/>
      <c r="L196" s="495"/>
      <c r="M196" s="495"/>
      <c r="N196" s="495"/>
      <c r="O196" s="495"/>
    </row>
    <row r="197" spans="3:15" ht="25.5" customHeight="1">
      <c r="C197" s="495"/>
      <c r="D197" s="495"/>
      <c r="E197" s="495"/>
      <c r="F197" s="495"/>
      <c r="G197" s="495"/>
      <c r="H197" s="495"/>
      <c r="I197" s="495"/>
      <c r="J197" s="495"/>
      <c r="K197" s="495"/>
      <c r="L197" s="495"/>
      <c r="M197" s="495"/>
      <c r="N197" s="495"/>
      <c r="O197" s="495"/>
    </row>
    <row r="198" spans="3:15" ht="25.5" customHeight="1">
      <c r="C198" s="495"/>
      <c r="D198" s="495"/>
      <c r="E198" s="495"/>
      <c r="F198" s="495"/>
      <c r="G198" s="495"/>
      <c r="H198" s="495"/>
      <c r="I198" s="495"/>
      <c r="J198" s="495"/>
      <c r="K198" s="495"/>
      <c r="L198" s="495"/>
      <c r="M198" s="495"/>
      <c r="N198" s="495"/>
      <c r="O198" s="495"/>
    </row>
    <row r="199" spans="3:15" ht="25.5" customHeight="1">
      <c r="C199" s="495"/>
      <c r="D199" s="495"/>
      <c r="E199" s="495"/>
      <c r="F199" s="495"/>
      <c r="G199" s="495"/>
      <c r="H199" s="495"/>
      <c r="I199" s="495"/>
      <c r="J199" s="495"/>
      <c r="K199" s="495"/>
      <c r="L199" s="495"/>
      <c r="M199" s="495"/>
      <c r="N199" s="495"/>
      <c r="O199" s="495"/>
    </row>
    <row r="200" spans="3:15" ht="25.5" customHeight="1">
      <c r="C200" s="495"/>
      <c r="D200" s="495"/>
      <c r="E200" s="495"/>
      <c r="F200" s="495"/>
      <c r="G200" s="495"/>
      <c r="H200" s="495"/>
      <c r="I200" s="495"/>
      <c r="J200" s="495"/>
      <c r="K200" s="495"/>
      <c r="L200" s="495"/>
      <c r="M200" s="495"/>
      <c r="N200" s="495"/>
      <c r="O200" s="495"/>
    </row>
    <row r="201" spans="3:15" ht="25.5" customHeight="1">
      <c r="C201" s="495"/>
      <c r="D201" s="495"/>
      <c r="E201" s="495"/>
      <c r="F201" s="495"/>
      <c r="G201" s="495"/>
      <c r="H201" s="495"/>
      <c r="I201" s="495"/>
      <c r="J201" s="495"/>
      <c r="K201" s="495"/>
      <c r="L201" s="495"/>
      <c r="M201" s="495"/>
      <c r="N201" s="495"/>
      <c r="O201" s="495"/>
    </row>
    <row r="202" spans="3:15" ht="25.5" customHeight="1">
      <c r="C202" s="495"/>
      <c r="D202" s="495"/>
      <c r="E202" s="495"/>
      <c r="F202" s="495"/>
      <c r="G202" s="495"/>
      <c r="H202" s="495"/>
      <c r="I202" s="495"/>
      <c r="J202" s="495"/>
      <c r="K202" s="495"/>
      <c r="L202" s="495"/>
      <c r="M202" s="495"/>
      <c r="N202" s="495"/>
      <c r="O202" s="495"/>
    </row>
    <row r="203" spans="3:15" ht="25.5" customHeight="1">
      <c r="C203" s="495"/>
      <c r="D203" s="495"/>
      <c r="E203" s="495"/>
      <c r="F203" s="495"/>
      <c r="G203" s="495"/>
      <c r="H203" s="495"/>
      <c r="I203" s="495"/>
      <c r="J203" s="495"/>
      <c r="K203" s="495"/>
      <c r="L203" s="495"/>
      <c r="M203" s="495"/>
      <c r="N203" s="495"/>
      <c r="O203" s="495"/>
    </row>
    <row r="204" spans="3:15" ht="25.5" customHeight="1">
      <c r="C204" s="495"/>
      <c r="D204" s="495"/>
      <c r="E204" s="495"/>
      <c r="F204" s="495"/>
      <c r="G204" s="495"/>
      <c r="H204" s="495"/>
      <c r="I204" s="495"/>
      <c r="J204" s="495"/>
      <c r="K204" s="495"/>
      <c r="L204" s="495"/>
      <c r="M204" s="495"/>
      <c r="N204" s="495"/>
      <c r="O204" s="495"/>
    </row>
    <row r="205" spans="3:15" ht="25.5" customHeight="1">
      <c r="C205" s="495"/>
      <c r="D205" s="495"/>
      <c r="E205" s="495"/>
      <c r="F205" s="495"/>
      <c r="G205" s="495"/>
      <c r="H205" s="495"/>
      <c r="I205" s="495"/>
      <c r="J205" s="495"/>
      <c r="K205" s="495"/>
      <c r="L205" s="495"/>
      <c r="M205" s="495"/>
      <c r="N205" s="495"/>
      <c r="O205" s="495"/>
    </row>
    <row r="206" spans="3:15" ht="25.5" customHeight="1">
      <c r="C206" s="495"/>
      <c r="D206" s="495"/>
      <c r="E206" s="495"/>
      <c r="F206" s="495"/>
      <c r="G206" s="495"/>
      <c r="H206" s="495"/>
      <c r="I206" s="495"/>
      <c r="J206" s="495"/>
      <c r="K206" s="495"/>
      <c r="L206" s="495"/>
      <c r="M206" s="495"/>
      <c r="N206" s="495"/>
      <c r="O206" s="495"/>
    </row>
    <row r="207" spans="3:15" ht="25.5" customHeight="1">
      <c r="C207" s="495"/>
      <c r="D207" s="495"/>
      <c r="E207" s="495"/>
      <c r="F207" s="495"/>
      <c r="G207" s="495"/>
      <c r="H207" s="495"/>
      <c r="I207" s="495"/>
      <c r="J207" s="495"/>
      <c r="K207" s="495"/>
      <c r="L207" s="495"/>
      <c r="M207" s="495"/>
      <c r="N207" s="495"/>
      <c r="O207" s="495"/>
    </row>
    <row r="208" spans="3:15" ht="25.5" customHeight="1">
      <c r="C208" s="495"/>
      <c r="D208" s="495"/>
      <c r="E208" s="495"/>
      <c r="F208" s="495"/>
      <c r="G208" s="495"/>
      <c r="H208" s="495"/>
      <c r="I208" s="495"/>
      <c r="J208" s="495"/>
      <c r="K208" s="495"/>
      <c r="L208" s="495"/>
      <c r="M208" s="495"/>
      <c r="N208" s="495"/>
      <c r="O208" s="495"/>
    </row>
    <row r="209" spans="3:15" ht="25.5" customHeight="1">
      <c r="C209" s="495"/>
      <c r="D209" s="495"/>
      <c r="E209" s="495"/>
      <c r="F209" s="495"/>
      <c r="G209" s="495"/>
      <c r="H209" s="495"/>
      <c r="I209" s="495"/>
      <c r="J209" s="495"/>
      <c r="K209" s="495"/>
      <c r="L209" s="495"/>
      <c r="M209" s="495"/>
      <c r="N209" s="495"/>
      <c r="O209" s="495"/>
    </row>
    <row r="210" spans="3:15" ht="25.5" customHeight="1">
      <c r="C210" s="495"/>
      <c r="D210" s="495"/>
      <c r="E210" s="495"/>
      <c r="F210" s="495"/>
      <c r="G210" s="495"/>
      <c r="H210" s="495"/>
      <c r="I210" s="495"/>
      <c r="J210" s="495"/>
      <c r="K210" s="495"/>
      <c r="L210" s="495"/>
      <c r="M210" s="495"/>
      <c r="N210" s="495"/>
      <c r="O210" s="495"/>
    </row>
    <row r="211" spans="3:15" ht="25.5" customHeight="1">
      <c r="C211" s="495"/>
      <c r="D211" s="495"/>
      <c r="E211" s="495"/>
      <c r="F211" s="495"/>
      <c r="G211" s="495"/>
      <c r="H211" s="495"/>
      <c r="I211" s="495"/>
      <c r="J211" s="495"/>
      <c r="K211" s="495"/>
      <c r="L211" s="495"/>
      <c r="M211" s="495"/>
      <c r="N211" s="495"/>
      <c r="O211" s="495"/>
    </row>
    <row r="212" spans="3:15" ht="25.5" customHeight="1">
      <c r="C212" s="495"/>
      <c r="D212" s="495"/>
      <c r="E212" s="495"/>
      <c r="F212" s="495"/>
      <c r="G212" s="495"/>
      <c r="H212" s="495"/>
      <c r="I212" s="495"/>
      <c r="J212" s="495"/>
      <c r="K212" s="495"/>
      <c r="L212" s="495"/>
      <c r="M212" s="495"/>
      <c r="N212" s="495"/>
      <c r="O212" s="495"/>
    </row>
    <row r="213" spans="3:15" ht="25.5" customHeight="1">
      <c r="C213" s="495"/>
      <c r="D213" s="495"/>
      <c r="E213" s="495"/>
      <c r="F213" s="495"/>
      <c r="G213" s="495"/>
      <c r="H213" s="495"/>
      <c r="I213" s="495"/>
      <c r="J213" s="495"/>
      <c r="K213" s="495"/>
      <c r="L213" s="495"/>
      <c r="M213" s="495"/>
      <c r="N213" s="495"/>
      <c r="O213" s="495"/>
    </row>
    <row r="214" spans="3:15" ht="25.5" customHeight="1">
      <c r="C214" s="495"/>
      <c r="D214" s="495"/>
      <c r="E214" s="495"/>
      <c r="F214" s="495"/>
      <c r="G214" s="495"/>
      <c r="H214" s="495"/>
      <c r="I214" s="495"/>
      <c r="J214" s="495"/>
      <c r="K214" s="495"/>
      <c r="L214" s="495"/>
      <c r="M214" s="495"/>
      <c r="N214" s="495"/>
      <c r="O214" s="495"/>
    </row>
    <row r="215" spans="3:15" ht="25.5" customHeight="1">
      <c r="C215" s="495"/>
      <c r="D215" s="495"/>
      <c r="E215" s="495"/>
      <c r="F215" s="495"/>
      <c r="G215" s="495"/>
      <c r="H215" s="495"/>
      <c r="I215" s="495"/>
      <c r="J215" s="495"/>
      <c r="K215" s="495"/>
      <c r="L215" s="495"/>
      <c r="M215" s="495"/>
      <c r="N215" s="495"/>
      <c r="O215" s="495"/>
    </row>
    <row r="216" spans="3:15" ht="25.5" customHeight="1">
      <c r="C216" s="495"/>
      <c r="D216" s="495"/>
      <c r="E216" s="495"/>
      <c r="F216" s="495"/>
      <c r="G216" s="495"/>
      <c r="H216" s="495"/>
      <c r="I216" s="495"/>
      <c r="J216" s="495"/>
      <c r="K216" s="495"/>
      <c r="L216" s="495"/>
      <c r="M216" s="495"/>
      <c r="N216" s="495"/>
      <c r="O216" s="495"/>
    </row>
    <row r="217" spans="3:15" ht="25.5" customHeight="1">
      <c r="C217" s="495"/>
      <c r="D217" s="495"/>
      <c r="E217" s="495"/>
      <c r="F217" s="495"/>
      <c r="G217" s="495"/>
      <c r="H217" s="495"/>
      <c r="I217" s="495"/>
      <c r="J217" s="495"/>
      <c r="K217" s="495"/>
      <c r="L217" s="495"/>
      <c r="M217" s="495"/>
      <c r="N217" s="495"/>
      <c r="O217" s="495"/>
    </row>
    <row r="218" spans="3:15" ht="25.5" customHeight="1">
      <c r="C218" s="495"/>
      <c r="D218" s="495"/>
      <c r="E218" s="495"/>
      <c r="F218" s="495"/>
      <c r="G218" s="495"/>
      <c r="H218" s="495"/>
      <c r="I218" s="495"/>
      <c r="J218" s="495"/>
      <c r="K218" s="495"/>
      <c r="L218" s="495"/>
      <c r="M218" s="495"/>
      <c r="N218" s="495"/>
      <c r="O218" s="495"/>
    </row>
    <row r="219" spans="3:15" ht="25.5" customHeight="1">
      <c r="C219" s="495"/>
      <c r="D219" s="495"/>
      <c r="E219" s="495"/>
      <c r="F219" s="495"/>
      <c r="G219" s="495"/>
      <c r="H219" s="495"/>
      <c r="I219" s="495"/>
      <c r="J219" s="495"/>
      <c r="K219" s="495"/>
      <c r="L219" s="495"/>
      <c r="M219" s="495"/>
      <c r="N219" s="495"/>
      <c r="O219" s="495"/>
    </row>
    <row r="220" spans="3:15" ht="25.5" customHeight="1">
      <c r="C220" s="495"/>
      <c r="D220" s="495"/>
      <c r="E220" s="495"/>
      <c r="F220" s="495"/>
      <c r="G220" s="495"/>
      <c r="H220" s="495"/>
      <c r="I220" s="495"/>
      <c r="J220" s="495"/>
      <c r="K220" s="495"/>
      <c r="L220" s="495"/>
      <c r="M220" s="495"/>
      <c r="N220" s="495"/>
      <c r="O220" s="495"/>
    </row>
    <row r="221" spans="3:15" ht="25.5" customHeight="1">
      <c r="C221" s="495"/>
      <c r="D221" s="495"/>
      <c r="E221" s="495"/>
      <c r="F221" s="495"/>
      <c r="G221" s="495"/>
      <c r="H221" s="495"/>
      <c r="I221" s="495"/>
      <c r="J221" s="495"/>
      <c r="K221" s="495"/>
      <c r="L221" s="495"/>
      <c r="M221" s="495"/>
      <c r="N221" s="495"/>
      <c r="O221" s="495"/>
    </row>
    <row r="222" spans="3:15" ht="25.5" customHeight="1">
      <c r="C222" s="495"/>
      <c r="D222" s="495"/>
      <c r="E222" s="495"/>
      <c r="F222" s="495"/>
      <c r="G222" s="495"/>
      <c r="H222" s="495"/>
      <c r="I222" s="495"/>
      <c r="J222" s="495"/>
      <c r="K222" s="495"/>
      <c r="L222" s="495"/>
      <c r="M222" s="495"/>
      <c r="N222" s="495"/>
      <c r="O222" s="495"/>
    </row>
    <row r="223" spans="3:15" ht="25.5" customHeight="1">
      <c r="C223" s="495"/>
      <c r="D223" s="495"/>
      <c r="E223" s="495"/>
      <c r="F223" s="495"/>
      <c r="G223" s="495"/>
      <c r="H223" s="495"/>
      <c r="I223" s="495"/>
      <c r="J223" s="495"/>
      <c r="K223" s="495"/>
      <c r="L223" s="495"/>
      <c r="M223" s="495"/>
      <c r="N223" s="495"/>
      <c r="O223" s="495"/>
    </row>
    <row r="224" spans="3:15" ht="25.5" customHeight="1">
      <c r="C224" s="495"/>
      <c r="D224" s="495"/>
      <c r="E224" s="495"/>
      <c r="F224" s="495"/>
      <c r="G224" s="495"/>
      <c r="H224" s="495"/>
      <c r="I224" s="495"/>
      <c r="J224" s="495"/>
      <c r="K224" s="495"/>
      <c r="L224" s="495"/>
      <c r="M224" s="495"/>
      <c r="N224" s="495"/>
      <c r="O224" s="495"/>
    </row>
    <row r="225" spans="3:15" ht="25.5" customHeight="1">
      <c r="C225" s="495"/>
      <c r="D225" s="495"/>
      <c r="E225" s="495"/>
      <c r="F225" s="495"/>
      <c r="G225" s="495"/>
      <c r="H225" s="495"/>
      <c r="I225" s="495"/>
      <c r="J225" s="495"/>
      <c r="K225" s="495"/>
      <c r="L225" s="495"/>
      <c r="M225" s="495"/>
      <c r="N225" s="495"/>
      <c r="O225" s="495"/>
    </row>
    <row r="226" spans="3:15" ht="25.5" customHeight="1">
      <c r="C226" s="495"/>
      <c r="D226" s="495"/>
      <c r="E226" s="495"/>
      <c r="F226" s="495"/>
      <c r="G226" s="495"/>
      <c r="H226" s="495"/>
      <c r="I226" s="495"/>
      <c r="J226" s="495"/>
      <c r="K226" s="495"/>
      <c r="L226" s="495"/>
      <c r="M226" s="495"/>
      <c r="N226" s="495"/>
      <c r="O226" s="495"/>
    </row>
    <row r="227" spans="3:15" ht="25.5" customHeight="1">
      <c r="C227" s="495"/>
      <c r="D227" s="495"/>
      <c r="E227" s="495"/>
      <c r="F227" s="495"/>
      <c r="G227" s="495"/>
      <c r="H227" s="495"/>
      <c r="I227" s="495"/>
      <c r="J227" s="495"/>
      <c r="K227" s="495"/>
      <c r="L227" s="495"/>
      <c r="M227" s="495"/>
      <c r="N227" s="495"/>
      <c r="O227" s="495"/>
    </row>
    <row r="228" spans="3:15" ht="25.5" customHeight="1">
      <c r="C228" s="495"/>
      <c r="D228" s="495"/>
      <c r="E228" s="495"/>
      <c r="F228" s="495"/>
      <c r="G228" s="495"/>
      <c r="H228" s="495"/>
      <c r="I228" s="495"/>
      <c r="J228" s="495"/>
      <c r="K228" s="495"/>
      <c r="L228" s="495"/>
      <c r="M228" s="495"/>
      <c r="N228" s="495"/>
      <c r="O228" s="495"/>
    </row>
    <row r="229" spans="3:15" ht="25.5" customHeight="1">
      <c r="C229" s="495"/>
      <c r="D229" s="495"/>
      <c r="E229" s="495"/>
      <c r="F229" s="495"/>
      <c r="G229" s="495"/>
      <c r="H229" s="495"/>
      <c r="I229" s="495"/>
      <c r="J229" s="495"/>
      <c r="K229" s="495"/>
      <c r="L229" s="495"/>
      <c r="M229" s="495"/>
      <c r="N229" s="495"/>
      <c r="O229" s="495"/>
    </row>
    <row r="230" spans="3:15" ht="25.5" customHeight="1">
      <c r="C230" s="495"/>
      <c r="D230" s="495"/>
      <c r="E230" s="495"/>
      <c r="F230" s="495"/>
      <c r="G230" s="495"/>
      <c r="H230" s="495"/>
      <c r="I230" s="495"/>
      <c r="J230" s="495"/>
      <c r="K230" s="495"/>
      <c r="L230" s="495"/>
      <c r="M230" s="495"/>
      <c r="N230" s="495"/>
      <c r="O230" s="495"/>
    </row>
    <row r="231" spans="3:15" ht="25.5" customHeight="1">
      <c r="C231" s="495"/>
      <c r="D231" s="495"/>
      <c r="E231" s="495"/>
      <c r="F231" s="495"/>
      <c r="G231" s="495"/>
      <c r="H231" s="495"/>
      <c r="I231" s="495"/>
      <c r="J231" s="495"/>
      <c r="K231" s="495"/>
      <c r="L231" s="495"/>
      <c r="M231" s="495"/>
      <c r="N231" s="495"/>
      <c r="O231" s="495"/>
    </row>
    <row r="232" spans="3:15" ht="25.5" customHeight="1">
      <c r="C232" s="495"/>
      <c r="D232" s="495"/>
      <c r="E232" s="495"/>
      <c r="F232" s="495"/>
      <c r="G232" s="495"/>
      <c r="H232" s="495"/>
      <c r="I232" s="495"/>
      <c r="J232" s="495"/>
      <c r="K232" s="495"/>
      <c r="L232" s="495"/>
      <c r="M232" s="495"/>
      <c r="N232" s="495"/>
      <c r="O232" s="495"/>
    </row>
    <row r="233" spans="3:15" ht="25.5" customHeight="1">
      <c r="C233" s="495"/>
      <c r="D233" s="495"/>
      <c r="E233" s="495"/>
      <c r="F233" s="495"/>
      <c r="G233" s="495"/>
      <c r="H233" s="495"/>
      <c r="I233" s="495"/>
      <c r="J233" s="495"/>
      <c r="K233" s="495"/>
      <c r="L233" s="495"/>
      <c r="M233" s="495"/>
      <c r="N233" s="495"/>
      <c r="O233" s="495"/>
    </row>
    <row r="234" spans="3:15" ht="25.5" customHeight="1">
      <c r="C234" s="495"/>
      <c r="D234" s="495"/>
      <c r="E234" s="495"/>
      <c r="F234" s="495"/>
      <c r="G234" s="495"/>
      <c r="H234" s="495"/>
      <c r="I234" s="495"/>
      <c r="J234" s="495"/>
      <c r="K234" s="495"/>
      <c r="L234" s="495"/>
      <c r="M234" s="495"/>
      <c r="N234" s="495"/>
      <c r="O234" s="495"/>
    </row>
    <row r="235" spans="3:15" ht="25.5" customHeight="1">
      <c r="C235" s="495"/>
      <c r="D235" s="495"/>
      <c r="E235" s="495"/>
      <c r="F235" s="495"/>
      <c r="G235" s="495"/>
      <c r="H235" s="495"/>
      <c r="I235" s="495"/>
      <c r="J235" s="495"/>
      <c r="K235" s="495"/>
      <c r="L235" s="495"/>
      <c r="M235" s="495"/>
      <c r="N235" s="495"/>
      <c r="O235" s="495"/>
    </row>
    <row r="236" spans="3:15" ht="25.5" customHeight="1">
      <c r="C236" s="495"/>
      <c r="D236" s="495"/>
      <c r="E236" s="495"/>
      <c r="F236" s="495"/>
      <c r="G236" s="495"/>
      <c r="H236" s="495"/>
      <c r="I236" s="495"/>
      <c r="J236" s="495"/>
      <c r="K236" s="495"/>
      <c r="L236" s="495"/>
      <c r="M236" s="495"/>
      <c r="N236" s="495"/>
      <c r="O236" s="495"/>
    </row>
    <row r="237" spans="3:15" ht="25.5" customHeight="1">
      <c r="C237" s="495"/>
      <c r="D237" s="495"/>
      <c r="E237" s="495"/>
      <c r="F237" s="495"/>
      <c r="G237" s="495"/>
      <c r="H237" s="495"/>
      <c r="I237" s="495"/>
      <c r="J237" s="495"/>
      <c r="K237" s="495"/>
      <c r="L237" s="495"/>
      <c r="M237" s="495"/>
      <c r="N237" s="495"/>
      <c r="O237" s="495"/>
    </row>
    <row r="238" spans="3:15" ht="25.5" customHeight="1">
      <c r="C238" s="495"/>
      <c r="D238" s="495"/>
      <c r="E238" s="495"/>
      <c r="F238" s="495"/>
      <c r="G238" s="495"/>
      <c r="H238" s="495"/>
      <c r="I238" s="495"/>
      <c r="J238" s="495"/>
      <c r="K238" s="495"/>
      <c r="L238" s="495"/>
      <c r="M238" s="495"/>
      <c r="N238" s="495"/>
      <c r="O238" s="495"/>
    </row>
    <row r="239" spans="3:15" ht="25.5" customHeight="1">
      <c r="C239" s="495"/>
      <c r="D239" s="495"/>
      <c r="E239" s="495"/>
      <c r="F239" s="495"/>
      <c r="G239" s="495"/>
      <c r="H239" s="495"/>
      <c r="I239" s="495"/>
      <c r="J239" s="495"/>
      <c r="K239" s="495"/>
      <c r="L239" s="495"/>
      <c r="M239" s="495"/>
      <c r="N239" s="495"/>
      <c r="O239" s="495"/>
    </row>
    <row r="240" spans="3:15" ht="25.5" customHeight="1">
      <c r="C240" s="495"/>
      <c r="D240" s="495"/>
      <c r="E240" s="495"/>
      <c r="F240" s="495"/>
      <c r="G240" s="495"/>
      <c r="H240" s="495"/>
      <c r="I240" s="495"/>
      <c r="J240" s="495"/>
      <c r="K240" s="495"/>
      <c r="L240" s="495"/>
      <c r="M240" s="495"/>
      <c r="N240" s="495"/>
      <c r="O240" s="495"/>
    </row>
    <row r="241" spans="3:15" ht="25.5" customHeight="1">
      <c r="C241" s="495"/>
      <c r="D241" s="495"/>
      <c r="E241" s="495"/>
      <c r="F241" s="495"/>
      <c r="G241" s="495"/>
      <c r="H241" s="495"/>
      <c r="I241" s="495"/>
      <c r="J241" s="495"/>
      <c r="K241" s="495"/>
      <c r="L241" s="495"/>
      <c r="M241" s="495"/>
      <c r="N241" s="495"/>
      <c r="O241" s="495"/>
    </row>
    <row r="242" spans="3:15" ht="25.5" customHeight="1">
      <c r="C242" s="495"/>
      <c r="D242" s="495"/>
      <c r="E242" s="495"/>
      <c r="F242" s="495"/>
      <c r="G242" s="495"/>
      <c r="H242" s="495"/>
      <c r="I242" s="495"/>
      <c r="J242" s="495"/>
      <c r="K242" s="495"/>
      <c r="L242" s="495"/>
      <c r="M242" s="495"/>
      <c r="N242" s="495"/>
      <c r="O242" s="495"/>
    </row>
    <row r="243" spans="3:15" ht="25.5" customHeight="1">
      <c r="C243" s="495"/>
      <c r="D243" s="495"/>
      <c r="E243" s="495"/>
      <c r="F243" s="495"/>
      <c r="G243" s="495"/>
      <c r="H243" s="495"/>
      <c r="I243" s="495"/>
      <c r="J243" s="495"/>
      <c r="K243" s="495"/>
      <c r="L243" s="495"/>
      <c r="M243" s="495"/>
      <c r="N243" s="495"/>
      <c r="O243" s="495"/>
    </row>
    <row r="244" spans="3:15" ht="25.5" customHeight="1">
      <c r="C244" s="495"/>
      <c r="D244" s="495"/>
      <c r="E244" s="495"/>
      <c r="F244" s="495"/>
      <c r="G244" s="495"/>
      <c r="H244" s="495"/>
      <c r="I244" s="495"/>
      <c r="J244" s="495"/>
      <c r="K244" s="495"/>
      <c r="L244" s="495"/>
      <c r="M244" s="495"/>
      <c r="N244" s="495"/>
      <c r="O244" s="495"/>
    </row>
    <row r="245" spans="3:15" ht="25.5" customHeight="1">
      <c r="C245" s="495"/>
      <c r="D245" s="495"/>
      <c r="E245" s="495"/>
      <c r="F245" s="495"/>
      <c r="G245" s="495"/>
      <c r="H245" s="495"/>
      <c r="I245" s="495"/>
      <c r="J245" s="495"/>
      <c r="K245" s="495"/>
      <c r="L245" s="495"/>
      <c r="M245" s="495"/>
      <c r="N245" s="495"/>
      <c r="O245" s="495"/>
    </row>
    <row r="246" spans="3:15" ht="25.5" customHeight="1">
      <c r="C246" s="495"/>
      <c r="D246" s="495"/>
      <c r="E246" s="495"/>
      <c r="F246" s="495"/>
      <c r="G246" s="495"/>
      <c r="H246" s="495"/>
      <c r="I246" s="495"/>
      <c r="J246" s="495"/>
      <c r="K246" s="495"/>
      <c r="L246" s="495"/>
      <c r="M246" s="495"/>
      <c r="N246" s="495"/>
      <c r="O246" s="495"/>
    </row>
    <row r="247" spans="3:15" ht="25.5" customHeight="1">
      <c r="C247" s="495"/>
      <c r="D247" s="495"/>
      <c r="E247" s="495"/>
      <c r="F247" s="495"/>
      <c r="G247" s="495"/>
      <c r="H247" s="495"/>
      <c r="I247" s="495"/>
      <c r="J247" s="495"/>
      <c r="K247" s="495"/>
      <c r="L247" s="495"/>
      <c r="M247" s="495"/>
      <c r="N247" s="495"/>
      <c r="O247" s="495"/>
    </row>
    <row r="248" spans="3:15" ht="25.5" customHeight="1">
      <c r="C248" s="495"/>
      <c r="D248" s="495"/>
      <c r="E248" s="495"/>
      <c r="F248" s="495"/>
      <c r="G248" s="495"/>
      <c r="H248" s="495"/>
      <c r="I248" s="495"/>
      <c r="J248" s="495"/>
      <c r="K248" s="495"/>
      <c r="L248" s="495"/>
      <c r="M248" s="495"/>
      <c r="N248" s="495"/>
      <c r="O248" s="495"/>
    </row>
    <row r="249" spans="3:15" ht="25.5" customHeight="1">
      <c r="C249" s="495"/>
      <c r="D249" s="495"/>
      <c r="E249" s="495"/>
      <c r="F249" s="495"/>
      <c r="G249" s="495"/>
      <c r="H249" s="495"/>
      <c r="I249" s="495"/>
      <c r="J249" s="495"/>
      <c r="K249" s="495"/>
      <c r="L249" s="495"/>
      <c r="M249" s="495"/>
      <c r="N249" s="495"/>
      <c r="O249" s="495"/>
    </row>
    <row r="250" spans="3:15" ht="25.5" customHeight="1">
      <c r="C250" s="495"/>
      <c r="D250" s="495"/>
      <c r="E250" s="495"/>
      <c r="F250" s="495"/>
      <c r="G250" s="495"/>
      <c r="H250" s="495"/>
      <c r="I250" s="495"/>
      <c r="J250" s="495"/>
      <c r="K250" s="495"/>
      <c r="L250" s="495"/>
      <c r="M250" s="495"/>
      <c r="N250" s="495"/>
      <c r="O250" s="495"/>
    </row>
    <row r="251" spans="3:15" ht="25.5" customHeight="1">
      <c r="C251" s="495"/>
      <c r="D251" s="495"/>
      <c r="E251" s="495"/>
      <c r="F251" s="495"/>
      <c r="G251" s="495"/>
      <c r="H251" s="495"/>
      <c r="I251" s="495"/>
      <c r="J251" s="495"/>
      <c r="K251" s="495"/>
      <c r="L251" s="495"/>
      <c r="M251" s="495"/>
      <c r="N251" s="495"/>
      <c r="O251" s="495"/>
    </row>
    <row r="252" spans="3:15" ht="25.5" customHeight="1">
      <c r="C252" s="495"/>
      <c r="D252" s="495"/>
      <c r="E252" s="495"/>
      <c r="F252" s="495"/>
      <c r="G252" s="495"/>
      <c r="H252" s="495"/>
      <c r="I252" s="495"/>
      <c r="J252" s="495"/>
      <c r="K252" s="495"/>
      <c r="L252" s="495"/>
      <c r="M252" s="495"/>
      <c r="N252" s="495"/>
      <c r="O252" s="495"/>
    </row>
    <row r="253" spans="3:15" ht="25.5" customHeight="1">
      <c r="C253" s="495"/>
      <c r="D253" s="495"/>
      <c r="E253" s="495"/>
      <c r="F253" s="495"/>
      <c r="G253" s="495"/>
      <c r="H253" s="495"/>
      <c r="I253" s="495"/>
      <c r="J253" s="495"/>
      <c r="K253" s="495"/>
      <c r="L253" s="495"/>
      <c r="M253" s="495"/>
      <c r="N253" s="495"/>
      <c r="O253" s="495"/>
    </row>
    <row r="254" spans="3:15" ht="25.5" customHeight="1">
      <c r="C254" s="495"/>
      <c r="D254" s="495"/>
      <c r="E254" s="495"/>
      <c r="F254" s="495"/>
      <c r="G254" s="495"/>
      <c r="H254" s="495"/>
      <c r="I254" s="495"/>
      <c r="J254" s="495"/>
      <c r="K254" s="495"/>
      <c r="L254" s="495"/>
      <c r="M254" s="495"/>
      <c r="N254" s="495"/>
      <c r="O254" s="495"/>
    </row>
    <row r="255" spans="3:15" ht="25.5" customHeight="1">
      <c r="C255" s="495"/>
      <c r="D255" s="495"/>
      <c r="E255" s="495"/>
      <c r="F255" s="495"/>
      <c r="G255" s="495"/>
      <c r="H255" s="495"/>
      <c r="I255" s="495"/>
      <c r="J255" s="495"/>
      <c r="K255" s="495"/>
      <c r="L255" s="495"/>
      <c r="M255" s="495"/>
      <c r="N255" s="495"/>
      <c r="O255" s="495"/>
    </row>
    <row r="256" spans="3:15" ht="25.5" customHeight="1">
      <c r="C256" s="495"/>
      <c r="D256" s="495"/>
      <c r="E256" s="495"/>
      <c r="F256" s="495"/>
      <c r="G256" s="495"/>
      <c r="H256" s="495"/>
      <c r="I256" s="495"/>
      <c r="J256" s="495"/>
      <c r="K256" s="495"/>
      <c r="L256" s="495"/>
      <c r="M256" s="495"/>
      <c r="N256" s="495"/>
      <c r="O256" s="495"/>
    </row>
    <row r="257" spans="3:15" ht="25.5" customHeight="1">
      <c r="C257" s="495"/>
      <c r="D257" s="495"/>
      <c r="E257" s="495"/>
      <c r="F257" s="495"/>
      <c r="G257" s="495"/>
      <c r="H257" s="495"/>
      <c r="I257" s="495"/>
      <c r="J257" s="495"/>
      <c r="K257" s="495"/>
      <c r="L257" s="495"/>
      <c r="M257" s="495"/>
      <c r="N257" s="495"/>
      <c r="O257" s="495"/>
    </row>
    <row r="258" spans="3:15" ht="25.5" customHeight="1">
      <c r="C258" s="495"/>
      <c r="D258" s="495"/>
      <c r="E258" s="495"/>
      <c r="F258" s="495"/>
      <c r="G258" s="495"/>
      <c r="H258" s="495"/>
      <c r="I258" s="495"/>
      <c r="J258" s="495"/>
      <c r="K258" s="495"/>
      <c r="L258" s="495"/>
      <c r="M258" s="495"/>
      <c r="N258" s="495"/>
      <c r="O258" s="495"/>
    </row>
    <row r="259" spans="3:15" ht="25.5" customHeight="1">
      <c r="C259" s="495"/>
      <c r="D259" s="495"/>
      <c r="E259" s="495"/>
      <c r="F259" s="495"/>
      <c r="G259" s="495"/>
      <c r="H259" s="495"/>
      <c r="I259" s="495"/>
      <c r="J259" s="495"/>
      <c r="K259" s="495"/>
      <c r="L259" s="495"/>
      <c r="M259" s="495"/>
      <c r="N259" s="495"/>
      <c r="O259" s="495"/>
    </row>
    <row r="260" spans="3:15" ht="25.5" customHeight="1">
      <c r="C260" s="495"/>
      <c r="D260" s="495"/>
      <c r="E260" s="495"/>
      <c r="F260" s="495"/>
      <c r="G260" s="495"/>
      <c r="H260" s="495"/>
      <c r="I260" s="495"/>
      <c r="J260" s="495"/>
      <c r="K260" s="495"/>
      <c r="L260" s="495"/>
      <c r="M260" s="495"/>
      <c r="N260" s="495"/>
      <c r="O260" s="495"/>
    </row>
    <row r="261" spans="3:15" ht="25.5" customHeight="1">
      <c r="C261" s="495"/>
      <c r="D261" s="495"/>
      <c r="E261" s="495"/>
      <c r="F261" s="495"/>
      <c r="G261" s="495"/>
      <c r="H261" s="495"/>
      <c r="I261" s="495"/>
      <c r="J261" s="495"/>
      <c r="K261" s="495"/>
      <c r="L261" s="495"/>
      <c r="M261" s="495"/>
      <c r="N261" s="495"/>
      <c r="O261" s="495"/>
    </row>
    <row r="262" spans="3:15" ht="25.5" customHeight="1">
      <c r="C262" s="495"/>
      <c r="D262" s="495"/>
      <c r="E262" s="495"/>
      <c r="F262" s="495"/>
      <c r="G262" s="495"/>
      <c r="H262" s="495"/>
      <c r="I262" s="495"/>
      <c r="J262" s="495"/>
      <c r="K262" s="495"/>
      <c r="L262" s="495"/>
      <c r="M262" s="495"/>
      <c r="N262" s="495"/>
      <c r="O262" s="495"/>
    </row>
    <row r="263" spans="3:15" ht="25.5" customHeight="1">
      <c r="C263" s="495"/>
      <c r="D263" s="495"/>
      <c r="E263" s="495"/>
      <c r="F263" s="495"/>
      <c r="G263" s="495"/>
      <c r="H263" s="495"/>
      <c r="I263" s="495"/>
      <c r="J263" s="495"/>
      <c r="K263" s="495"/>
      <c r="L263" s="495"/>
      <c r="M263" s="495"/>
      <c r="N263" s="495"/>
      <c r="O263" s="495"/>
    </row>
    <row r="264" spans="3:15" ht="25.5" customHeight="1">
      <c r="C264" s="495"/>
      <c r="D264" s="495"/>
      <c r="E264" s="495"/>
      <c r="F264" s="495"/>
      <c r="G264" s="495"/>
      <c r="H264" s="495"/>
      <c r="I264" s="495"/>
      <c r="J264" s="495"/>
      <c r="K264" s="495"/>
      <c r="L264" s="495"/>
      <c r="M264" s="495"/>
      <c r="N264" s="495"/>
      <c r="O264" s="495"/>
    </row>
    <row r="265" spans="3:15" ht="25.5" customHeight="1">
      <c r="C265" s="495"/>
      <c r="D265" s="495"/>
      <c r="E265" s="495"/>
      <c r="F265" s="495"/>
      <c r="G265" s="495"/>
      <c r="H265" s="495"/>
      <c r="I265" s="495"/>
      <c r="J265" s="495"/>
      <c r="K265" s="495"/>
      <c r="L265" s="495"/>
      <c r="M265" s="495"/>
      <c r="N265" s="495"/>
      <c r="O265" s="495"/>
    </row>
    <row r="266" spans="3:15" ht="25.5" customHeight="1">
      <c r="C266" s="495"/>
      <c r="D266" s="495"/>
      <c r="E266" s="495"/>
      <c r="F266" s="495"/>
      <c r="G266" s="495"/>
      <c r="H266" s="495"/>
      <c r="I266" s="495"/>
      <c r="J266" s="495"/>
      <c r="K266" s="495"/>
      <c r="L266" s="495"/>
      <c r="M266" s="495"/>
      <c r="N266" s="495"/>
      <c r="O266" s="495"/>
    </row>
  </sheetData>
  <sheetProtection/>
  <mergeCells count="8">
    <mergeCell ref="C1:R1"/>
    <mergeCell ref="C2:R2"/>
    <mergeCell ref="M4:O4"/>
    <mergeCell ref="J4:L4"/>
    <mergeCell ref="P4:R4"/>
    <mergeCell ref="C4:C5"/>
    <mergeCell ref="D4:F4"/>
    <mergeCell ref="G4:I4"/>
  </mergeCells>
  <printOptions horizontalCentered="1"/>
  <pageMargins left="0.1968503937007874" right="0" top="0.815625" bottom="0.31496062992125984" header="0.2755905511811024" footer="0.1968503937007874"/>
  <pageSetup fitToHeight="1" fitToWidth="1" horizontalDpi="600" verticalDpi="600" orientation="landscape" paperSize="9" scale="53" r:id="rId1"/>
  <headerFooter alignWithMargins="0">
    <oddHeader xml:space="preserve">&amp;L&amp;11 4. melléklet 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2:AC955"/>
  <sheetViews>
    <sheetView view="pageLayout" zoomScaleNormal="96" zoomScaleSheetLayoutView="106" workbookViewId="0" topLeftCell="A1">
      <selection activeCell="C244" sqref="C244"/>
    </sheetView>
  </sheetViews>
  <sheetFormatPr defaultColWidth="9.00390625" defaultRowHeight="12.75"/>
  <cols>
    <col min="1" max="1" width="14.625" style="62" customWidth="1"/>
    <col min="2" max="2" width="8.00390625" style="66" customWidth="1"/>
    <col min="3" max="3" width="84.00390625" style="62" customWidth="1"/>
    <col min="4" max="4" width="12.75390625" style="64" customWidth="1"/>
    <col min="5" max="5" width="10.625" style="64" customWidth="1"/>
    <col min="6" max="6" width="10.00390625" style="62" customWidth="1"/>
    <col min="7" max="7" width="9.75390625" style="62" customWidth="1"/>
    <col min="8" max="8" width="11.125" style="62" customWidth="1"/>
    <col min="9" max="9" width="9.125" style="62" customWidth="1"/>
    <col min="10" max="10" width="9.375" style="62" customWidth="1"/>
    <col min="11" max="12" width="10.125" style="62" customWidth="1"/>
    <col min="13" max="13" width="9.375" style="62" customWidth="1"/>
    <col min="14" max="14" width="10.125" style="62" customWidth="1"/>
    <col min="15" max="15" width="10.625" style="65" customWidth="1"/>
    <col min="16" max="16" width="12.875" style="62" customWidth="1"/>
    <col min="17" max="17" width="10.375" style="62" customWidth="1"/>
    <col min="18" max="18" width="12.75390625" style="62" customWidth="1"/>
    <col min="19" max="16384" width="9.125" style="62" customWidth="1"/>
  </cols>
  <sheetData>
    <row r="1" ht="10.5" customHeight="1"/>
    <row r="2" spans="2:18" ht="15.75" customHeight="1">
      <c r="B2" s="1096" t="s">
        <v>210</v>
      </c>
      <c r="C2" s="1096"/>
      <c r="D2" s="1096"/>
      <c r="E2" s="1096"/>
      <c r="F2" s="1096"/>
      <c r="G2" s="1096"/>
      <c r="H2" s="1096"/>
      <c r="I2" s="1096"/>
      <c r="J2" s="1096"/>
      <c r="K2" s="1096"/>
      <c r="L2" s="1096"/>
      <c r="M2" s="1096"/>
      <c r="N2" s="1096"/>
      <c r="O2" s="1096"/>
      <c r="P2" s="1096"/>
      <c r="Q2" s="1096"/>
      <c r="R2" s="1096"/>
    </row>
    <row r="3" spans="2:17" ht="12.75" customHeight="1">
      <c r="B3" s="1083"/>
      <c r="C3" s="1083"/>
      <c r="D3" s="1083"/>
      <c r="E3" s="1083"/>
      <c r="F3" s="1083"/>
      <c r="G3" s="1083"/>
      <c r="H3" s="1083"/>
      <c r="I3" s="1083"/>
      <c r="J3" s="1083"/>
      <c r="K3" s="1083"/>
      <c r="L3" s="1083"/>
      <c r="M3" s="1083"/>
      <c r="N3" s="1083"/>
      <c r="O3" s="1083"/>
      <c r="P3" s="1083"/>
      <c r="Q3" s="652"/>
    </row>
    <row r="4" spans="14:18" ht="11.25" customHeight="1" thickBot="1">
      <c r="N4" s="64"/>
      <c r="O4" s="68"/>
      <c r="P4" s="68"/>
      <c r="Q4" s="68"/>
      <c r="R4" s="68" t="s">
        <v>576</v>
      </c>
    </row>
    <row r="5" spans="1:18" ht="13.5" customHeight="1">
      <c r="A5" s="1104" t="s">
        <v>121</v>
      </c>
      <c r="B5" s="1105"/>
      <c r="C5" s="1105"/>
      <c r="D5" s="1106"/>
      <c r="E5" s="1084" t="s">
        <v>577</v>
      </c>
      <c r="F5" s="1115" t="s">
        <v>578</v>
      </c>
      <c r="G5" s="1091" t="s">
        <v>579</v>
      </c>
      <c r="H5" s="1092"/>
      <c r="I5" s="1092"/>
      <c r="J5" s="1092"/>
      <c r="K5" s="1092"/>
      <c r="L5" s="1093"/>
      <c r="M5" s="1091" t="s">
        <v>580</v>
      </c>
      <c r="N5" s="1092"/>
      <c r="O5" s="1092"/>
      <c r="P5" s="1093"/>
      <c r="Q5" s="1091" t="s">
        <v>521</v>
      </c>
      <c r="R5" s="1101"/>
    </row>
    <row r="6" spans="1:18" ht="12" customHeight="1">
      <c r="A6" s="1107"/>
      <c r="B6" s="1108"/>
      <c r="C6" s="1108"/>
      <c r="D6" s="1109"/>
      <c r="E6" s="1085"/>
      <c r="F6" s="1116"/>
      <c r="G6" s="1087" t="s">
        <v>581</v>
      </c>
      <c r="H6" s="1087" t="s">
        <v>740</v>
      </c>
      <c r="I6" s="1087" t="s">
        <v>583</v>
      </c>
      <c r="J6" s="1087" t="s">
        <v>40</v>
      </c>
      <c r="K6" s="1087" t="s">
        <v>39</v>
      </c>
      <c r="L6" s="1087" t="s">
        <v>152</v>
      </c>
      <c r="M6" s="1099" t="s">
        <v>524</v>
      </c>
      <c r="N6" s="1099" t="s">
        <v>523</v>
      </c>
      <c r="O6" s="1087" t="s">
        <v>66</v>
      </c>
      <c r="P6" s="1097" t="s">
        <v>478</v>
      </c>
      <c r="Q6" s="1097" t="s">
        <v>584</v>
      </c>
      <c r="R6" s="1089" t="s">
        <v>479</v>
      </c>
    </row>
    <row r="7" spans="1:18" ht="39" customHeight="1">
      <c r="A7" s="1110"/>
      <c r="B7" s="1111"/>
      <c r="C7" s="1111"/>
      <c r="D7" s="1112"/>
      <c r="E7" s="1086"/>
      <c r="F7" s="1100"/>
      <c r="G7" s="1088"/>
      <c r="H7" s="1088"/>
      <c r="I7" s="1088"/>
      <c r="J7" s="1088"/>
      <c r="K7" s="1088"/>
      <c r="L7" s="1088"/>
      <c r="M7" s="1100"/>
      <c r="N7" s="1100"/>
      <c r="O7" s="1088"/>
      <c r="P7" s="1098"/>
      <c r="Q7" s="1098"/>
      <c r="R7" s="1090"/>
    </row>
    <row r="8" spans="1:24" ht="13.5" customHeight="1">
      <c r="A8" s="162" t="s">
        <v>585</v>
      </c>
      <c r="B8" s="157" t="s">
        <v>586</v>
      </c>
      <c r="C8" s="158" t="s">
        <v>587</v>
      </c>
      <c r="D8" s="165" t="s">
        <v>122</v>
      </c>
      <c r="E8" s="72">
        <v>350000</v>
      </c>
      <c r="F8" s="72">
        <f aca="true" t="shared" si="0" ref="F8:F137">SUM(G8:R8)</f>
        <v>0</v>
      </c>
      <c r="G8" s="69"/>
      <c r="H8" s="69"/>
      <c r="I8" s="69"/>
      <c r="J8" s="69"/>
      <c r="K8" s="69"/>
      <c r="L8" s="69"/>
      <c r="M8" s="69"/>
      <c r="N8" s="69"/>
      <c r="O8" s="69"/>
      <c r="P8" s="69"/>
      <c r="Q8" s="69"/>
      <c r="R8" s="163"/>
      <c r="S8" s="71"/>
      <c r="T8" s="71"/>
      <c r="U8" s="71"/>
      <c r="V8" s="71"/>
      <c r="W8" s="71"/>
      <c r="X8" s="71"/>
    </row>
    <row r="9" spans="1:24" ht="13.5" customHeight="1">
      <c r="A9" s="162"/>
      <c r="B9" s="157"/>
      <c r="C9" s="158"/>
      <c r="D9" s="165" t="s">
        <v>888</v>
      </c>
      <c r="E9" s="72">
        <v>437067</v>
      </c>
      <c r="F9" s="72">
        <f t="shared" si="0"/>
        <v>0</v>
      </c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63"/>
      <c r="S9" s="71"/>
      <c r="T9" s="71"/>
      <c r="U9" s="71"/>
      <c r="V9" s="71"/>
      <c r="W9" s="71"/>
      <c r="X9" s="71"/>
    </row>
    <row r="10" spans="1:24" ht="13.5" customHeight="1">
      <c r="A10" s="162"/>
      <c r="B10" s="157"/>
      <c r="C10" s="158"/>
      <c r="D10" s="165" t="s">
        <v>947</v>
      </c>
      <c r="E10" s="72">
        <v>437067</v>
      </c>
      <c r="F10" s="72">
        <f t="shared" si="0"/>
        <v>0</v>
      </c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163"/>
      <c r="S10" s="71"/>
      <c r="T10" s="71"/>
      <c r="U10" s="71"/>
      <c r="V10" s="71"/>
      <c r="W10" s="71"/>
      <c r="X10" s="71"/>
    </row>
    <row r="11" spans="1:24" ht="13.5" customHeight="1">
      <c r="A11" s="162" t="s">
        <v>585</v>
      </c>
      <c r="B11" s="157" t="s">
        <v>588</v>
      </c>
      <c r="C11" s="158" t="s">
        <v>589</v>
      </c>
      <c r="D11" s="165" t="s">
        <v>122</v>
      </c>
      <c r="E11" s="72">
        <v>174351</v>
      </c>
      <c r="F11" s="72">
        <f t="shared" si="0"/>
        <v>589169</v>
      </c>
      <c r="G11" s="69">
        <v>48262</v>
      </c>
      <c r="H11" s="69">
        <v>14865</v>
      </c>
      <c r="I11" s="69">
        <v>30969</v>
      </c>
      <c r="J11" s="69">
        <v>319958</v>
      </c>
      <c r="K11" s="69"/>
      <c r="L11" s="69"/>
      <c r="M11" s="69">
        <v>2540</v>
      </c>
      <c r="N11" s="69">
        <v>172575</v>
      </c>
      <c r="O11" s="69"/>
      <c r="P11" s="69"/>
      <c r="Q11" s="69"/>
      <c r="R11" s="163"/>
      <c r="S11" s="71"/>
      <c r="T11" s="71"/>
      <c r="U11" s="71"/>
      <c r="V11" s="71"/>
      <c r="W11" s="71"/>
      <c r="X11" s="71"/>
    </row>
    <row r="12" spans="1:24" ht="13.5" customHeight="1">
      <c r="A12" s="162"/>
      <c r="B12" s="157"/>
      <c r="C12" s="158"/>
      <c r="D12" s="165" t="s">
        <v>888</v>
      </c>
      <c r="E12" s="72">
        <v>177796</v>
      </c>
      <c r="F12" s="72">
        <f t="shared" si="0"/>
        <v>610735</v>
      </c>
      <c r="G12" s="69">
        <v>61399</v>
      </c>
      <c r="H12" s="69">
        <v>14999</v>
      </c>
      <c r="I12" s="69">
        <v>75085</v>
      </c>
      <c r="J12" s="69">
        <v>339857</v>
      </c>
      <c r="K12" s="69"/>
      <c r="L12" s="69"/>
      <c r="M12" s="69">
        <v>2988</v>
      </c>
      <c r="N12" s="69">
        <v>116407</v>
      </c>
      <c r="O12" s="69"/>
      <c r="P12" s="69"/>
      <c r="Q12" s="69"/>
      <c r="R12" s="163"/>
      <c r="S12" s="71"/>
      <c r="T12" s="71"/>
      <c r="U12" s="71"/>
      <c r="V12" s="71"/>
      <c r="W12" s="71"/>
      <c r="X12" s="71"/>
    </row>
    <row r="13" spans="1:24" ht="13.5" customHeight="1">
      <c r="A13" s="162"/>
      <c r="B13" s="157"/>
      <c r="C13" s="158"/>
      <c r="D13" s="165" t="s">
        <v>947</v>
      </c>
      <c r="E13" s="72">
        <v>191334</v>
      </c>
      <c r="F13" s="72">
        <f t="shared" si="0"/>
        <v>793693</v>
      </c>
      <c r="G13" s="69">
        <v>71178</v>
      </c>
      <c r="H13" s="69">
        <v>16987</v>
      </c>
      <c r="I13" s="69">
        <v>260541</v>
      </c>
      <c r="J13" s="69">
        <v>346196</v>
      </c>
      <c r="K13" s="69"/>
      <c r="L13" s="69"/>
      <c r="M13" s="69">
        <v>2988</v>
      </c>
      <c r="N13" s="69">
        <v>95803</v>
      </c>
      <c r="O13" s="69"/>
      <c r="P13" s="69"/>
      <c r="Q13" s="69"/>
      <c r="R13" s="163"/>
      <c r="S13" s="71"/>
      <c r="T13" s="71"/>
      <c r="U13" s="71"/>
      <c r="V13" s="71"/>
      <c r="W13" s="71"/>
      <c r="X13" s="71"/>
    </row>
    <row r="14" spans="1:24" ht="13.5" customHeight="1">
      <c r="A14" s="162" t="s">
        <v>590</v>
      </c>
      <c r="B14" s="157" t="s">
        <v>591</v>
      </c>
      <c r="C14" s="158" t="s">
        <v>592</v>
      </c>
      <c r="D14" s="165" t="s">
        <v>122</v>
      </c>
      <c r="E14" s="72">
        <v>1794500</v>
      </c>
      <c r="F14" s="72">
        <f t="shared" si="0"/>
        <v>0</v>
      </c>
      <c r="G14" s="70"/>
      <c r="H14" s="70"/>
      <c r="I14" s="70"/>
      <c r="J14" s="70"/>
      <c r="K14" s="70"/>
      <c r="L14" s="70"/>
      <c r="M14" s="70"/>
      <c r="N14" s="70"/>
      <c r="O14" s="70"/>
      <c r="P14" s="70"/>
      <c r="Q14" s="70"/>
      <c r="R14" s="163"/>
      <c r="S14" s="71"/>
      <c r="T14" s="71"/>
      <c r="U14" s="71"/>
      <c r="V14" s="71"/>
      <c r="W14" s="71"/>
      <c r="X14" s="71"/>
    </row>
    <row r="15" spans="1:24" ht="13.5" customHeight="1">
      <c r="A15" s="162"/>
      <c r="B15" s="157"/>
      <c r="C15" s="158"/>
      <c r="D15" s="165" t="s">
        <v>888</v>
      </c>
      <c r="E15" s="72">
        <v>1794500</v>
      </c>
      <c r="F15" s="72">
        <f t="shared" si="0"/>
        <v>0</v>
      </c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163"/>
      <c r="S15" s="71"/>
      <c r="T15" s="71"/>
      <c r="U15" s="71"/>
      <c r="V15" s="71"/>
      <c r="W15" s="71"/>
      <c r="X15" s="71"/>
    </row>
    <row r="16" spans="1:24" ht="13.5" customHeight="1">
      <c r="A16" s="162"/>
      <c r="B16" s="157"/>
      <c r="C16" s="158"/>
      <c r="D16" s="165" t="s">
        <v>947</v>
      </c>
      <c r="E16" s="72">
        <v>1831000</v>
      </c>
      <c r="F16" s="72">
        <f t="shared" si="0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63"/>
      <c r="S16" s="71"/>
      <c r="T16" s="71"/>
      <c r="U16" s="71"/>
      <c r="V16" s="71"/>
      <c r="W16" s="71"/>
      <c r="X16" s="71"/>
    </row>
    <row r="17" spans="1:24" ht="13.5" customHeight="1">
      <c r="A17" s="162" t="s">
        <v>593</v>
      </c>
      <c r="B17" s="157" t="s">
        <v>594</v>
      </c>
      <c r="C17" s="158" t="s">
        <v>595</v>
      </c>
      <c r="D17" s="165" t="s">
        <v>162</v>
      </c>
      <c r="E17" s="72">
        <v>2700</v>
      </c>
      <c r="F17" s="72">
        <f t="shared" si="0"/>
        <v>3578</v>
      </c>
      <c r="G17" s="70"/>
      <c r="H17" s="70"/>
      <c r="I17" s="70">
        <v>3578</v>
      </c>
      <c r="J17" s="70"/>
      <c r="K17" s="70"/>
      <c r="L17" s="70"/>
      <c r="M17" s="70"/>
      <c r="N17" s="70"/>
      <c r="O17" s="70"/>
      <c r="P17" s="70"/>
      <c r="Q17" s="70"/>
      <c r="R17" s="163"/>
      <c r="S17" s="71"/>
      <c r="T17" s="71"/>
      <c r="U17" s="71"/>
      <c r="V17" s="71"/>
      <c r="W17" s="71"/>
      <c r="X17" s="71"/>
    </row>
    <row r="18" spans="1:24" ht="13.5" customHeight="1">
      <c r="A18" s="162"/>
      <c r="B18" s="157"/>
      <c r="C18" s="158"/>
      <c r="D18" s="165" t="s">
        <v>888</v>
      </c>
      <c r="E18" s="72">
        <v>2700</v>
      </c>
      <c r="F18" s="72">
        <f t="shared" si="0"/>
        <v>3578</v>
      </c>
      <c r="G18" s="70"/>
      <c r="H18" s="70"/>
      <c r="I18" s="70">
        <v>3578</v>
      </c>
      <c r="J18" s="70"/>
      <c r="K18" s="70"/>
      <c r="L18" s="70"/>
      <c r="M18" s="70"/>
      <c r="N18" s="70"/>
      <c r="O18" s="70"/>
      <c r="P18" s="70"/>
      <c r="Q18" s="70"/>
      <c r="R18" s="163"/>
      <c r="S18" s="71"/>
      <c r="T18" s="71"/>
      <c r="U18" s="71"/>
      <c r="V18" s="71"/>
      <c r="W18" s="71"/>
      <c r="X18" s="71"/>
    </row>
    <row r="19" spans="1:24" ht="13.5" customHeight="1">
      <c r="A19" s="162"/>
      <c r="B19" s="157"/>
      <c r="C19" s="158"/>
      <c r="D19" s="165" t="s">
        <v>947</v>
      </c>
      <c r="E19" s="72">
        <v>2700</v>
      </c>
      <c r="F19" s="72">
        <f t="shared" si="0"/>
        <v>3578</v>
      </c>
      <c r="G19" s="70"/>
      <c r="H19" s="70"/>
      <c r="I19" s="70">
        <v>3578</v>
      </c>
      <c r="J19" s="70"/>
      <c r="K19" s="70"/>
      <c r="L19" s="70"/>
      <c r="M19" s="70"/>
      <c r="N19" s="70"/>
      <c r="O19" s="70"/>
      <c r="P19" s="70"/>
      <c r="Q19" s="70"/>
      <c r="R19" s="163"/>
      <c r="S19" s="71"/>
      <c r="T19" s="71"/>
      <c r="U19" s="71"/>
      <c r="V19" s="71"/>
      <c r="W19" s="71"/>
      <c r="X19" s="71"/>
    </row>
    <row r="20" spans="1:24" ht="13.5" customHeight="1">
      <c r="A20" s="162" t="s">
        <v>590</v>
      </c>
      <c r="B20" s="157" t="s">
        <v>596</v>
      </c>
      <c r="C20" s="158" t="s">
        <v>597</v>
      </c>
      <c r="D20" s="165" t="s">
        <v>122</v>
      </c>
      <c r="E20" s="72">
        <v>5787</v>
      </c>
      <c r="F20" s="72">
        <f t="shared" si="0"/>
        <v>20117</v>
      </c>
      <c r="G20" s="69"/>
      <c r="H20" s="69"/>
      <c r="I20" s="69">
        <v>16117</v>
      </c>
      <c r="J20" s="69"/>
      <c r="K20" s="69"/>
      <c r="L20" s="69"/>
      <c r="M20" s="69">
        <v>4000</v>
      </c>
      <c r="N20" s="69"/>
      <c r="O20" s="69"/>
      <c r="P20" s="69"/>
      <c r="Q20" s="69"/>
      <c r="R20" s="163"/>
      <c r="S20" s="71"/>
      <c r="T20" s="71"/>
      <c r="U20" s="71"/>
      <c r="V20" s="71"/>
      <c r="W20" s="71"/>
      <c r="X20" s="71"/>
    </row>
    <row r="21" spans="1:24" ht="13.5" customHeight="1">
      <c r="A21" s="162"/>
      <c r="B21" s="157"/>
      <c r="C21" s="158"/>
      <c r="D21" s="165" t="s">
        <v>888</v>
      </c>
      <c r="E21" s="72">
        <v>5887</v>
      </c>
      <c r="F21" s="72">
        <f t="shared" si="0"/>
        <v>27017</v>
      </c>
      <c r="G21" s="69"/>
      <c r="H21" s="69"/>
      <c r="I21" s="69">
        <v>18067</v>
      </c>
      <c r="J21" s="69"/>
      <c r="K21" s="69"/>
      <c r="L21" s="69"/>
      <c r="M21" s="69">
        <v>8950</v>
      </c>
      <c r="N21" s="69"/>
      <c r="O21" s="69"/>
      <c r="P21" s="69"/>
      <c r="Q21" s="69"/>
      <c r="R21" s="163"/>
      <c r="S21" s="71"/>
      <c r="T21" s="71"/>
      <c r="U21" s="71"/>
      <c r="V21" s="71"/>
      <c r="W21" s="71"/>
      <c r="X21" s="71"/>
    </row>
    <row r="22" spans="1:24" ht="13.5" customHeight="1">
      <c r="A22" s="162"/>
      <c r="B22" s="157"/>
      <c r="C22" s="158"/>
      <c r="D22" s="165" t="s">
        <v>947</v>
      </c>
      <c r="E22" s="72">
        <v>7067</v>
      </c>
      <c r="F22" s="72">
        <f t="shared" si="0"/>
        <v>28197</v>
      </c>
      <c r="G22" s="69"/>
      <c r="H22" s="69"/>
      <c r="I22" s="69">
        <v>19247</v>
      </c>
      <c r="J22" s="69"/>
      <c r="K22" s="69"/>
      <c r="L22" s="69"/>
      <c r="M22" s="69">
        <v>8950</v>
      </c>
      <c r="N22" s="69"/>
      <c r="O22" s="69"/>
      <c r="P22" s="69"/>
      <c r="Q22" s="69"/>
      <c r="R22" s="163"/>
      <c r="S22" s="71"/>
      <c r="T22" s="71"/>
      <c r="U22" s="71"/>
      <c r="V22" s="71"/>
      <c r="W22" s="71"/>
      <c r="X22" s="71"/>
    </row>
    <row r="23" spans="1:24" ht="13.5" customHeight="1">
      <c r="A23" s="162" t="s">
        <v>590</v>
      </c>
      <c r="B23" s="157" t="s">
        <v>598</v>
      </c>
      <c r="C23" s="158" t="s">
        <v>599</v>
      </c>
      <c r="D23" s="165" t="s">
        <v>122</v>
      </c>
      <c r="E23" s="72">
        <v>2661747</v>
      </c>
      <c r="F23" s="72">
        <f t="shared" si="0"/>
        <v>1937931</v>
      </c>
      <c r="G23" s="69"/>
      <c r="H23" s="69"/>
      <c r="I23" s="69">
        <v>341451</v>
      </c>
      <c r="J23" s="69">
        <v>4000</v>
      </c>
      <c r="K23" s="69"/>
      <c r="L23" s="69"/>
      <c r="M23" s="69">
        <v>145357</v>
      </c>
      <c r="N23" s="69">
        <v>1446123</v>
      </c>
      <c r="O23" s="69">
        <v>1000</v>
      </c>
      <c r="P23" s="69"/>
      <c r="Q23" s="69"/>
      <c r="R23" s="163"/>
      <c r="S23" s="71"/>
      <c r="T23" s="71"/>
      <c r="U23" s="71"/>
      <c r="V23" s="71"/>
      <c r="W23" s="71"/>
      <c r="X23" s="71"/>
    </row>
    <row r="24" spans="1:24" ht="13.5" customHeight="1">
      <c r="A24" s="162"/>
      <c r="B24" s="157"/>
      <c r="C24" s="158"/>
      <c r="D24" s="165" t="s">
        <v>888</v>
      </c>
      <c r="E24" s="72">
        <v>2661747</v>
      </c>
      <c r="F24" s="72">
        <f t="shared" si="0"/>
        <v>2091952</v>
      </c>
      <c r="G24" s="69"/>
      <c r="H24" s="69"/>
      <c r="I24" s="69">
        <v>348973</v>
      </c>
      <c r="J24" s="69">
        <v>4000</v>
      </c>
      <c r="K24" s="69"/>
      <c r="L24" s="69"/>
      <c r="M24" s="69">
        <v>204338</v>
      </c>
      <c r="N24" s="69">
        <v>1533641</v>
      </c>
      <c r="O24" s="69">
        <v>1000</v>
      </c>
      <c r="P24" s="69"/>
      <c r="Q24" s="69"/>
      <c r="R24" s="163"/>
      <c r="S24" s="71"/>
      <c r="T24" s="71"/>
      <c r="U24" s="71"/>
      <c r="V24" s="71"/>
      <c r="W24" s="71"/>
      <c r="X24" s="71"/>
    </row>
    <row r="25" spans="1:24" ht="13.5" customHeight="1">
      <c r="A25" s="162"/>
      <c r="B25" s="157"/>
      <c r="C25" s="158"/>
      <c r="D25" s="165" t="s">
        <v>947</v>
      </c>
      <c r="E25" s="72">
        <v>2531313</v>
      </c>
      <c r="F25" s="72">
        <f t="shared" si="0"/>
        <v>2559300</v>
      </c>
      <c r="G25" s="69">
        <v>4510</v>
      </c>
      <c r="H25" s="69">
        <v>1096</v>
      </c>
      <c r="I25" s="69">
        <v>357954</v>
      </c>
      <c r="J25" s="69">
        <v>4000</v>
      </c>
      <c r="K25" s="69"/>
      <c r="L25" s="69"/>
      <c r="M25" s="69">
        <v>223802</v>
      </c>
      <c r="N25" s="69">
        <v>1966938</v>
      </c>
      <c r="O25" s="69">
        <v>1000</v>
      </c>
      <c r="P25" s="69"/>
      <c r="Q25" s="69"/>
      <c r="R25" s="163"/>
      <c r="S25" s="71"/>
      <c r="T25" s="71"/>
      <c r="U25" s="71"/>
      <c r="V25" s="71"/>
      <c r="W25" s="71"/>
      <c r="X25" s="71"/>
    </row>
    <row r="26" spans="1:24" ht="13.5" customHeight="1">
      <c r="A26" s="162" t="s">
        <v>593</v>
      </c>
      <c r="B26" s="157" t="s">
        <v>600</v>
      </c>
      <c r="C26" s="158" t="s">
        <v>601</v>
      </c>
      <c r="D26" s="165" t="s">
        <v>122</v>
      </c>
      <c r="E26" s="72"/>
      <c r="F26" s="72">
        <f t="shared" si="0"/>
        <v>4837</v>
      </c>
      <c r="G26" s="70">
        <v>3200</v>
      </c>
      <c r="H26" s="70">
        <v>1637</v>
      </c>
      <c r="I26" s="70"/>
      <c r="J26" s="70"/>
      <c r="K26" s="70"/>
      <c r="L26" s="70"/>
      <c r="M26" s="70"/>
      <c r="N26" s="70"/>
      <c r="O26" s="70"/>
      <c r="P26" s="70"/>
      <c r="Q26" s="70"/>
      <c r="R26" s="163"/>
      <c r="S26" s="71"/>
      <c r="T26" s="71"/>
      <c r="U26" s="71"/>
      <c r="V26" s="71"/>
      <c r="W26" s="71"/>
      <c r="X26" s="71"/>
    </row>
    <row r="27" spans="1:24" ht="13.5" customHeight="1">
      <c r="A27" s="162"/>
      <c r="B27" s="157"/>
      <c r="C27" s="158"/>
      <c r="D27" s="165" t="s">
        <v>888</v>
      </c>
      <c r="E27" s="72"/>
      <c r="F27" s="72">
        <f t="shared" si="0"/>
        <v>4837</v>
      </c>
      <c r="G27" s="70">
        <v>3200</v>
      </c>
      <c r="H27" s="70">
        <v>1637</v>
      </c>
      <c r="I27" s="70"/>
      <c r="J27" s="70"/>
      <c r="K27" s="70"/>
      <c r="L27" s="70"/>
      <c r="M27" s="70"/>
      <c r="N27" s="70"/>
      <c r="O27" s="70"/>
      <c r="P27" s="70"/>
      <c r="Q27" s="70"/>
      <c r="R27" s="163"/>
      <c r="S27" s="71"/>
      <c r="T27" s="71"/>
      <c r="U27" s="71"/>
      <c r="V27" s="71"/>
      <c r="W27" s="71"/>
      <c r="X27" s="71"/>
    </row>
    <row r="28" spans="1:24" ht="13.5" customHeight="1">
      <c r="A28" s="162"/>
      <c r="B28" s="157"/>
      <c r="C28" s="158"/>
      <c r="D28" s="165" t="s">
        <v>947</v>
      </c>
      <c r="E28" s="72"/>
      <c r="F28" s="72">
        <f t="shared" si="0"/>
        <v>4837</v>
      </c>
      <c r="G28" s="70">
        <v>3200</v>
      </c>
      <c r="H28" s="70">
        <v>1637</v>
      </c>
      <c r="I28" s="70"/>
      <c r="J28" s="70"/>
      <c r="K28" s="70"/>
      <c r="L28" s="70"/>
      <c r="M28" s="70"/>
      <c r="N28" s="70"/>
      <c r="O28" s="70"/>
      <c r="P28" s="70"/>
      <c r="Q28" s="70"/>
      <c r="R28" s="163"/>
      <c r="S28" s="71"/>
      <c r="T28" s="71"/>
      <c r="U28" s="71"/>
      <c r="V28" s="71"/>
      <c r="W28" s="71"/>
      <c r="X28" s="71"/>
    </row>
    <row r="29" spans="1:24" ht="13.5" customHeight="1">
      <c r="A29" s="162" t="s">
        <v>593</v>
      </c>
      <c r="B29" s="157" t="s">
        <v>600</v>
      </c>
      <c r="C29" s="158" t="s">
        <v>602</v>
      </c>
      <c r="D29" s="165" t="s">
        <v>122</v>
      </c>
      <c r="E29" s="72">
        <v>2300</v>
      </c>
      <c r="F29" s="72">
        <f t="shared" si="0"/>
        <v>5000</v>
      </c>
      <c r="G29" s="70">
        <v>2000</v>
      </c>
      <c r="H29" s="70">
        <v>1024</v>
      </c>
      <c r="I29" s="70">
        <v>1976</v>
      </c>
      <c r="J29" s="70"/>
      <c r="K29" s="70"/>
      <c r="L29" s="70"/>
      <c r="M29" s="70"/>
      <c r="N29" s="70"/>
      <c r="O29" s="70"/>
      <c r="P29" s="70"/>
      <c r="Q29" s="70"/>
      <c r="R29" s="163"/>
      <c r="S29" s="71"/>
      <c r="T29" s="71"/>
      <c r="U29" s="71"/>
      <c r="V29" s="71"/>
      <c r="W29" s="71"/>
      <c r="X29" s="71"/>
    </row>
    <row r="30" spans="1:24" ht="13.5" customHeight="1">
      <c r="A30" s="162"/>
      <c r="B30" s="157"/>
      <c r="C30" s="158"/>
      <c r="D30" s="165" t="s">
        <v>888</v>
      </c>
      <c r="E30" s="72">
        <v>2300</v>
      </c>
      <c r="F30" s="72">
        <f t="shared" si="0"/>
        <v>5300</v>
      </c>
      <c r="G30" s="70">
        <v>2000</v>
      </c>
      <c r="H30" s="70">
        <v>1024</v>
      </c>
      <c r="I30" s="70">
        <v>2276</v>
      </c>
      <c r="J30" s="70"/>
      <c r="K30" s="70"/>
      <c r="L30" s="70"/>
      <c r="M30" s="70"/>
      <c r="N30" s="70"/>
      <c r="O30" s="70"/>
      <c r="P30" s="70"/>
      <c r="Q30" s="70"/>
      <c r="R30" s="163"/>
      <c r="S30" s="71"/>
      <c r="T30" s="71"/>
      <c r="U30" s="71"/>
      <c r="V30" s="71"/>
      <c r="W30" s="71"/>
      <c r="X30" s="71"/>
    </row>
    <row r="31" spans="1:24" ht="13.5" customHeight="1">
      <c r="A31" s="162"/>
      <c r="B31" s="157"/>
      <c r="C31" s="158"/>
      <c r="D31" s="165" t="s">
        <v>947</v>
      </c>
      <c r="E31" s="72">
        <v>2300</v>
      </c>
      <c r="F31" s="72">
        <f t="shared" si="0"/>
        <v>5300</v>
      </c>
      <c r="G31" s="70">
        <v>2000</v>
      </c>
      <c r="H31" s="70">
        <v>424</v>
      </c>
      <c r="I31" s="70">
        <v>2874</v>
      </c>
      <c r="J31" s="70"/>
      <c r="K31" s="70"/>
      <c r="L31" s="70"/>
      <c r="M31" s="70"/>
      <c r="N31" s="70">
        <v>2</v>
      </c>
      <c r="O31" s="70"/>
      <c r="P31" s="70"/>
      <c r="Q31" s="70"/>
      <c r="R31" s="163"/>
      <c r="S31" s="71"/>
      <c r="T31" s="71"/>
      <c r="U31" s="71"/>
      <c r="V31" s="71"/>
      <c r="W31" s="71"/>
      <c r="X31" s="71"/>
    </row>
    <row r="32" spans="1:24" ht="13.5" customHeight="1">
      <c r="A32" s="162" t="s">
        <v>593</v>
      </c>
      <c r="B32" s="157" t="s">
        <v>600</v>
      </c>
      <c r="C32" s="158" t="s">
        <v>603</v>
      </c>
      <c r="D32" s="165" t="s">
        <v>122</v>
      </c>
      <c r="E32" s="72"/>
      <c r="F32" s="72">
        <f t="shared" si="0"/>
        <v>7589</v>
      </c>
      <c r="G32" s="70">
        <v>5500</v>
      </c>
      <c r="H32" s="70">
        <v>2089</v>
      </c>
      <c r="I32" s="70"/>
      <c r="J32" s="70"/>
      <c r="K32" s="70"/>
      <c r="L32" s="70"/>
      <c r="M32" s="70"/>
      <c r="N32" s="70"/>
      <c r="O32" s="70"/>
      <c r="P32" s="70"/>
      <c r="Q32" s="70"/>
      <c r="R32" s="163"/>
      <c r="S32" s="71"/>
      <c r="T32" s="71"/>
      <c r="U32" s="71"/>
      <c r="V32" s="71"/>
      <c r="W32" s="71"/>
      <c r="X32" s="71"/>
    </row>
    <row r="33" spans="1:24" ht="13.5" customHeight="1">
      <c r="A33" s="162"/>
      <c r="B33" s="157"/>
      <c r="C33" s="158"/>
      <c r="D33" s="165" t="s">
        <v>888</v>
      </c>
      <c r="E33" s="72"/>
      <c r="F33" s="72">
        <f t="shared" si="0"/>
        <v>7639</v>
      </c>
      <c r="G33" s="70">
        <v>5500</v>
      </c>
      <c r="H33" s="70">
        <v>2089</v>
      </c>
      <c r="I33" s="70">
        <v>50</v>
      </c>
      <c r="J33" s="70"/>
      <c r="K33" s="70"/>
      <c r="L33" s="70"/>
      <c r="M33" s="70"/>
      <c r="N33" s="70"/>
      <c r="O33" s="70"/>
      <c r="P33" s="70"/>
      <c r="Q33" s="70"/>
      <c r="R33" s="163"/>
      <c r="S33" s="71"/>
      <c r="T33" s="71"/>
      <c r="U33" s="71"/>
      <c r="V33" s="71"/>
      <c r="W33" s="71"/>
      <c r="X33" s="71"/>
    </row>
    <row r="34" spans="1:24" ht="13.5" customHeight="1">
      <c r="A34" s="162"/>
      <c r="B34" s="157"/>
      <c r="C34" s="158"/>
      <c r="D34" s="165" t="s">
        <v>947</v>
      </c>
      <c r="E34" s="72"/>
      <c r="F34" s="72">
        <f t="shared" si="0"/>
        <v>7639</v>
      </c>
      <c r="G34" s="70">
        <v>5307</v>
      </c>
      <c r="H34" s="70">
        <v>2089</v>
      </c>
      <c r="I34" s="70">
        <v>50</v>
      </c>
      <c r="J34" s="70">
        <v>193</v>
      </c>
      <c r="K34" s="70"/>
      <c r="L34" s="70"/>
      <c r="M34" s="70"/>
      <c r="N34" s="70"/>
      <c r="O34" s="70"/>
      <c r="P34" s="70"/>
      <c r="Q34" s="70"/>
      <c r="R34" s="163"/>
      <c r="S34" s="71"/>
      <c r="T34" s="71"/>
      <c r="U34" s="71"/>
      <c r="V34" s="71"/>
      <c r="W34" s="71"/>
      <c r="X34" s="71"/>
    </row>
    <row r="35" spans="1:24" ht="13.5" customHeight="1">
      <c r="A35" s="162" t="s">
        <v>593</v>
      </c>
      <c r="B35" s="157" t="s">
        <v>600</v>
      </c>
      <c r="C35" s="158" t="s">
        <v>604</v>
      </c>
      <c r="D35" s="165" t="s">
        <v>122</v>
      </c>
      <c r="E35" s="72"/>
      <c r="F35" s="72">
        <f t="shared" si="0"/>
        <v>7710</v>
      </c>
      <c r="G35" s="70">
        <v>5100</v>
      </c>
      <c r="H35" s="70">
        <v>2610</v>
      </c>
      <c r="I35" s="70"/>
      <c r="J35" s="70"/>
      <c r="K35" s="70"/>
      <c r="L35" s="70"/>
      <c r="M35" s="70"/>
      <c r="N35" s="70"/>
      <c r="O35" s="70"/>
      <c r="P35" s="70"/>
      <c r="Q35" s="70"/>
      <c r="R35" s="163"/>
      <c r="S35" s="71"/>
      <c r="T35" s="71"/>
      <c r="U35" s="71"/>
      <c r="V35" s="71"/>
      <c r="W35" s="71"/>
      <c r="X35" s="71"/>
    </row>
    <row r="36" spans="1:24" ht="13.5" customHeight="1">
      <c r="A36" s="162"/>
      <c r="B36" s="157"/>
      <c r="C36" s="158"/>
      <c r="D36" s="165" t="s">
        <v>888</v>
      </c>
      <c r="E36" s="72"/>
      <c r="F36" s="72">
        <f t="shared" si="0"/>
        <v>7710</v>
      </c>
      <c r="G36" s="70">
        <v>5100</v>
      </c>
      <c r="H36" s="70">
        <v>2610</v>
      </c>
      <c r="I36" s="70"/>
      <c r="J36" s="70"/>
      <c r="K36" s="70"/>
      <c r="L36" s="70"/>
      <c r="M36" s="70"/>
      <c r="N36" s="70"/>
      <c r="O36" s="70"/>
      <c r="P36" s="70"/>
      <c r="Q36" s="70"/>
      <c r="R36" s="163"/>
      <c r="S36" s="71"/>
      <c r="T36" s="71"/>
      <c r="U36" s="71"/>
      <c r="V36" s="71"/>
      <c r="W36" s="71"/>
      <c r="X36" s="71"/>
    </row>
    <row r="37" spans="1:24" ht="13.5" customHeight="1">
      <c r="A37" s="162"/>
      <c r="B37" s="157"/>
      <c r="C37" s="158"/>
      <c r="D37" s="165" t="s">
        <v>947</v>
      </c>
      <c r="E37" s="72"/>
      <c r="F37" s="72">
        <f t="shared" si="0"/>
        <v>7836</v>
      </c>
      <c r="G37" s="70">
        <v>4511</v>
      </c>
      <c r="H37" s="70">
        <v>2610</v>
      </c>
      <c r="I37" s="70">
        <v>539</v>
      </c>
      <c r="J37" s="70"/>
      <c r="K37" s="70"/>
      <c r="L37" s="70"/>
      <c r="M37" s="70"/>
      <c r="N37" s="70">
        <v>176</v>
      </c>
      <c r="O37" s="70"/>
      <c r="P37" s="70"/>
      <c r="Q37" s="70"/>
      <c r="R37" s="163"/>
      <c r="S37" s="71"/>
      <c r="T37" s="71"/>
      <c r="U37" s="71"/>
      <c r="V37" s="71"/>
      <c r="W37" s="71"/>
      <c r="X37" s="71"/>
    </row>
    <row r="38" spans="1:24" ht="13.5" customHeight="1">
      <c r="A38" s="162" t="s">
        <v>585</v>
      </c>
      <c r="B38" s="157" t="s">
        <v>605</v>
      </c>
      <c r="C38" s="158" t="s">
        <v>606</v>
      </c>
      <c r="D38" s="165" t="s">
        <v>122</v>
      </c>
      <c r="E38" s="72">
        <v>1128539</v>
      </c>
      <c r="F38" s="72">
        <f t="shared" si="0"/>
        <v>0</v>
      </c>
      <c r="G38" s="69"/>
      <c r="H38" s="69"/>
      <c r="I38" s="69"/>
      <c r="J38" s="69"/>
      <c r="K38" s="69"/>
      <c r="L38" s="69"/>
      <c r="M38" s="69"/>
      <c r="N38" s="69"/>
      <c r="O38" s="69"/>
      <c r="P38" s="69"/>
      <c r="Q38" s="69"/>
      <c r="R38" s="163"/>
      <c r="S38" s="71"/>
      <c r="T38" s="71"/>
      <c r="U38" s="71"/>
      <c r="V38" s="71"/>
      <c r="W38" s="71"/>
      <c r="X38" s="71"/>
    </row>
    <row r="39" spans="1:24" ht="13.5" customHeight="1">
      <c r="A39" s="162"/>
      <c r="B39" s="157"/>
      <c r="C39" s="158"/>
      <c r="D39" s="165" t="s">
        <v>888</v>
      </c>
      <c r="E39" s="72">
        <v>1227891</v>
      </c>
      <c r="F39" s="72">
        <f t="shared" si="0"/>
        <v>0</v>
      </c>
      <c r="G39" s="69"/>
      <c r="H39" s="69"/>
      <c r="I39" s="69"/>
      <c r="J39" s="69"/>
      <c r="K39" s="69"/>
      <c r="L39" s="69"/>
      <c r="M39" s="69"/>
      <c r="N39" s="69"/>
      <c r="O39" s="69"/>
      <c r="P39" s="69"/>
      <c r="Q39" s="69"/>
      <c r="R39" s="163"/>
      <c r="S39" s="71"/>
      <c r="T39" s="71"/>
      <c r="U39" s="71"/>
      <c r="V39" s="71"/>
      <c r="W39" s="71"/>
      <c r="X39" s="71"/>
    </row>
    <row r="40" spans="1:24" ht="13.5" customHeight="1">
      <c r="A40" s="162"/>
      <c r="B40" s="157"/>
      <c r="C40" s="158"/>
      <c r="D40" s="165" t="s">
        <v>947</v>
      </c>
      <c r="E40" s="72">
        <v>1255234</v>
      </c>
      <c r="F40" s="72">
        <f t="shared" si="0"/>
        <v>0</v>
      </c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163"/>
      <c r="S40" s="71"/>
      <c r="T40" s="71"/>
      <c r="U40" s="71"/>
      <c r="V40" s="71"/>
      <c r="W40" s="71"/>
      <c r="X40" s="71"/>
    </row>
    <row r="41" spans="1:24" ht="13.5" customHeight="1">
      <c r="A41" s="162" t="s">
        <v>585</v>
      </c>
      <c r="B41" s="157" t="s">
        <v>607</v>
      </c>
      <c r="C41" s="158" t="s">
        <v>608</v>
      </c>
      <c r="D41" s="165" t="s">
        <v>122</v>
      </c>
      <c r="E41" s="72"/>
      <c r="F41" s="72">
        <f t="shared" si="0"/>
        <v>0</v>
      </c>
      <c r="G41" s="70"/>
      <c r="H41" s="70"/>
      <c r="I41" s="70"/>
      <c r="J41" s="70"/>
      <c r="K41" s="70"/>
      <c r="L41" s="70"/>
      <c r="M41" s="70"/>
      <c r="N41" s="70"/>
      <c r="O41" s="70"/>
      <c r="P41" s="70"/>
      <c r="Q41" s="70"/>
      <c r="R41" s="163"/>
      <c r="S41" s="71"/>
      <c r="T41" s="71"/>
      <c r="U41" s="71"/>
      <c r="V41" s="71"/>
      <c r="W41" s="71"/>
      <c r="X41" s="71"/>
    </row>
    <row r="42" spans="1:24" ht="13.5" customHeight="1">
      <c r="A42" s="162"/>
      <c r="B42" s="157"/>
      <c r="C42" s="158"/>
      <c r="D42" s="165" t="s">
        <v>888</v>
      </c>
      <c r="E42" s="72"/>
      <c r="F42" s="72">
        <f t="shared" si="0"/>
        <v>11507</v>
      </c>
      <c r="G42" s="70"/>
      <c r="H42" s="70"/>
      <c r="I42" s="70"/>
      <c r="J42" s="70">
        <v>11507</v>
      </c>
      <c r="K42" s="70"/>
      <c r="L42" s="70"/>
      <c r="M42" s="70"/>
      <c r="N42" s="70"/>
      <c r="O42" s="70"/>
      <c r="P42" s="70"/>
      <c r="Q42" s="70"/>
      <c r="R42" s="163"/>
      <c r="S42" s="71"/>
      <c r="T42" s="71"/>
      <c r="U42" s="71"/>
      <c r="V42" s="71"/>
      <c r="W42" s="71"/>
      <c r="X42" s="71"/>
    </row>
    <row r="43" spans="1:24" ht="13.5" customHeight="1">
      <c r="A43" s="162"/>
      <c r="B43" s="157"/>
      <c r="C43" s="158"/>
      <c r="D43" s="165" t="s">
        <v>947</v>
      </c>
      <c r="E43" s="72"/>
      <c r="F43" s="72">
        <f t="shared" si="0"/>
        <v>17507</v>
      </c>
      <c r="G43" s="70"/>
      <c r="H43" s="70"/>
      <c r="I43" s="70"/>
      <c r="J43" s="70">
        <v>17507</v>
      </c>
      <c r="K43" s="70"/>
      <c r="L43" s="70"/>
      <c r="M43" s="70"/>
      <c r="N43" s="70"/>
      <c r="O43" s="70"/>
      <c r="P43" s="70"/>
      <c r="Q43" s="70"/>
      <c r="R43" s="163"/>
      <c r="S43" s="71"/>
      <c r="T43" s="71"/>
      <c r="U43" s="71"/>
      <c r="V43" s="71"/>
      <c r="W43" s="71"/>
      <c r="X43" s="71"/>
    </row>
    <row r="44" spans="1:24" ht="13.5" customHeight="1">
      <c r="A44" s="162" t="s">
        <v>585</v>
      </c>
      <c r="B44" s="157" t="s">
        <v>609</v>
      </c>
      <c r="C44" s="158" t="s">
        <v>610</v>
      </c>
      <c r="D44" s="165" t="s">
        <v>122</v>
      </c>
      <c r="E44" s="72"/>
      <c r="F44" s="72">
        <f t="shared" si="0"/>
        <v>1637807</v>
      </c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653">
        <v>1637807</v>
      </c>
      <c r="S44" s="71"/>
      <c r="T44" s="71"/>
      <c r="U44" s="71"/>
      <c r="V44" s="71"/>
      <c r="W44" s="71"/>
      <c r="X44" s="71"/>
    </row>
    <row r="45" spans="1:24" ht="13.5" customHeight="1">
      <c r="A45" s="162"/>
      <c r="B45" s="157"/>
      <c r="C45" s="158"/>
      <c r="D45" s="165" t="s">
        <v>888</v>
      </c>
      <c r="E45" s="72"/>
      <c r="F45" s="72">
        <f t="shared" si="0"/>
        <v>1660834</v>
      </c>
      <c r="G45" s="70"/>
      <c r="H45" s="70"/>
      <c r="I45" s="70"/>
      <c r="J45" s="70"/>
      <c r="K45" s="70"/>
      <c r="L45" s="70"/>
      <c r="M45" s="70"/>
      <c r="N45" s="70"/>
      <c r="O45" s="70"/>
      <c r="P45" s="70"/>
      <c r="Q45" s="70"/>
      <c r="R45" s="653">
        <v>1660834</v>
      </c>
      <c r="S45" s="71"/>
      <c r="T45" s="71"/>
      <c r="U45" s="71"/>
      <c r="V45" s="71"/>
      <c r="W45" s="71"/>
      <c r="X45" s="71"/>
    </row>
    <row r="46" spans="1:24" ht="13.5" customHeight="1">
      <c r="A46" s="162"/>
      <c r="B46" s="157"/>
      <c r="C46" s="158"/>
      <c r="D46" s="165" t="s">
        <v>947</v>
      </c>
      <c r="E46" s="72"/>
      <c r="F46" s="72">
        <f t="shared" si="0"/>
        <v>1662027</v>
      </c>
      <c r="G46" s="70"/>
      <c r="H46" s="70"/>
      <c r="I46" s="70"/>
      <c r="J46" s="70"/>
      <c r="K46" s="70"/>
      <c r="L46" s="70"/>
      <c r="M46" s="70"/>
      <c r="N46" s="70"/>
      <c r="O46" s="70"/>
      <c r="P46" s="70"/>
      <c r="Q46" s="70"/>
      <c r="R46" s="653">
        <v>1662027</v>
      </c>
      <c r="S46" s="71"/>
      <c r="T46" s="71"/>
      <c r="U46" s="71"/>
      <c r="V46" s="71"/>
      <c r="W46" s="71"/>
      <c r="X46" s="71"/>
    </row>
    <row r="47" spans="1:24" ht="13.5" customHeight="1">
      <c r="A47" s="162" t="s">
        <v>590</v>
      </c>
      <c r="B47" s="157" t="s">
        <v>611</v>
      </c>
      <c r="C47" s="158" t="s">
        <v>612</v>
      </c>
      <c r="D47" s="165" t="s">
        <v>122</v>
      </c>
      <c r="E47" s="72"/>
      <c r="F47" s="72">
        <f t="shared" si="0"/>
        <v>0</v>
      </c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53"/>
      <c r="S47" s="71"/>
      <c r="T47" s="71"/>
      <c r="U47" s="71"/>
      <c r="V47" s="71"/>
      <c r="W47" s="71"/>
      <c r="X47" s="71"/>
    </row>
    <row r="48" spans="1:24" ht="13.5" customHeight="1">
      <c r="A48" s="162"/>
      <c r="B48" s="157"/>
      <c r="C48" s="158"/>
      <c r="D48" s="165" t="s">
        <v>888</v>
      </c>
      <c r="E48" s="72"/>
      <c r="F48" s="72">
        <f t="shared" si="0"/>
        <v>0</v>
      </c>
      <c r="G48" s="69"/>
      <c r="H48" s="69"/>
      <c r="I48" s="69"/>
      <c r="J48" s="69"/>
      <c r="K48" s="69"/>
      <c r="L48" s="69"/>
      <c r="M48" s="69"/>
      <c r="N48" s="69"/>
      <c r="O48" s="69"/>
      <c r="P48" s="69"/>
      <c r="Q48" s="69"/>
      <c r="R48" s="163"/>
      <c r="S48" s="71"/>
      <c r="T48" s="71"/>
      <c r="U48" s="71"/>
      <c r="V48" s="71"/>
      <c r="W48" s="71"/>
      <c r="X48" s="71"/>
    </row>
    <row r="49" spans="1:24" ht="13.5" customHeight="1">
      <c r="A49" s="162"/>
      <c r="B49" s="157"/>
      <c r="C49" s="158"/>
      <c r="D49" s="165" t="s">
        <v>947</v>
      </c>
      <c r="E49" s="72"/>
      <c r="F49" s="72">
        <f t="shared" si="0"/>
        <v>0</v>
      </c>
      <c r="G49" s="69"/>
      <c r="H49" s="69"/>
      <c r="I49" s="69"/>
      <c r="J49" s="69"/>
      <c r="K49" s="69"/>
      <c r="L49" s="69"/>
      <c r="M49" s="69"/>
      <c r="N49" s="69"/>
      <c r="O49" s="69"/>
      <c r="P49" s="69"/>
      <c r="Q49" s="69"/>
      <c r="R49" s="163"/>
      <c r="S49" s="71"/>
      <c r="T49" s="71"/>
      <c r="U49" s="71"/>
      <c r="V49" s="71"/>
      <c r="W49" s="71"/>
      <c r="X49" s="71"/>
    </row>
    <row r="50" spans="1:24" ht="13.5" customHeight="1">
      <c r="A50" s="162" t="s">
        <v>590</v>
      </c>
      <c r="B50" s="157" t="s">
        <v>613</v>
      </c>
      <c r="C50" s="158" t="s">
        <v>614</v>
      </c>
      <c r="D50" s="165" t="s">
        <v>122</v>
      </c>
      <c r="E50" s="72">
        <v>300</v>
      </c>
      <c r="F50" s="72">
        <f t="shared" si="0"/>
        <v>4000</v>
      </c>
      <c r="G50" s="70"/>
      <c r="H50" s="70"/>
      <c r="I50" s="70"/>
      <c r="J50" s="70">
        <v>4000</v>
      </c>
      <c r="K50" s="70"/>
      <c r="L50" s="70"/>
      <c r="M50" s="70"/>
      <c r="N50" s="70"/>
      <c r="O50" s="70"/>
      <c r="P50" s="70"/>
      <c r="Q50" s="70"/>
      <c r="R50" s="163"/>
      <c r="S50" s="71"/>
      <c r="T50" s="71"/>
      <c r="U50" s="71"/>
      <c r="V50" s="71"/>
      <c r="W50" s="71"/>
      <c r="X50" s="71"/>
    </row>
    <row r="51" spans="1:24" ht="13.5" customHeight="1">
      <c r="A51" s="162"/>
      <c r="B51" s="157"/>
      <c r="C51" s="158"/>
      <c r="D51" s="165" t="s">
        <v>888</v>
      </c>
      <c r="E51" s="72">
        <v>300</v>
      </c>
      <c r="F51" s="72">
        <f t="shared" si="0"/>
        <v>4000</v>
      </c>
      <c r="G51" s="70"/>
      <c r="H51" s="70"/>
      <c r="I51" s="70"/>
      <c r="J51" s="70">
        <v>4000</v>
      </c>
      <c r="K51" s="70"/>
      <c r="L51" s="70"/>
      <c r="M51" s="70"/>
      <c r="N51" s="70"/>
      <c r="O51" s="70"/>
      <c r="P51" s="70"/>
      <c r="Q51" s="70"/>
      <c r="R51" s="163"/>
      <c r="S51" s="71"/>
      <c r="T51" s="71"/>
      <c r="U51" s="71"/>
      <c r="V51" s="71"/>
      <c r="W51" s="71"/>
      <c r="X51" s="71"/>
    </row>
    <row r="52" spans="1:24" ht="13.5" customHeight="1">
      <c r="A52" s="162"/>
      <c r="B52" s="157"/>
      <c r="C52" s="158"/>
      <c r="D52" s="165" t="s">
        <v>947</v>
      </c>
      <c r="E52" s="72">
        <v>300</v>
      </c>
      <c r="F52" s="72">
        <f t="shared" si="0"/>
        <v>4000</v>
      </c>
      <c r="G52" s="70"/>
      <c r="H52" s="70"/>
      <c r="I52" s="70"/>
      <c r="J52" s="70">
        <v>4000</v>
      </c>
      <c r="K52" s="70"/>
      <c r="L52" s="70"/>
      <c r="M52" s="70"/>
      <c r="N52" s="70"/>
      <c r="O52" s="70"/>
      <c r="P52" s="70"/>
      <c r="Q52" s="70"/>
      <c r="R52" s="163"/>
      <c r="S52" s="71"/>
      <c r="T52" s="71"/>
      <c r="U52" s="71"/>
      <c r="V52" s="71"/>
      <c r="W52" s="71"/>
      <c r="X52" s="71"/>
    </row>
    <row r="53" spans="1:24" ht="13.5" customHeight="1">
      <c r="A53" s="162" t="s">
        <v>590</v>
      </c>
      <c r="B53" s="157" t="s">
        <v>615</v>
      </c>
      <c r="C53" s="158" t="s">
        <v>616</v>
      </c>
      <c r="D53" s="165" t="s">
        <v>122</v>
      </c>
      <c r="E53" s="72"/>
      <c r="F53" s="72">
        <f t="shared" si="0"/>
        <v>4421</v>
      </c>
      <c r="G53" s="70"/>
      <c r="H53" s="70"/>
      <c r="I53" s="70">
        <v>4421</v>
      </c>
      <c r="J53" s="70"/>
      <c r="K53" s="70"/>
      <c r="L53" s="70"/>
      <c r="M53" s="70"/>
      <c r="N53" s="70"/>
      <c r="O53" s="70"/>
      <c r="P53" s="70"/>
      <c r="Q53" s="70"/>
      <c r="R53" s="163"/>
      <c r="S53" s="71"/>
      <c r="T53" s="71"/>
      <c r="U53" s="71"/>
      <c r="V53" s="71"/>
      <c r="W53" s="71"/>
      <c r="X53" s="71"/>
    </row>
    <row r="54" spans="1:24" ht="13.5" customHeight="1">
      <c r="A54" s="162"/>
      <c r="B54" s="157"/>
      <c r="C54" s="158"/>
      <c r="D54" s="165" t="s">
        <v>888</v>
      </c>
      <c r="E54" s="72"/>
      <c r="F54" s="72">
        <f t="shared" si="0"/>
        <v>4421</v>
      </c>
      <c r="G54" s="70"/>
      <c r="H54" s="70"/>
      <c r="I54" s="70">
        <v>4421</v>
      </c>
      <c r="J54" s="70"/>
      <c r="K54" s="70"/>
      <c r="L54" s="70"/>
      <c r="M54" s="70"/>
      <c r="N54" s="70"/>
      <c r="O54" s="70"/>
      <c r="P54" s="70"/>
      <c r="Q54" s="70"/>
      <c r="R54" s="163"/>
      <c r="S54" s="71"/>
      <c r="T54" s="71"/>
      <c r="U54" s="71"/>
      <c r="V54" s="71"/>
      <c r="W54" s="71"/>
      <c r="X54" s="71"/>
    </row>
    <row r="55" spans="1:24" ht="13.5" customHeight="1">
      <c r="A55" s="162"/>
      <c r="B55" s="157"/>
      <c r="C55" s="158"/>
      <c r="D55" s="165" t="s">
        <v>947</v>
      </c>
      <c r="E55" s="72"/>
      <c r="F55" s="72">
        <f t="shared" si="0"/>
        <v>4421</v>
      </c>
      <c r="G55" s="70"/>
      <c r="H55" s="70"/>
      <c r="I55" s="70">
        <v>4421</v>
      </c>
      <c r="J55" s="70"/>
      <c r="K55" s="70"/>
      <c r="L55" s="70"/>
      <c r="M55" s="70"/>
      <c r="N55" s="70"/>
      <c r="O55" s="70"/>
      <c r="P55" s="70"/>
      <c r="Q55" s="70"/>
      <c r="R55" s="163"/>
      <c r="S55" s="71"/>
      <c r="T55" s="71"/>
      <c r="U55" s="71"/>
      <c r="V55" s="71"/>
      <c r="W55" s="71"/>
      <c r="X55" s="71"/>
    </row>
    <row r="56" spans="1:24" ht="13.5" customHeight="1">
      <c r="A56" s="162" t="s">
        <v>590</v>
      </c>
      <c r="B56" s="157" t="s">
        <v>617</v>
      </c>
      <c r="C56" s="158" t="s">
        <v>618</v>
      </c>
      <c r="D56" s="165" t="s">
        <v>122</v>
      </c>
      <c r="E56" s="72">
        <v>25548</v>
      </c>
      <c r="F56" s="72">
        <f t="shared" si="0"/>
        <v>27373</v>
      </c>
      <c r="G56" s="69">
        <v>20098</v>
      </c>
      <c r="H56" s="69">
        <v>2713</v>
      </c>
      <c r="I56" s="69">
        <v>4562</v>
      </c>
      <c r="J56" s="69"/>
      <c r="K56" s="69"/>
      <c r="L56" s="69"/>
      <c r="M56" s="69"/>
      <c r="N56" s="69"/>
      <c r="O56" s="69"/>
      <c r="P56" s="69"/>
      <c r="Q56" s="69"/>
      <c r="R56" s="163"/>
      <c r="S56" s="71"/>
      <c r="T56" s="71"/>
      <c r="U56" s="71"/>
      <c r="V56" s="71"/>
      <c r="W56" s="71"/>
      <c r="X56" s="71"/>
    </row>
    <row r="57" spans="1:24" ht="13.5" customHeight="1">
      <c r="A57" s="162"/>
      <c r="B57" s="157"/>
      <c r="C57" s="158"/>
      <c r="D57" s="165" t="s">
        <v>888</v>
      </c>
      <c r="E57" s="72">
        <v>25548</v>
      </c>
      <c r="F57" s="72">
        <f t="shared" si="0"/>
        <v>27373</v>
      </c>
      <c r="G57" s="69">
        <v>20098</v>
      </c>
      <c r="H57" s="69">
        <v>2713</v>
      </c>
      <c r="I57" s="69">
        <v>1562</v>
      </c>
      <c r="J57" s="69"/>
      <c r="K57" s="69"/>
      <c r="L57" s="69"/>
      <c r="M57" s="69"/>
      <c r="N57" s="69">
        <v>3000</v>
      </c>
      <c r="O57" s="69"/>
      <c r="P57" s="69"/>
      <c r="Q57" s="69"/>
      <c r="R57" s="163"/>
      <c r="S57" s="71"/>
      <c r="T57" s="71"/>
      <c r="U57" s="71"/>
      <c r="V57" s="71"/>
      <c r="W57" s="71"/>
      <c r="X57" s="71"/>
    </row>
    <row r="58" spans="1:24" ht="13.5" customHeight="1">
      <c r="A58" s="162"/>
      <c r="B58" s="157"/>
      <c r="C58" s="158"/>
      <c r="D58" s="165" t="s">
        <v>947</v>
      </c>
      <c r="E58" s="72">
        <v>25548</v>
      </c>
      <c r="F58" s="72">
        <f t="shared" si="0"/>
        <v>30277</v>
      </c>
      <c r="G58" s="69">
        <v>22658</v>
      </c>
      <c r="H58" s="69">
        <v>3057</v>
      </c>
      <c r="I58" s="69">
        <v>1562</v>
      </c>
      <c r="J58" s="69"/>
      <c r="K58" s="69"/>
      <c r="L58" s="69"/>
      <c r="M58" s="69"/>
      <c r="N58" s="69">
        <v>3000</v>
      </c>
      <c r="O58" s="69"/>
      <c r="P58" s="69"/>
      <c r="Q58" s="69"/>
      <c r="R58" s="163"/>
      <c r="S58" s="71"/>
      <c r="T58" s="71"/>
      <c r="U58" s="71"/>
      <c r="V58" s="71"/>
      <c r="W58" s="71"/>
      <c r="X58" s="71"/>
    </row>
    <row r="59" spans="1:24" ht="13.5" customHeight="1">
      <c r="A59" s="162" t="s">
        <v>590</v>
      </c>
      <c r="B59" s="157" t="s">
        <v>619</v>
      </c>
      <c r="C59" s="158" t="s">
        <v>620</v>
      </c>
      <c r="D59" s="165" t="s">
        <v>122</v>
      </c>
      <c r="E59" s="72">
        <v>61650</v>
      </c>
      <c r="F59" s="72">
        <f t="shared" si="0"/>
        <v>71916</v>
      </c>
      <c r="G59" s="69">
        <v>56000</v>
      </c>
      <c r="H59" s="69">
        <v>7560</v>
      </c>
      <c r="I59" s="69">
        <v>8356</v>
      </c>
      <c r="J59" s="69"/>
      <c r="K59" s="69"/>
      <c r="L59" s="69"/>
      <c r="M59" s="69"/>
      <c r="N59" s="69"/>
      <c r="O59" s="69"/>
      <c r="P59" s="69"/>
      <c r="Q59" s="69"/>
      <c r="R59" s="163"/>
      <c r="S59" s="71"/>
      <c r="T59" s="71"/>
      <c r="U59" s="71"/>
      <c r="V59" s="71"/>
      <c r="W59" s="71"/>
      <c r="X59" s="71"/>
    </row>
    <row r="60" spans="1:24" ht="13.5" customHeight="1">
      <c r="A60" s="162"/>
      <c r="B60" s="157"/>
      <c r="C60" s="158"/>
      <c r="D60" s="165" t="s">
        <v>888</v>
      </c>
      <c r="E60" s="72">
        <v>61650</v>
      </c>
      <c r="F60" s="72">
        <f t="shared" si="0"/>
        <v>71916</v>
      </c>
      <c r="G60" s="69">
        <v>56000</v>
      </c>
      <c r="H60" s="69">
        <v>7560</v>
      </c>
      <c r="I60" s="69">
        <v>2690</v>
      </c>
      <c r="J60" s="69"/>
      <c r="K60" s="69"/>
      <c r="L60" s="69"/>
      <c r="M60" s="69"/>
      <c r="N60" s="69">
        <v>5666</v>
      </c>
      <c r="O60" s="69"/>
      <c r="P60" s="69"/>
      <c r="Q60" s="69"/>
      <c r="R60" s="163"/>
      <c r="S60" s="71"/>
      <c r="T60" s="71"/>
      <c r="U60" s="71"/>
      <c r="V60" s="71"/>
      <c r="W60" s="71"/>
      <c r="X60" s="71"/>
    </row>
    <row r="61" spans="1:24" ht="13.5" customHeight="1">
      <c r="A61" s="162"/>
      <c r="B61" s="157"/>
      <c r="C61" s="158"/>
      <c r="D61" s="165" t="s">
        <v>947</v>
      </c>
      <c r="E61" s="72">
        <v>102280</v>
      </c>
      <c r="F61" s="72">
        <f t="shared" si="0"/>
        <v>118204</v>
      </c>
      <c r="G61" s="69">
        <v>97380</v>
      </c>
      <c r="H61" s="69">
        <v>12286</v>
      </c>
      <c r="I61" s="69">
        <v>2690</v>
      </c>
      <c r="J61" s="69">
        <v>182</v>
      </c>
      <c r="K61" s="69"/>
      <c r="L61" s="69"/>
      <c r="M61" s="69"/>
      <c r="N61" s="69">
        <v>5666</v>
      </c>
      <c r="O61" s="69"/>
      <c r="P61" s="69"/>
      <c r="Q61" s="69"/>
      <c r="R61" s="163"/>
      <c r="S61" s="71"/>
      <c r="T61" s="71"/>
      <c r="U61" s="71"/>
      <c r="V61" s="71"/>
      <c r="W61" s="71"/>
      <c r="X61" s="71"/>
    </row>
    <row r="62" spans="1:24" ht="13.5" customHeight="1">
      <c r="A62" s="162" t="s">
        <v>590</v>
      </c>
      <c r="B62" s="157" t="s">
        <v>621</v>
      </c>
      <c r="C62" s="158" t="s">
        <v>622</v>
      </c>
      <c r="D62" s="165" t="s">
        <v>122</v>
      </c>
      <c r="E62" s="72"/>
      <c r="F62" s="72">
        <f t="shared" si="0"/>
        <v>0</v>
      </c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163"/>
      <c r="S62" s="71"/>
      <c r="T62" s="71"/>
      <c r="U62" s="71"/>
      <c r="V62" s="71"/>
      <c r="W62" s="71"/>
      <c r="X62" s="71"/>
    </row>
    <row r="63" spans="1:24" ht="13.5" customHeight="1">
      <c r="A63" s="162"/>
      <c r="B63" s="157"/>
      <c r="C63" s="158"/>
      <c r="D63" s="165" t="s">
        <v>888</v>
      </c>
      <c r="E63" s="72"/>
      <c r="F63" s="72">
        <f t="shared" si="0"/>
        <v>0</v>
      </c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163"/>
      <c r="S63" s="71"/>
      <c r="T63" s="71"/>
      <c r="U63" s="71"/>
      <c r="V63" s="71"/>
      <c r="W63" s="71"/>
      <c r="X63" s="71"/>
    </row>
    <row r="64" spans="1:24" ht="13.5" customHeight="1">
      <c r="A64" s="162"/>
      <c r="B64" s="157"/>
      <c r="C64" s="158"/>
      <c r="D64" s="165" t="s">
        <v>947</v>
      </c>
      <c r="E64" s="72"/>
      <c r="F64" s="72">
        <f t="shared" si="0"/>
        <v>0</v>
      </c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163"/>
      <c r="S64" s="71"/>
      <c r="T64" s="71"/>
      <c r="U64" s="71"/>
      <c r="V64" s="71"/>
      <c r="W64" s="71"/>
      <c r="X64" s="71"/>
    </row>
    <row r="65" spans="1:18" ht="13.5" customHeight="1">
      <c r="A65" s="162" t="s">
        <v>590</v>
      </c>
      <c r="B65" s="157" t="s">
        <v>623</v>
      </c>
      <c r="C65" s="158" t="s">
        <v>624</v>
      </c>
      <c r="D65" s="165" t="s">
        <v>122</v>
      </c>
      <c r="E65" s="72"/>
      <c r="F65" s="72">
        <f t="shared" si="0"/>
        <v>14050</v>
      </c>
      <c r="G65" s="69"/>
      <c r="H65" s="69"/>
      <c r="I65" s="69">
        <v>14050</v>
      </c>
      <c r="J65" s="69"/>
      <c r="K65" s="69"/>
      <c r="L65" s="69"/>
      <c r="M65" s="69"/>
      <c r="N65" s="69"/>
      <c r="O65" s="69"/>
      <c r="P65" s="69"/>
      <c r="Q65" s="69"/>
      <c r="R65" s="163"/>
    </row>
    <row r="66" spans="1:18" ht="13.5" customHeight="1">
      <c r="A66" s="162"/>
      <c r="B66" s="157"/>
      <c r="C66" s="158"/>
      <c r="D66" s="165" t="s">
        <v>888</v>
      </c>
      <c r="E66" s="72"/>
      <c r="F66" s="72">
        <f t="shared" si="0"/>
        <v>14050</v>
      </c>
      <c r="G66" s="69"/>
      <c r="H66" s="69"/>
      <c r="I66" s="69">
        <v>14050</v>
      </c>
      <c r="J66" s="69"/>
      <c r="K66" s="69"/>
      <c r="L66" s="69"/>
      <c r="M66" s="69"/>
      <c r="N66" s="69"/>
      <c r="O66" s="69"/>
      <c r="P66" s="69"/>
      <c r="Q66" s="69"/>
      <c r="R66" s="163"/>
    </row>
    <row r="67" spans="1:18" ht="13.5" customHeight="1">
      <c r="A67" s="162"/>
      <c r="B67" s="157"/>
      <c r="C67" s="158"/>
      <c r="D67" s="165" t="s">
        <v>947</v>
      </c>
      <c r="E67" s="72"/>
      <c r="F67" s="72">
        <f t="shared" si="0"/>
        <v>11050</v>
      </c>
      <c r="G67" s="69"/>
      <c r="H67" s="69"/>
      <c r="I67" s="69">
        <v>11050</v>
      </c>
      <c r="J67" s="69"/>
      <c r="K67" s="69"/>
      <c r="L67" s="69"/>
      <c r="M67" s="69"/>
      <c r="N67" s="69"/>
      <c r="O67" s="69"/>
      <c r="P67" s="69"/>
      <c r="Q67" s="69"/>
      <c r="R67" s="163"/>
    </row>
    <row r="68" spans="1:18" ht="13.5" customHeight="1">
      <c r="A68" s="162" t="s">
        <v>590</v>
      </c>
      <c r="B68" s="157" t="s">
        <v>625</v>
      </c>
      <c r="C68" s="158" t="s">
        <v>626</v>
      </c>
      <c r="D68" s="165" t="s">
        <v>122</v>
      </c>
      <c r="E68" s="72">
        <v>234470</v>
      </c>
      <c r="F68" s="72">
        <f t="shared" si="0"/>
        <v>275482</v>
      </c>
      <c r="G68" s="69"/>
      <c r="H68" s="69"/>
      <c r="I68" s="69">
        <v>22866</v>
      </c>
      <c r="J68" s="69"/>
      <c r="K68" s="69"/>
      <c r="L68" s="69"/>
      <c r="M68" s="69">
        <v>53422</v>
      </c>
      <c r="N68" s="69">
        <v>184732</v>
      </c>
      <c r="O68" s="69">
        <v>14462</v>
      </c>
      <c r="P68" s="69"/>
      <c r="Q68" s="69"/>
      <c r="R68" s="163"/>
    </row>
    <row r="69" spans="1:18" ht="13.5" customHeight="1">
      <c r="A69" s="162"/>
      <c r="B69" s="157"/>
      <c r="C69" s="158"/>
      <c r="D69" s="165" t="s">
        <v>888</v>
      </c>
      <c r="E69" s="72">
        <v>234470</v>
      </c>
      <c r="F69" s="72">
        <f t="shared" si="0"/>
        <v>374753</v>
      </c>
      <c r="G69" s="69">
        <v>1676</v>
      </c>
      <c r="H69" s="69">
        <v>407</v>
      </c>
      <c r="I69" s="69">
        <v>22866</v>
      </c>
      <c r="J69" s="69"/>
      <c r="K69" s="69"/>
      <c r="L69" s="69"/>
      <c r="M69" s="69">
        <v>71500</v>
      </c>
      <c r="N69" s="69">
        <v>263842</v>
      </c>
      <c r="O69" s="69">
        <v>14462</v>
      </c>
      <c r="P69" s="69"/>
      <c r="Q69" s="69"/>
      <c r="R69" s="163"/>
    </row>
    <row r="70" spans="1:18" ht="13.5" customHeight="1">
      <c r="A70" s="162"/>
      <c r="B70" s="157"/>
      <c r="C70" s="158"/>
      <c r="D70" s="165" t="s">
        <v>947</v>
      </c>
      <c r="E70" s="72">
        <v>234470</v>
      </c>
      <c r="F70" s="72">
        <f t="shared" si="0"/>
        <v>335609</v>
      </c>
      <c r="G70" s="69">
        <v>1676</v>
      </c>
      <c r="H70" s="69">
        <v>407</v>
      </c>
      <c r="I70" s="69">
        <v>23984</v>
      </c>
      <c r="J70" s="69"/>
      <c r="K70" s="69"/>
      <c r="L70" s="69"/>
      <c r="M70" s="69">
        <v>71585</v>
      </c>
      <c r="N70" s="69">
        <v>223495</v>
      </c>
      <c r="O70" s="69">
        <v>14462</v>
      </c>
      <c r="P70" s="69"/>
      <c r="Q70" s="69"/>
      <c r="R70" s="163"/>
    </row>
    <row r="71" spans="1:18" ht="13.5" customHeight="1">
      <c r="A71" s="162" t="s">
        <v>590</v>
      </c>
      <c r="B71" s="157" t="s">
        <v>627</v>
      </c>
      <c r="C71" s="158" t="s">
        <v>628</v>
      </c>
      <c r="D71" s="165" t="s">
        <v>122</v>
      </c>
      <c r="E71" s="72"/>
      <c r="F71" s="72">
        <f t="shared" si="0"/>
        <v>0</v>
      </c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163"/>
    </row>
    <row r="72" spans="1:18" ht="13.5" customHeight="1">
      <c r="A72" s="162"/>
      <c r="B72" s="157"/>
      <c r="C72" s="158"/>
      <c r="D72" s="165" t="s">
        <v>888</v>
      </c>
      <c r="E72" s="72"/>
      <c r="F72" s="72">
        <f t="shared" si="0"/>
        <v>0</v>
      </c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163"/>
    </row>
    <row r="73" spans="1:18" ht="13.5" customHeight="1">
      <c r="A73" s="162"/>
      <c r="B73" s="157"/>
      <c r="C73" s="158"/>
      <c r="D73" s="165" t="s">
        <v>947</v>
      </c>
      <c r="E73" s="72"/>
      <c r="F73" s="72">
        <f t="shared" si="0"/>
        <v>0</v>
      </c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163"/>
    </row>
    <row r="74" spans="1:24" ht="13.5" customHeight="1">
      <c r="A74" s="162" t="s">
        <v>590</v>
      </c>
      <c r="B74" s="157" t="s">
        <v>629</v>
      </c>
      <c r="C74" s="158" t="s">
        <v>630</v>
      </c>
      <c r="D74" s="165" t="s">
        <v>122</v>
      </c>
      <c r="E74" s="72"/>
      <c r="F74" s="72">
        <f t="shared" si="0"/>
        <v>51580</v>
      </c>
      <c r="G74" s="69"/>
      <c r="H74" s="69"/>
      <c r="I74" s="69">
        <v>51580</v>
      </c>
      <c r="J74" s="69"/>
      <c r="K74" s="72"/>
      <c r="L74" s="72"/>
      <c r="M74" s="72"/>
      <c r="N74" s="69"/>
      <c r="O74" s="69"/>
      <c r="P74" s="69"/>
      <c r="Q74" s="69"/>
      <c r="R74" s="163"/>
      <c r="S74" s="71"/>
      <c r="T74" s="71"/>
      <c r="U74" s="71"/>
      <c r="V74" s="71"/>
      <c r="W74" s="71"/>
      <c r="X74" s="71"/>
    </row>
    <row r="75" spans="1:24" ht="13.5" customHeight="1">
      <c r="A75" s="162"/>
      <c r="B75" s="157"/>
      <c r="C75" s="158"/>
      <c r="D75" s="165" t="s">
        <v>888</v>
      </c>
      <c r="E75" s="72"/>
      <c r="F75" s="72">
        <f t="shared" si="0"/>
        <v>51580</v>
      </c>
      <c r="G75" s="69"/>
      <c r="H75" s="69"/>
      <c r="I75" s="69">
        <v>51580</v>
      </c>
      <c r="J75" s="69"/>
      <c r="K75" s="72"/>
      <c r="L75" s="72"/>
      <c r="M75" s="72"/>
      <c r="N75" s="69"/>
      <c r="O75" s="69"/>
      <c r="P75" s="69"/>
      <c r="Q75" s="69"/>
      <c r="R75" s="163"/>
      <c r="S75" s="71"/>
      <c r="T75" s="71"/>
      <c r="U75" s="71"/>
      <c r="V75" s="71"/>
      <c r="W75" s="71"/>
      <c r="X75" s="71"/>
    </row>
    <row r="76" spans="1:24" ht="13.5" customHeight="1">
      <c r="A76" s="162"/>
      <c r="B76" s="157"/>
      <c r="C76" s="158"/>
      <c r="D76" s="165" t="s">
        <v>947</v>
      </c>
      <c r="E76" s="72"/>
      <c r="F76" s="72">
        <f t="shared" si="0"/>
        <v>51580</v>
      </c>
      <c r="G76" s="69"/>
      <c r="H76" s="69"/>
      <c r="I76" s="69">
        <v>51580</v>
      </c>
      <c r="J76" s="69"/>
      <c r="K76" s="72"/>
      <c r="L76" s="72"/>
      <c r="M76" s="72"/>
      <c r="N76" s="69"/>
      <c r="O76" s="69"/>
      <c r="P76" s="69"/>
      <c r="Q76" s="69"/>
      <c r="R76" s="163"/>
      <c r="S76" s="71"/>
      <c r="T76" s="71"/>
      <c r="U76" s="71"/>
      <c r="V76" s="71"/>
      <c r="W76" s="71"/>
      <c r="X76" s="71"/>
    </row>
    <row r="77" spans="1:24" ht="13.5" customHeight="1">
      <c r="A77" s="162" t="s">
        <v>593</v>
      </c>
      <c r="B77" s="157" t="s">
        <v>631</v>
      </c>
      <c r="C77" s="158" t="s">
        <v>632</v>
      </c>
      <c r="D77" s="165" t="s">
        <v>122</v>
      </c>
      <c r="E77" s="72">
        <v>6000</v>
      </c>
      <c r="F77" s="72">
        <f t="shared" si="0"/>
        <v>36830</v>
      </c>
      <c r="G77" s="69"/>
      <c r="H77" s="69"/>
      <c r="I77" s="69"/>
      <c r="J77" s="69">
        <v>36830</v>
      </c>
      <c r="K77" s="69"/>
      <c r="L77" s="69"/>
      <c r="M77" s="69"/>
      <c r="N77" s="69"/>
      <c r="O77" s="69"/>
      <c r="P77" s="69"/>
      <c r="Q77" s="69"/>
      <c r="R77" s="163"/>
      <c r="S77" s="71"/>
      <c r="T77" s="71"/>
      <c r="U77" s="71"/>
      <c r="V77" s="71"/>
      <c r="W77" s="71"/>
      <c r="X77" s="71"/>
    </row>
    <row r="78" spans="1:24" ht="13.5" customHeight="1">
      <c r="A78" s="162"/>
      <c r="B78" s="157"/>
      <c r="C78" s="158"/>
      <c r="D78" s="165" t="s">
        <v>888</v>
      </c>
      <c r="E78" s="72">
        <v>6300</v>
      </c>
      <c r="F78" s="72">
        <f t="shared" si="0"/>
        <v>44608</v>
      </c>
      <c r="G78" s="69"/>
      <c r="H78" s="69"/>
      <c r="I78" s="69"/>
      <c r="J78" s="69">
        <v>44608</v>
      </c>
      <c r="K78" s="69"/>
      <c r="L78" s="69"/>
      <c r="M78" s="69"/>
      <c r="N78" s="69"/>
      <c r="O78" s="69"/>
      <c r="P78" s="69"/>
      <c r="Q78" s="69"/>
      <c r="R78" s="163"/>
      <c r="S78" s="71"/>
      <c r="T78" s="71"/>
      <c r="U78" s="71"/>
      <c r="V78" s="71"/>
      <c r="W78" s="71"/>
      <c r="X78" s="71"/>
    </row>
    <row r="79" spans="1:24" ht="13.5" customHeight="1" thickBot="1">
      <c r="A79" s="818"/>
      <c r="B79" s="753"/>
      <c r="C79" s="754"/>
      <c r="D79" s="829" t="s">
        <v>947</v>
      </c>
      <c r="E79" s="755">
        <v>6300</v>
      </c>
      <c r="F79" s="724">
        <f t="shared" si="0"/>
        <v>50039</v>
      </c>
      <c r="G79" s="833"/>
      <c r="H79" s="833"/>
      <c r="I79" s="833"/>
      <c r="J79" s="833">
        <v>49789</v>
      </c>
      <c r="K79" s="833"/>
      <c r="L79" s="833"/>
      <c r="M79" s="833"/>
      <c r="N79" s="833"/>
      <c r="O79" s="833">
        <v>250</v>
      </c>
      <c r="P79" s="833"/>
      <c r="Q79" s="833"/>
      <c r="R79" s="819"/>
      <c r="S79" s="71"/>
      <c r="T79" s="71"/>
      <c r="U79" s="71"/>
      <c r="V79" s="71"/>
      <c r="W79" s="71"/>
      <c r="X79" s="71"/>
    </row>
    <row r="80" spans="1:18" ht="13.5" customHeight="1">
      <c r="A80" s="748" t="s">
        <v>590</v>
      </c>
      <c r="B80" s="749" t="s">
        <v>633</v>
      </c>
      <c r="C80" s="750" t="s">
        <v>634</v>
      </c>
      <c r="D80" s="751" t="s">
        <v>122</v>
      </c>
      <c r="E80" s="728"/>
      <c r="F80" s="941">
        <f t="shared" si="0"/>
        <v>23545</v>
      </c>
      <c r="G80" s="729"/>
      <c r="H80" s="729"/>
      <c r="I80" s="729">
        <v>23545</v>
      </c>
      <c r="J80" s="729"/>
      <c r="K80" s="729"/>
      <c r="L80" s="729"/>
      <c r="M80" s="729"/>
      <c r="N80" s="729"/>
      <c r="O80" s="729"/>
      <c r="P80" s="729"/>
      <c r="Q80" s="729"/>
      <c r="R80" s="752"/>
    </row>
    <row r="81" spans="1:18" ht="13.5" customHeight="1">
      <c r="A81" s="162"/>
      <c r="B81" s="157"/>
      <c r="C81" s="164"/>
      <c r="D81" s="165" t="s">
        <v>888</v>
      </c>
      <c r="E81" s="72"/>
      <c r="F81" s="72">
        <f t="shared" si="0"/>
        <v>32435</v>
      </c>
      <c r="G81" s="69"/>
      <c r="H81" s="69"/>
      <c r="I81" s="69">
        <v>32435</v>
      </c>
      <c r="J81" s="69"/>
      <c r="K81" s="69"/>
      <c r="L81" s="69"/>
      <c r="M81" s="69"/>
      <c r="N81" s="69"/>
      <c r="O81" s="69"/>
      <c r="P81" s="69"/>
      <c r="Q81" s="69"/>
      <c r="R81" s="163"/>
    </row>
    <row r="82" spans="1:18" ht="13.5" customHeight="1">
      <c r="A82" s="162"/>
      <c r="B82" s="157"/>
      <c r="C82" s="164"/>
      <c r="D82" s="165" t="s">
        <v>947</v>
      </c>
      <c r="E82" s="72"/>
      <c r="F82" s="72">
        <f t="shared" si="0"/>
        <v>35435</v>
      </c>
      <c r="G82" s="69"/>
      <c r="H82" s="69"/>
      <c r="I82" s="69">
        <v>35435</v>
      </c>
      <c r="J82" s="69"/>
      <c r="K82" s="69"/>
      <c r="L82" s="69"/>
      <c r="M82" s="69"/>
      <c r="N82" s="69"/>
      <c r="O82" s="69"/>
      <c r="P82" s="69"/>
      <c r="Q82" s="69"/>
      <c r="R82" s="163"/>
    </row>
    <row r="83" spans="1:18" ht="13.5" customHeight="1">
      <c r="A83" s="162" t="s">
        <v>590</v>
      </c>
      <c r="B83" s="157" t="s">
        <v>635</v>
      </c>
      <c r="C83" s="158" t="s">
        <v>636</v>
      </c>
      <c r="D83" s="165" t="s">
        <v>122</v>
      </c>
      <c r="E83" s="72">
        <v>22804</v>
      </c>
      <c r="F83" s="72">
        <f t="shared" si="0"/>
        <v>51948</v>
      </c>
      <c r="G83" s="69"/>
      <c r="H83" s="69"/>
      <c r="I83" s="69">
        <v>19144</v>
      </c>
      <c r="J83" s="69"/>
      <c r="K83" s="69"/>
      <c r="L83" s="69"/>
      <c r="M83" s="69">
        <v>32804</v>
      </c>
      <c r="N83" s="69"/>
      <c r="O83" s="69"/>
      <c r="P83" s="69"/>
      <c r="Q83" s="69"/>
      <c r="R83" s="163"/>
    </row>
    <row r="84" spans="1:18" ht="13.5" customHeight="1">
      <c r="A84" s="162"/>
      <c r="B84" s="157"/>
      <c r="C84" s="158"/>
      <c r="D84" s="165" t="s">
        <v>888</v>
      </c>
      <c r="E84" s="72">
        <v>22805</v>
      </c>
      <c r="F84" s="72">
        <f t="shared" si="0"/>
        <v>51949</v>
      </c>
      <c r="G84" s="69"/>
      <c r="H84" s="69"/>
      <c r="I84" s="69">
        <v>19144</v>
      </c>
      <c r="J84" s="69"/>
      <c r="K84" s="69"/>
      <c r="L84" s="69"/>
      <c r="M84" s="69">
        <v>32804</v>
      </c>
      <c r="N84" s="69"/>
      <c r="O84" s="69">
        <v>1</v>
      </c>
      <c r="P84" s="69"/>
      <c r="Q84" s="69"/>
      <c r="R84" s="163"/>
    </row>
    <row r="85" spans="1:18" ht="13.5" customHeight="1">
      <c r="A85" s="162"/>
      <c r="B85" s="157"/>
      <c r="C85" s="158"/>
      <c r="D85" s="165" t="s">
        <v>947</v>
      </c>
      <c r="E85" s="72">
        <v>14148</v>
      </c>
      <c r="F85" s="72">
        <f t="shared" si="0"/>
        <v>42488</v>
      </c>
      <c r="G85" s="69"/>
      <c r="H85" s="69"/>
      <c r="I85" s="69">
        <v>19519</v>
      </c>
      <c r="J85" s="69"/>
      <c r="K85" s="69"/>
      <c r="L85" s="69"/>
      <c r="M85" s="69">
        <v>22966</v>
      </c>
      <c r="N85" s="69"/>
      <c r="O85" s="69">
        <v>3</v>
      </c>
      <c r="P85" s="69"/>
      <c r="Q85" s="69"/>
      <c r="R85" s="163"/>
    </row>
    <row r="86" spans="1:24" ht="13.5" customHeight="1">
      <c r="A86" s="162" t="s">
        <v>590</v>
      </c>
      <c r="B86" s="157" t="s">
        <v>637</v>
      </c>
      <c r="C86" s="158" t="s">
        <v>638</v>
      </c>
      <c r="D86" s="165" t="s">
        <v>122</v>
      </c>
      <c r="E86" s="72">
        <v>429709</v>
      </c>
      <c r="F86" s="72">
        <f t="shared" si="0"/>
        <v>459444</v>
      </c>
      <c r="G86" s="70">
        <v>1270</v>
      </c>
      <c r="H86" s="70">
        <v>650</v>
      </c>
      <c r="I86" s="70">
        <v>29385</v>
      </c>
      <c r="J86" s="70"/>
      <c r="K86" s="70"/>
      <c r="L86" s="70"/>
      <c r="M86" s="70"/>
      <c r="N86" s="70">
        <v>428139</v>
      </c>
      <c r="O86" s="70"/>
      <c r="P86" s="70"/>
      <c r="Q86" s="70"/>
      <c r="R86" s="163"/>
      <c r="S86" s="71"/>
      <c r="T86" s="71"/>
      <c r="U86" s="71"/>
      <c r="V86" s="71"/>
      <c r="W86" s="71"/>
      <c r="X86" s="71"/>
    </row>
    <row r="87" spans="1:24" ht="13.5" customHeight="1">
      <c r="A87" s="162"/>
      <c r="B87" s="157"/>
      <c r="C87" s="158"/>
      <c r="D87" s="165" t="s">
        <v>888</v>
      </c>
      <c r="E87" s="72">
        <v>429709</v>
      </c>
      <c r="F87" s="72">
        <f t="shared" si="0"/>
        <v>459255</v>
      </c>
      <c r="G87" s="70">
        <v>5780</v>
      </c>
      <c r="H87" s="70">
        <v>1746</v>
      </c>
      <c r="I87" s="70">
        <v>31856</v>
      </c>
      <c r="J87" s="70"/>
      <c r="K87" s="70"/>
      <c r="L87" s="70"/>
      <c r="M87" s="70"/>
      <c r="N87" s="70">
        <v>419873</v>
      </c>
      <c r="O87" s="70"/>
      <c r="P87" s="70"/>
      <c r="Q87" s="70"/>
      <c r="R87" s="163"/>
      <c r="S87" s="71"/>
      <c r="T87" s="71"/>
      <c r="U87" s="71"/>
      <c r="V87" s="71"/>
      <c r="W87" s="71"/>
      <c r="X87" s="71"/>
    </row>
    <row r="88" spans="1:24" ht="13.5" customHeight="1">
      <c r="A88" s="162"/>
      <c r="B88" s="157"/>
      <c r="C88" s="158"/>
      <c r="D88" s="165" t="s">
        <v>947</v>
      </c>
      <c r="E88" s="72">
        <v>244709</v>
      </c>
      <c r="F88" s="72">
        <f t="shared" si="0"/>
        <v>268649</v>
      </c>
      <c r="G88" s="70">
        <v>1270</v>
      </c>
      <c r="H88" s="70">
        <v>650</v>
      </c>
      <c r="I88" s="70">
        <v>31856</v>
      </c>
      <c r="J88" s="70"/>
      <c r="K88" s="70"/>
      <c r="L88" s="70"/>
      <c r="M88" s="70"/>
      <c r="N88" s="70">
        <v>234873</v>
      </c>
      <c r="O88" s="70"/>
      <c r="P88" s="70"/>
      <c r="Q88" s="70"/>
      <c r="R88" s="163"/>
      <c r="S88" s="71"/>
      <c r="T88" s="71"/>
      <c r="U88" s="71"/>
      <c r="V88" s="71"/>
      <c r="W88" s="71"/>
      <c r="X88" s="71"/>
    </row>
    <row r="89" spans="1:24" ht="13.5" customHeight="1">
      <c r="A89" s="162" t="s">
        <v>590</v>
      </c>
      <c r="B89" s="157" t="s">
        <v>637</v>
      </c>
      <c r="C89" s="158" t="s">
        <v>639</v>
      </c>
      <c r="D89" s="165" t="s">
        <v>122</v>
      </c>
      <c r="E89" s="72">
        <v>7500</v>
      </c>
      <c r="F89" s="72">
        <f t="shared" si="0"/>
        <v>22440</v>
      </c>
      <c r="G89" s="70">
        <v>21240</v>
      </c>
      <c r="H89" s="70">
        <v>1200</v>
      </c>
      <c r="I89" s="70"/>
      <c r="J89" s="70"/>
      <c r="K89" s="70"/>
      <c r="L89" s="70"/>
      <c r="M89" s="70"/>
      <c r="N89" s="70"/>
      <c r="O89" s="70"/>
      <c r="P89" s="70"/>
      <c r="Q89" s="70"/>
      <c r="R89" s="163"/>
      <c r="S89" s="71"/>
      <c r="T89" s="71"/>
      <c r="U89" s="71"/>
      <c r="V89" s="71"/>
      <c r="W89" s="71"/>
      <c r="X89" s="71"/>
    </row>
    <row r="90" spans="1:24" ht="13.5" customHeight="1">
      <c r="A90" s="162"/>
      <c r="B90" s="157"/>
      <c r="C90" s="158"/>
      <c r="D90" s="165" t="s">
        <v>888</v>
      </c>
      <c r="E90" s="72">
        <v>7500</v>
      </c>
      <c r="F90" s="72">
        <f t="shared" si="0"/>
        <v>22440</v>
      </c>
      <c r="G90" s="70">
        <v>21240</v>
      </c>
      <c r="H90" s="70">
        <v>1200</v>
      </c>
      <c r="I90" s="70"/>
      <c r="J90" s="70"/>
      <c r="K90" s="70"/>
      <c r="L90" s="70"/>
      <c r="M90" s="70"/>
      <c r="N90" s="70"/>
      <c r="O90" s="70"/>
      <c r="P90" s="70"/>
      <c r="Q90" s="70"/>
      <c r="R90" s="163"/>
      <c r="S90" s="71"/>
      <c r="T90" s="71"/>
      <c r="U90" s="71"/>
      <c r="V90" s="71"/>
      <c r="W90" s="71"/>
      <c r="X90" s="71"/>
    </row>
    <row r="91" spans="1:24" ht="13.5" customHeight="1">
      <c r="A91" s="162"/>
      <c r="B91" s="157"/>
      <c r="C91" s="158"/>
      <c r="D91" s="165" t="s">
        <v>947</v>
      </c>
      <c r="E91" s="72">
        <v>7500</v>
      </c>
      <c r="F91" s="72">
        <f t="shared" si="0"/>
        <v>16090</v>
      </c>
      <c r="G91" s="70">
        <v>15440</v>
      </c>
      <c r="H91" s="70">
        <v>650</v>
      </c>
      <c r="I91" s="70"/>
      <c r="J91" s="70"/>
      <c r="K91" s="70"/>
      <c r="L91" s="70"/>
      <c r="M91" s="70"/>
      <c r="N91" s="70"/>
      <c r="O91" s="70"/>
      <c r="P91" s="70"/>
      <c r="Q91" s="70"/>
      <c r="R91" s="163"/>
      <c r="S91" s="71"/>
      <c r="T91" s="71"/>
      <c r="U91" s="71"/>
      <c r="V91" s="71"/>
      <c r="W91" s="71"/>
      <c r="X91" s="71"/>
    </row>
    <row r="92" spans="1:24" ht="13.5" customHeight="1">
      <c r="A92" s="162" t="s">
        <v>593</v>
      </c>
      <c r="B92" s="157" t="s">
        <v>640</v>
      </c>
      <c r="C92" s="158" t="s">
        <v>641</v>
      </c>
      <c r="D92" s="165" t="s">
        <v>122</v>
      </c>
      <c r="E92" s="72">
        <v>2200</v>
      </c>
      <c r="F92" s="72">
        <f t="shared" si="0"/>
        <v>3500</v>
      </c>
      <c r="G92" s="70"/>
      <c r="H92" s="70"/>
      <c r="I92" s="70"/>
      <c r="J92" s="70"/>
      <c r="K92" s="70"/>
      <c r="L92" s="70"/>
      <c r="M92" s="70"/>
      <c r="N92" s="70"/>
      <c r="O92" s="70">
        <v>3500</v>
      </c>
      <c r="P92" s="70"/>
      <c r="Q92" s="70"/>
      <c r="R92" s="163"/>
      <c r="S92" s="71"/>
      <c r="T92" s="71"/>
      <c r="U92" s="71"/>
      <c r="V92" s="71"/>
      <c r="W92" s="71"/>
      <c r="X92" s="71"/>
    </row>
    <row r="93" spans="1:24" ht="13.5" customHeight="1">
      <c r="A93" s="162"/>
      <c r="B93" s="157"/>
      <c r="C93" s="158"/>
      <c r="D93" s="165" t="s">
        <v>888</v>
      </c>
      <c r="E93" s="72">
        <v>2200</v>
      </c>
      <c r="F93" s="72">
        <f t="shared" si="0"/>
        <v>3350</v>
      </c>
      <c r="G93" s="70"/>
      <c r="H93" s="70"/>
      <c r="I93" s="70"/>
      <c r="J93" s="70"/>
      <c r="K93" s="70"/>
      <c r="L93" s="70"/>
      <c r="M93" s="70"/>
      <c r="N93" s="70"/>
      <c r="O93" s="70">
        <v>3350</v>
      </c>
      <c r="P93" s="70"/>
      <c r="Q93" s="70"/>
      <c r="R93" s="163"/>
      <c r="S93" s="71"/>
      <c r="T93" s="71"/>
      <c r="U93" s="71"/>
      <c r="V93" s="71"/>
      <c r="W93" s="71"/>
      <c r="X93" s="71"/>
    </row>
    <row r="94" spans="1:24" ht="13.5" customHeight="1">
      <c r="A94" s="162"/>
      <c r="B94" s="157"/>
      <c r="C94" s="158"/>
      <c r="D94" s="165" t="s">
        <v>947</v>
      </c>
      <c r="E94" s="72">
        <v>2200</v>
      </c>
      <c r="F94" s="72">
        <f t="shared" si="0"/>
        <v>3350</v>
      </c>
      <c r="G94" s="70"/>
      <c r="H94" s="70"/>
      <c r="I94" s="70"/>
      <c r="J94" s="70"/>
      <c r="K94" s="70"/>
      <c r="L94" s="70"/>
      <c r="M94" s="70"/>
      <c r="N94" s="70"/>
      <c r="O94" s="70">
        <v>3350</v>
      </c>
      <c r="P94" s="70"/>
      <c r="Q94" s="70"/>
      <c r="R94" s="163"/>
      <c r="S94" s="71"/>
      <c r="T94" s="71"/>
      <c r="U94" s="71"/>
      <c r="V94" s="71"/>
      <c r="W94" s="71"/>
      <c r="X94" s="71"/>
    </row>
    <row r="95" spans="1:18" ht="13.5" customHeight="1">
      <c r="A95" s="162" t="s">
        <v>590</v>
      </c>
      <c r="B95" s="157" t="s">
        <v>642</v>
      </c>
      <c r="C95" s="165" t="s">
        <v>643</v>
      </c>
      <c r="D95" s="165" t="s">
        <v>122</v>
      </c>
      <c r="E95" s="72">
        <v>196</v>
      </c>
      <c r="F95" s="72">
        <f t="shared" si="0"/>
        <v>18838</v>
      </c>
      <c r="G95" s="69"/>
      <c r="H95" s="69"/>
      <c r="I95" s="69">
        <v>642</v>
      </c>
      <c r="J95" s="69"/>
      <c r="K95" s="69"/>
      <c r="L95" s="69"/>
      <c r="M95" s="69">
        <v>196</v>
      </c>
      <c r="N95" s="69">
        <v>18000</v>
      </c>
      <c r="O95" s="69"/>
      <c r="P95" s="69"/>
      <c r="Q95" s="69"/>
      <c r="R95" s="163"/>
    </row>
    <row r="96" spans="1:18" ht="13.5" customHeight="1">
      <c r="A96" s="162"/>
      <c r="B96" s="157"/>
      <c r="C96" s="165"/>
      <c r="D96" s="165" t="s">
        <v>888</v>
      </c>
      <c r="E96" s="72">
        <v>196</v>
      </c>
      <c r="F96" s="72">
        <f t="shared" si="0"/>
        <v>18838</v>
      </c>
      <c r="G96" s="69"/>
      <c r="H96" s="69"/>
      <c r="I96" s="69">
        <v>642</v>
      </c>
      <c r="J96" s="69"/>
      <c r="K96" s="69"/>
      <c r="L96" s="69"/>
      <c r="M96" s="69">
        <v>196</v>
      </c>
      <c r="N96" s="69">
        <v>18000</v>
      </c>
      <c r="O96" s="69"/>
      <c r="P96" s="69"/>
      <c r="Q96" s="69"/>
      <c r="R96" s="163"/>
    </row>
    <row r="97" spans="1:18" ht="13.5" customHeight="1">
      <c r="A97" s="162"/>
      <c r="B97" s="157"/>
      <c r="C97" s="165"/>
      <c r="D97" s="165" t="s">
        <v>947</v>
      </c>
      <c r="E97" s="72">
        <v>196</v>
      </c>
      <c r="F97" s="72">
        <f t="shared" si="0"/>
        <v>18642</v>
      </c>
      <c r="G97" s="69"/>
      <c r="H97" s="69"/>
      <c r="I97" s="69">
        <v>642</v>
      </c>
      <c r="J97" s="69"/>
      <c r="K97" s="69"/>
      <c r="L97" s="69"/>
      <c r="M97" s="69"/>
      <c r="N97" s="69">
        <v>18000</v>
      </c>
      <c r="O97" s="69"/>
      <c r="P97" s="69"/>
      <c r="Q97" s="69"/>
      <c r="R97" s="163"/>
    </row>
    <row r="98" spans="1:24" ht="13.5" customHeight="1">
      <c r="A98" s="162" t="s">
        <v>590</v>
      </c>
      <c r="B98" s="157" t="s">
        <v>644</v>
      </c>
      <c r="C98" s="158" t="s">
        <v>645</v>
      </c>
      <c r="D98" s="165" t="s">
        <v>122</v>
      </c>
      <c r="E98" s="72">
        <v>143859</v>
      </c>
      <c r="F98" s="72">
        <f t="shared" si="0"/>
        <v>231450</v>
      </c>
      <c r="G98" s="70"/>
      <c r="H98" s="70"/>
      <c r="I98" s="70">
        <v>55850</v>
      </c>
      <c r="J98" s="70"/>
      <c r="K98" s="70"/>
      <c r="L98" s="70"/>
      <c r="M98" s="70">
        <v>6600</v>
      </c>
      <c r="N98" s="70">
        <v>169000</v>
      </c>
      <c r="O98" s="73"/>
      <c r="P98" s="70"/>
      <c r="Q98" s="70"/>
      <c r="R98" s="163"/>
      <c r="S98" s="71"/>
      <c r="T98" s="71"/>
      <c r="U98" s="71"/>
      <c r="V98" s="71"/>
      <c r="W98" s="71"/>
      <c r="X98" s="71"/>
    </row>
    <row r="99" spans="1:24" ht="13.5" customHeight="1">
      <c r="A99" s="162"/>
      <c r="B99" s="157"/>
      <c r="C99" s="158"/>
      <c r="D99" s="165" t="s">
        <v>888</v>
      </c>
      <c r="E99" s="72">
        <v>143859</v>
      </c>
      <c r="F99" s="72">
        <f t="shared" si="0"/>
        <v>231450</v>
      </c>
      <c r="G99" s="70">
        <v>2070</v>
      </c>
      <c r="H99" s="70">
        <v>504</v>
      </c>
      <c r="I99" s="70">
        <v>55850</v>
      </c>
      <c r="J99" s="70"/>
      <c r="K99" s="70"/>
      <c r="L99" s="70"/>
      <c r="M99" s="70">
        <v>6600</v>
      </c>
      <c r="N99" s="70">
        <v>166426</v>
      </c>
      <c r="O99" s="73"/>
      <c r="P99" s="70"/>
      <c r="Q99" s="70"/>
      <c r="R99" s="163"/>
      <c r="S99" s="71"/>
      <c r="T99" s="71"/>
      <c r="U99" s="71"/>
      <c r="V99" s="71"/>
      <c r="W99" s="71"/>
      <c r="X99" s="71"/>
    </row>
    <row r="100" spans="1:24" ht="13.5" customHeight="1">
      <c r="A100" s="162"/>
      <c r="B100" s="157"/>
      <c r="C100" s="158"/>
      <c r="D100" s="165" t="s">
        <v>947</v>
      </c>
      <c r="E100" s="72">
        <v>143859</v>
      </c>
      <c r="F100" s="72">
        <f t="shared" si="0"/>
        <v>237053</v>
      </c>
      <c r="G100" s="70">
        <v>2070</v>
      </c>
      <c r="H100" s="70">
        <v>504</v>
      </c>
      <c r="I100" s="70">
        <v>67654</v>
      </c>
      <c r="J100" s="70"/>
      <c r="K100" s="70"/>
      <c r="L100" s="70"/>
      <c r="M100" s="70">
        <v>6600</v>
      </c>
      <c r="N100" s="70">
        <v>160225</v>
      </c>
      <c r="O100" s="73"/>
      <c r="P100" s="70"/>
      <c r="Q100" s="70"/>
      <c r="R100" s="163"/>
      <c r="S100" s="71"/>
      <c r="T100" s="71"/>
      <c r="U100" s="71"/>
      <c r="V100" s="71"/>
      <c r="W100" s="71"/>
      <c r="X100" s="71"/>
    </row>
    <row r="101" spans="1:24" ht="13.5" customHeight="1">
      <c r="A101" s="162" t="s">
        <v>590</v>
      </c>
      <c r="B101" s="157" t="s">
        <v>646</v>
      </c>
      <c r="C101" s="158" t="s">
        <v>647</v>
      </c>
      <c r="D101" s="165" t="s">
        <v>122</v>
      </c>
      <c r="E101" s="72"/>
      <c r="F101" s="72">
        <f t="shared" si="0"/>
        <v>68740</v>
      </c>
      <c r="G101" s="69"/>
      <c r="H101" s="69"/>
      <c r="I101" s="69">
        <v>66740</v>
      </c>
      <c r="J101" s="69"/>
      <c r="K101" s="69"/>
      <c r="L101" s="69"/>
      <c r="M101" s="69">
        <v>2000</v>
      </c>
      <c r="N101" s="69"/>
      <c r="O101" s="69"/>
      <c r="P101" s="69"/>
      <c r="Q101" s="69"/>
      <c r="R101" s="163"/>
      <c r="S101" s="71"/>
      <c r="T101" s="71"/>
      <c r="U101" s="71"/>
      <c r="V101" s="71"/>
      <c r="W101" s="71"/>
      <c r="X101" s="71"/>
    </row>
    <row r="102" spans="1:24" ht="13.5" customHeight="1">
      <c r="A102" s="162"/>
      <c r="B102" s="157"/>
      <c r="C102" s="158"/>
      <c r="D102" s="165" t="s">
        <v>888</v>
      </c>
      <c r="E102" s="72"/>
      <c r="F102" s="72">
        <f t="shared" si="0"/>
        <v>71670</v>
      </c>
      <c r="G102" s="69"/>
      <c r="H102" s="69"/>
      <c r="I102" s="69">
        <v>69670</v>
      </c>
      <c r="J102" s="69"/>
      <c r="K102" s="69"/>
      <c r="L102" s="69"/>
      <c r="M102" s="69">
        <v>2000</v>
      </c>
      <c r="N102" s="69"/>
      <c r="O102" s="69"/>
      <c r="P102" s="69"/>
      <c r="Q102" s="69"/>
      <c r="R102" s="163"/>
      <c r="S102" s="71"/>
      <c r="T102" s="71"/>
      <c r="U102" s="71"/>
      <c r="V102" s="71"/>
      <c r="W102" s="71"/>
      <c r="X102" s="71"/>
    </row>
    <row r="103" spans="1:24" ht="13.5" customHeight="1">
      <c r="A103" s="162"/>
      <c r="B103" s="157"/>
      <c r="C103" s="158"/>
      <c r="D103" s="165" t="s">
        <v>947</v>
      </c>
      <c r="E103" s="72"/>
      <c r="F103" s="72">
        <f t="shared" si="0"/>
        <v>71670</v>
      </c>
      <c r="G103" s="69"/>
      <c r="H103" s="69"/>
      <c r="I103" s="69">
        <v>69670</v>
      </c>
      <c r="J103" s="69"/>
      <c r="K103" s="69"/>
      <c r="L103" s="69"/>
      <c r="M103" s="69">
        <v>2000</v>
      </c>
      <c r="N103" s="69"/>
      <c r="O103" s="69"/>
      <c r="P103" s="69"/>
      <c r="Q103" s="69"/>
      <c r="R103" s="163"/>
      <c r="S103" s="71"/>
      <c r="T103" s="71"/>
      <c r="U103" s="71"/>
      <c r="V103" s="71"/>
      <c r="W103" s="71"/>
      <c r="X103" s="71"/>
    </row>
    <row r="104" spans="1:24" ht="13.5" customHeight="1">
      <c r="A104" s="162" t="s">
        <v>590</v>
      </c>
      <c r="B104" s="157" t="s">
        <v>646</v>
      </c>
      <c r="C104" s="158" t="s">
        <v>648</v>
      </c>
      <c r="D104" s="165" t="s">
        <v>122</v>
      </c>
      <c r="E104" s="72"/>
      <c r="F104" s="72">
        <f t="shared" si="0"/>
        <v>9500</v>
      </c>
      <c r="G104" s="70"/>
      <c r="H104" s="70"/>
      <c r="I104" s="70">
        <v>4500</v>
      </c>
      <c r="J104" s="70"/>
      <c r="K104" s="70"/>
      <c r="L104" s="70"/>
      <c r="M104" s="70">
        <v>5000</v>
      </c>
      <c r="N104" s="70"/>
      <c r="O104" s="70"/>
      <c r="P104" s="70"/>
      <c r="Q104" s="70"/>
      <c r="R104" s="163"/>
      <c r="S104" s="71"/>
      <c r="T104" s="71"/>
      <c r="U104" s="71"/>
      <c r="V104" s="71"/>
      <c r="W104" s="71"/>
      <c r="X104" s="71"/>
    </row>
    <row r="105" spans="1:24" ht="13.5" customHeight="1">
      <c r="A105" s="162"/>
      <c r="B105" s="157"/>
      <c r="C105" s="158"/>
      <c r="D105" s="165" t="s">
        <v>888</v>
      </c>
      <c r="E105" s="72"/>
      <c r="F105" s="72">
        <f t="shared" si="0"/>
        <v>9500</v>
      </c>
      <c r="G105" s="70"/>
      <c r="H105" s="70"/>
      <c r="I105" s="70">
        <v>4500</v>
      </c>
      <c r="J105" s="70"/>
      <c r="K105" s="70"/>
      <c r="L105" s="70"/>
      <c r="M105" s="70">
        <v>5000</v>
      </c>
      <c r="N105" s="70"/>
      <c r="O105" s="70"/>
      <c r="P105" s="70"/>
      <c r="Q105" s="70"/>
      <c r="R105" s="163"/>
      <c r="S105" s="71"/>
      <c r="T105" s="71"/>
      <c r="U105" s="71"/>
      <c r="V105" s="71"/>
      <c r="W105" s="71"/>
      <c r="X105" s="71"/>
    </row>
    <row r="106" spans="1:24" ht="13.5" customHeight="1">
      <c r="A106" s="162"/>
      <c r="B106" s="157"/>
      <c r="C106" s="158"/>
      <c r="D106" s="165" t="s">
        <v>947</v>
      </c>
      <c r="E106" s="72"/>
      <c r="F106" s="72">
        <f t="shared" si="0"/>
        <v>10500</v>
      </c>
      <c r="G106" s="70"/>
      <c r="H106" s="70"/>
      <c r="I106" s="70">
        <v>4500</v>
      </c>
      <c r="J106" s="70"/>
      <c r="K106" s="70"/>
      <c r="L106" s="70"/>
      <c r="M106" s="70">
        <v>6000</v>
      </c>
      <c r="N106" s="70"/>
      <c r="O106" s="70"/>
      <c r="P106" s="70"/>
      <c r="Q106" s="70"/>
      <c r="R106" s="163"/>
      <c r="S106" s="71"/>
      <c r="T106" s="71"/>
      <c r="U106" s="71"/>
      <c r="V106" s="71"/>
      <c r="W106" s="71"/>
      <c r="X106" s="71"/>
    </row>
    <row r="107" spans="1:24" ht="13.5" customHeight="1">
      <c r="A107" s="162" t="s">
        <v>590</v>
      </c>
      <c r="B107" s="157" t="s">
        <v>646</v>
      </c>
      <c r="C107" s="158" t="s">
        <v>649</v>
      </c>
      <c r="D107" s="165" t="s">
        <v>122</v>
      </c>
      <c r="E107" s="72">
        <v>4000</v>
      </c>
      <c r="F107" s="72">
        <f t="shared" si="0"/>
        <v>9273</v>
      </c>
      <c r="G107" s="70">
        <v>8673</v>
      </c>
      <c r="H107" s="70">
        <v>600</v>
      </c>
      <c r="I107" s="70"/>
      <c r="J107" s="70"/>
      <c r="K107" s="70"/>
      <c r="L107" s="70"/>
      <c r="M107" s="70"/>
      <c r="N107" s="70"/>
      <c r="O107" s="70"/>
      <c r="P107" s="70"/>
      <c r="Q107" s="70"/>
      <c r="R107" s="163"/>
      <c r="S107" s="71"/>
      <c r="T107" s="71"/>
      <c r="U107" s="71"/>
      <c r="V107" s="71"/>
      <c r="W107" s="71"/>
      <c r="X107" s="71"/>
    </row>
    <row r="108" spans="1:24" ht="13.5" customHeight="1">
      <c r="A108" s="162"/>
      <c r="B108" s="157"/>
      <c r="C108" s="158"/>
      <c r="D108" s="165" t="s">
        <v>888</v>
      </c>
      <c r="E108" s="72">
        <v>4000</v>
      </c>
      <c r="F108" s="72">
        <f t="shared" si="0"/>
        <v>9273</v>
      </c>
      <c r="G108" s="70">
        <v>8673</v>
      </c>
      <c r="H108" s="70">
        <v>600</v>
      </c>
      <c r="I108" s="70"/>
      <c r="J108" s="70"/>
      <c r="K108" s="70"/>
      <c r="L108" s="70"/>
      <c r="M108" s="70"/>
      <c r="N108" s="70"/>
      <c r="O108" s="70"/>
      <c r="P108" s="70"/>
      <c r="Q108" s="70"/>
      <c r="R108" s="163"/>
      <c r="S108" s="71"/>
      <c r="T108" s="71"/>
      <c r="U108" s="71"/>
      <c r="V108" s="71"/>
      <c r="W108" s="71"/>
      <c r="X108" s="71"/>
    </row>
    <row r="109" spans="1:24" ht="13.5" customHeight="1">
      <c r="A109" s="162"/>
      <c r="B109" s="157"/>
      <c r="C109" s="158"/>
      <c r="D109" s="165" t="s">
        <v>947</v>
      </c>
      <c r="E109" s="72">
        <v>4100</v>
      </c>
      <c r="F109" s="72">
        <f t="shared" si="0"/>
        <v>7343</v>
      </c>
      <c r="G109" s="70">
        <v>6873</v>
      </c>
      <c r="H109" s="70">
        <v>470</v>
      </c>
      <c r="I109" s="70"/>
      <c r="J109" s="70"/>
      <c r="K109" s="70"/>
      <c r="L109" s="70"/>
      <c r="M109" s="70"/>
      <c r="N109" s="70"/>
      <c r="O109" s="70"/>
      <c r="P109" s="70"/>
      <c r="Q109" s="70"/>
      <c r="R109" s="163"/>
      <c r="S109" s="71"/>
      <c r="T109" s="71"/>
      <c r="U109" s="71"/>
      <c r="V109" s="71"/>
      <c r="W109" s="71"/>
      <c r="X109" s="71"/>
    </row>
    <row r="110" spans="1:24" ht="13.5" customHeight="1">
      <c r="A110" s="162" t="s">
        <v>590</v>
      </c>
      <c r="B110" s="157" t="s">
        <v>650</v>
      </c>
      <c r="C110" s="158" t="s">
        <v>651</v>
      </c>
      <c r="D110" s="165" t="s">
        <v>122</v>
      </c>
      <c r="E110" s="72"/>
      <c r="F110" s="72">
        <f t="shared" si="0"/>
        <v>8200</v>
      </c>
      <c r="G110" s="70"/>
      <c r="H110" s="70"/>
      <c r="I110" s="70">
        <v>8200</v>
      </c>
      <c r="J110" s="70"/>
      <c r="K110" s="70"/>
      <c r="L110" s="70"/>
      <c r="M110" s="70"/>
      <c r="N110" s="70"/>
      <c r="O110" s="70"/>
      <c r="P110" s="70"/>
      <c r="Q110" s="70"/>
      <c r="R110" s="163"/>
      <c r="S110" s="71"/>
      <c r="T110" s="71"/>
      <c r="U110" s="71"/>
      <c r="V110" s="71"/>
      <c r="W110" s="71"/>
      <c r="X110" s="71"/>
    </row>
    <row r="111" spans="1:24" ht="13.5" customHeight="1">
      <c r="A111" s="162"/>
      <c r="B111" s="157"/>
      <c r="C111" s="158"/>
      <c r="D111" s="165" t="s">
        <v>888</v>
      </c>
      <c r="E111" s="72"/>
      <c r="F111" s="72">
        <f t="shared" si="0"/>
        <v>8200</v>
      </c>
      <c r="G111" s="70"/>
      <c r="H111" s="70"/>
      <c r="I111" s="70">
        <v>8200</v>
      </c>
      <c r="J111" s="70"/>
      <c r="K111" s="70"/>
      <c r="L111" s="70"/>
      <c r="M111" s="70"/>
      <c r="N111" s="70"/>
      <c r="O111" s="70"/>
      <c r="P111" s="70"/>
      <c r="Q111" s="70"/>
      <c r="R111" s="163"/>
      <c r="S111" s="71"/>
      <c r="T111" s="71"/>
      <c r="U111" s="71"/>
      <c r="V111" s="71"/>
      <c r="W111" s="71"/>
      <c r="X111" s="71"/>
    </row>
    <row r="112" spans="1:24" ht="13.5" customHeight="1">
      <c r="A112" s="162"/>
      <c r="B112" s="157"/>
      <c r="C112" s="158"/>
      <c r="D112" s="165" t="s">
        <v>947</v>
      </c>
      <c r="E112" s="72"/>
      <c r="F112" s="72">
        <f t="shared" si="0"/>
        <v>8200</v>
      </c>
      <c r="G112" s="70"/>
      <c r="H112" s="70"/>
      <c r="I112" s="70">
        <v>8200</v>
      </c>
      <c r="J112" s="70"/>
      <c r="K112" s="70"/>
      <c r="L112" s="70"/>
      <c r="M112" s="70"/>
      <c r="N112" s="70"/>
      <c r="O112" s="70"/>
      <c r="P112" s="70"/>
      <c r="Q112" s="70"/>
      <c r="R112" s="163"/>
      <c r="S112" s="71"/>
      <c r="T112" s="71"/>
      <c r="U112" s="71"/>
      <c r="V112" s="71"/>
      <c r="W112" s="71"/>
      <c r="X112" s="71"/>
    </row>
    <row r="113" spans="1:24" ht="13.5" customHeight="1">
      <c r="A113" s="162" t="s">
        <v>590</v>
      </c>
      <c r="B113" s="157" t="s">
        <v>650</v>
      </c>
      <c r="C113" s="158" t="s">
        <v>652</v>
      </c>
      <c r="D113" s="165" t="s">
        <v>122</v>
      </c>
      <c r="E113" s="72"/>
      <c r="F113" s="72">
        <f t="shared" si="0"/>
        <v>28300</v>
      </c>
      <c r="G113" s="69">
        <v>1000</v>
      </c>
      <c r="H113" s="69">
        <v>300</v>
      </c>
      <c r="I113" s="69">
        <v>19753</v>
      </c>
      <c r="J113" s="69"/>
      <c r="K113" s="69"/>
      <c r="L113" s="69"/>
      <c r="M113" s="69"/>
      <c r="N113" s="69"/>
      <c r="O113" s="69">
        <v>7247</v>
      </c>
      <c r="P113" s="69"/>
      <c r="Q113" s="69"/>
      <c r="R113" s="163"/>
      <c r="S113" s="71"/>
      <c r="T113" s="71"/>
      <c r="U113" s="71"/>
      <c r="V113" s="71"/>
      <c r="W113" s="71"/>
      <c r="X113" s="71"/>
    </row>
    <row r="114" spans="1:24" ht="13.5" customHeight="1">
      <c r="A114" s="162"/>
      <c r="B114" s="157"/>
      <c r="C114" s="158"/>
      <c r="D114" s="165" t="s">
        <v>888</v>
      </c>
      <c r="E114" s="72"/>
      <c r="F114" s="72">
        <f t="shared" si="0"/>
        <v>30059</v>
      </c>
      <c r="G114" s="69">
        <v>1000</v>
      </c>
      <c r="H114" s="69">
        <v>300</v>
      </c>
      <c r="I114" s="69">
        <v>21512</v>
      </c>
      <c r="J114" s="69"/>
      <c r="K114" s="69"/>
      <c r="L114" s="69"/>
      <c r="M114" s="69"/>
      <c r="N114" s="69"/>
      <c r="O114" s="69">
        <v>7247</v>
      </c>
      <c r="P114" s="69"/>
      <c r="Q114" s="69"/>
      <c r="R114" s="163"/>
      <c r="S114" s="71"/>
      <c r="T114" s="71"/>
      <c r="U114" s="71"/>
      <c r="V114" s="71"/>
      <c r="W114" s="71"/>
      <c r="X114" s="71"/>
    </row>
    <row r="115" spans="1:24" ht="13.5" customHeight="1">
      <c r="A115" s="162"/>
      <c r="B115" s="157"/>
      <c r="C115" s="158"/>
      <c r="D115" s="165" t="s">
        <v>947</v>
      </c>
      <c r="E115" s="72"/>
      <c r="F115" s="72">
        <f t="shared" si="0"/>
        <v>30059</v>
      </c>
      <c r="G115" s="69">
        <v>1000</v>
      </c>
      <c r="H115" s="69">
        <v>300</v>
      </c>
      <c r="I115" s="69">
        <v>21512</v>
      </c>
      <c r="J115" s="69"/>
      <c r="K115" s="69"/>
      <c r="L115" s="69"/>
      <c r="M115" s="69"/>
      <c r="N115" s="69"/>
      <c r="O115" s="69">
        <v>7247</v>
      </c>
      <c r="P115" s="69"/>
      <c r="Q115" s="69"/>
      <c r="R115" s="163"/>
      <c r="S115" s="71"/>
      <c r="T115" s="71"/>
      <c r="U115" s="71"/>
      <c r="V115" s="71"/>
      <c r="W115" s="71"/>
      <c r="X115" s="71"/>
    </row>
    <row r="116" spans="1:24" ht="13.5" customHeight="1">
      <c r="A116" s="162" t="s">
        <v>590</v>
      </c>
      <c r="B116" s="157" t="s">
        <v>653</v>
      </c>
      <c r="C116" s="158" t="s">
        <v>654</v>
      </c>
      <c r="D116" s="165" t="s">
        <v>122</v>
      </c>
      <c r="E116" s="72"/>
      <c r="F116" s="72">
        <f t="shared" si="0"/>
        <v>152382</v>
      </c>
      <c r="G116" s="70"/>
      <c r="H116" s="70"/>
      <c r="I116" s="70">
        <v>15000</v>
      </c>
      <c r="J116" s="70">
        <v>137382</v>
      </c>
      <c r="K116" s="70"/>
      <c r="L116" s="70"/>
      <c r="M116" s="70"/>
      <c r="N116" s="70"/>
      <c r="O116" s="73"/>
      <c r="P116" s="70"/>
      <c r="Q116" s="70"/>
      <c r="R116" s="163"/>
      <c r="S116" s="71"/>
      <c r="T116" s="71"/>
      <c r="U116" s="71"/>
      <c r="V116" s="71"/>
      <c r="W116" s="71"/>
      <c r="X116" s="71"/>
    </row>
    <row r="117" spans="1:24" ht="13.5" customHeight="1">
      <c r="A117" s="162"/>
      <c r="B117" s="157"/>
      <c r="C117" s="158"/>
      <c r="D117" s="165" t="s">
        <v>888</v>
      </c>
      <c r="E117" s="72">
        <v>7006</v>
      </c>
      <c r="F117" s="72">
        <f t="shared" si="0"/>
        <v>153294</v>
      </c>
      <c r="G117" s="70"/>
      <c r="H117" s="70"/>
      <c r="I117" s="70">
        <v>15658</v>
      </c>
      <c r="J117" s="70">
        <v>137382</v>
      </c>
      <c r="K117" s="70"/>
      <c r="L117" s="70"/>
      <c r="M117" s="70"/>
      <c r="N117" s="70">
        <v>254</v>
      </c>
      <c r="O117" s="73"/>
      <c r="P117" s="70"/>
      <c r="Q117" s="70"/>
      <c r="R117" s="163"/>
      <c r="S117" s="71"/>
      <c r="T117" s="71"/>
      <c r="U117" s="71"/>
      <c r="V117" s="71"/>
      <c r="W117" s="71"/>
      <c r="X117" s="71"/>
    </row>
    <row r="118" spans="1:24" ht="13.5" customHeight="1">
      <c r="A118" s="162"/>
      <c r="B118" s="157"/>
      <c r="C118" s="158"/>
      <c r="D118" s="165" t="s">
        <v>947</v>
      </c>
      <c r="E118" s="72"/>
      <c r="F118" s="72">
        <f t="shared" si="0"/>
        <v>154207</v>
      </c>
      <c r="G118" s="70"/>
      <c r="H118" s="70"/>
      <c r="I118" s="70">
        <v>16571</v>
      </c>
      <c r="J118" s="70">
        <v>137382</v>
      </c>
      <c r="K118" s="70"/>
      <c r="L118" s="70"/>
      <c r="M118" s="70"/>
      <c r="N118" s="70">
        <v>254</v>
      </c>
      <c r="O118" s="73"/>
      <c r="P118" s="70"/>
      <c r="Q118" s="70"/>
      <c r="R118" s="163"/>
      <c r="S118" s="71"/>
      <c r="T118" s="71"/>
      <c r="U118" s="71"/>
      <c r="V118" s="71"/>
      <c r="W118" s="71"/>
      <c r="X118" s="71"/>
    </row>
    <row r="119" spans="1:24" ht="13.5" customHeight="1">
      <c r="A119" s="162" t="s">
        <v>593</v>
      </c>
      <c r="B119" s="157" t="s">
        <v>655</v>
      </c>
      <c r="C119" s="158" t="s">
        <v>480</v>
      </c>
      <c r="D119" s="165" t="s">
        <v>122</v>
      </c>
      <c r="E119" s="72"/>
      <c r="F119" s="72">
        <f t="shared" si="0"/>
        <v>16356</v>
      </c>
      <c r="G119" s="70"/>
      <c r="H119" s="70"/>
      <c r="I119" s="70">
        <v>16356</v>
      </c>
      <c r="J119" s="70"/>
      <c r="K119" s="70"/>
      <c r="L119" s="70"/>
      <c r="M119" s="70"/>
      <c r="N119" s="70"/>
      <c r="O119" s="73"/>
      <c r="P119" s="70"/>
      <c r="Q119" s="70"/>
      <c r="R119" s="163"/>
      <c r="S119" s="71"/>
      <c r="T119" s="71"/>
      <c r="U119" s="71"/>
      <c r="V119" s="71"/>
      <c r="W119" s="71"/>
      <c r="X119" s="71"/>
    </row>
    <row r="120" spans="1:24" ht="13.5" customHeight="1">
      <c r="A120" s="162"/>
      <c r="B120" s="157"/>
      <c r="C120" s="158"/>
      <c r="D120" s="165" t="s">
        <v>888</v>
      </c>
      <c r="E120" s="72"/>
      <c r="F120" s="72">
        <f t="shared" si="0"/>
        <v>16356</v>
      </c>
      <c r="G120" s="70"/>
      <c r="H120" s="70"/>
      <c r="I120" s="70">
        <v>16356</v>
      </c>
      <c r="J120" s="70"/>
      <c r="K120" s="70"/>
      <c r="L120" s="70"/>
      <c r="M120" s="70"/>
      <c r="N120" s="70"/>
      <c r="O120" s="73"/>
      <c r="P120" s="70"/>
      <c r="Q120" s="70"/>
      <c r="R120" s="163"/>
      <c r="S120" s="71"/>
      <c r="T120" s="71"/>
      <c r="U120" s="71"/>
      <c r="V120" s="71"/>
      <c r="W120" s="71"/>
      <c r="X120" s="71"/>
    </row>
    <row r="121" spans="1:24" ht="13.5" customHeight="1">
      <c r="A121" s="162"/>
      <c r="B121" s="157"/>
      <c r="C121" s="158"/>
      <c r="D121" s="165" t="s">
        <v>947</v>
      </c>
      <c r="E121" s="72"/>
      <c r="F121" s="72">
        <f t="shared" si="0"/>
        <v>16356</v>
      </c>
      <c r="G121" s="70"/>
      <c r="H121" s="70"/>
      <c r="I121" s="70">
        <v>16356</v>
      </c>
      <c r="J121" s="70"/>
      <c r="K121" s="70"/>
      <c r="L121" s="70"/>
      <c r="M121" s="70"/>
      <c r="N121" s="70"/>
      <c r="O121" s="73"/>
      <c r="P121" s="70"/>
      <c r="Q121" s="70"/>
      <c r="R121" s="163"/>
      <c r="S121" s="71"/>
      <c r="T121" s="71"/>
      <c r="U121" s="71"/>
      <c r="V121" s="71"/>
      <c r="W121" s="71"/>
      <c r="X121" s="71"/>
    </row>
    <row r="122" spans="1:24" ht="13.5" customHeight="1">
      <c r="A122" s="162" t="s">
        <v>593</v>
      </c>
      <c r="B122" s="157" t="s">
        <v>656</v>
      </c>
      <c r="C122" s="158" t="s">
        <v>657</v>
      </c>
      <c r="D122" s="165" t="s">
        <v>122</v>
      </c>
      <c r="E122" s="72">
        <v>115</v>
      </c>
      <c r="F122" s="72">
        <f t="shared" si="0"/>
        <v>8729</v>
      </c>
      <c r="G122" s="70">
        <v>4500</v>
      </c>
      <c r="H122" s="70">
        <v>2304</v>
      </c>
      <c r="I122" s="70">
        <v>1925</v>
      </c>
      <c r="J122" s="70"/>
      <c r="K122" s="70"/>
      <c r="L122" s="70"/>
      <c r="M122" s="70"/>
      <c r="N122" s="70"/>
      <c r="O122" s="70"/>
      <c r="P122" s="70"/>
      <c r="Q122" s="70"/>
      <c r="R122" s="163"/>
      <c r="S122" s="71"/>
      <c r="T122" s="71"/>
      <c r="U122" s="71"/>
      <c r="V122" s="71"/>
      <c r="W122" s="71"/>
      <c r="X122" s="71"/>
    </row>
    <row r="123" spans="1:24" ht="13.5" customHeight="1">
      <c r="A123" s="162"/>
      <c r="B123" s="157"/>
      <c r="C123" s="158"/>
      <c r="D123" s="165" t="s">
        <v>888</v>
      </c>
      <c r="E123" s="72">
        <v>215</v>
      </c>
      <c r="F123" s="72">
        <f t="shared" si="0"/>
        <v>10171</v>
      </c>
      <c r="G123" s="70">
        <v>5786</v>
      </c>
      <c r="H123" s="70">
        <v>2304</v>
      </c>
      <c r="I123" s="70">
        <v>2025</v>
      </c>
      <c r="J123" s="70">
        <v>56</v>
      </c>
      <c r="K123" s="70"/>
      <c r="L123" s="70"/>
      <c r="M123" s="70"/>
      <c r="N123" s="70"/>
      <c r="O123" s="70"/>
      <c r="P123" s="70"/>
      <c r="Q123" s="70"/>
      <c r="R123" s="163"/>
      <c r="S123" s="71"/>
      <c r="T123" s="71"/>
      <c r="U123" s="71"/>
      <c r="V123" s="71"/>
      <c r="W123" s="71"/>
      <c r="X123" s="71"/>
    </row>
    <row r="124" spans="1:24" ht="13.5" customHeight="1">
      <c r="A124" s="162"/>
      <c r="B124" s="157"/>
      <c r="C124" s="158"/>
      <c r="D124" s="165" t="s">
        <v>947</v>
      </c>
      <c r="E124" s="72">
        <v>215</v>
      </c>
      <c r="F124" s="72">
        <f t="shared" si="0"/>
        <v>10224</v>
      </c>
      <c r="G124" s="70">
        <v>5895</v>
      </c>
      <c r="H124" s="70">
        <v>2304</v>
      </c>
      <c r="I124" s="70">
        <v>1998</v>
      </c>
      <c r="J124" s="70"/>
      <c r="K124" s="70"/>
      <c r="L124" s="70"/>
      <c r="M124" s="70"/>
      <c r="N124" s="70">
        <v>27</v>
      </c>
      <c r="O124" s="70"/>
      <c r="P124" s="70"/>
      <c r="Q124" s="70"/>
      <c r="R124" s="163"/>
      <c r="S124" s="71"/>
      <c r="T124" s="71"/>
      <c r="U124" s="71"/>
      <c r="V124" s="71"/>
      <c r="W124" s="71"/>
      <c r="X124" s="71"/>
    </row>
    <row r="125" spans="1:24" ht="13.5" customHeight="1">
      <c r="A125" s="162" t="s">
        <v>593</v>
      </c>
      <c r="B125" s="157" t="s">
        <v>658</v>
      </c>
      <c r="C125" s="158" t="s">
        <v>659</v>
      </c>
      <c r="D125" s="165" t="s">
        <v>122</v>
      </c>
      <c r="E125" s="72"/>
      <c r="F125" s="72">
        <f t="shared" si="0"/>
        <v>1300</v>
      </c>
      <c r="G125" s="70"/>
      <c r="H125" s="70"/>
      <c r="I125" s="70">
        <v>1300</v>
      </c>
      <c r="J125" s="70"/>
      <c r="K125" s="70"/>
      <c r="L125" s="70"/>
      <c r="M125" s="70"/>
      <c r="N125" s="70"/>
      <c r="O125" s="73"/>
      <c r="P125" s="70"/>
      <c r="Q125" s="70"/>
      <c r="R125" s="163"/>
      <c r="S125" s="71"/>
      <c r="T125" s="71"/>
      <c r="U125" s="71"/>
      <c r="V125" s="71"/>
      <c r="W125" s="71"/>
      <c r="X125" s="71"/>
    </row>
    <row r="126" spans="1:24" ht="13.5" customHeight="1">
      <c r="A126" s="162"/>
      <c r="B126" s="157"/>
      <c r="C126" s="158"/>
      <c r="D126" s="165" t="s">
        <v>888</v>
      </c>
      <c r="E126" s="72"/>
      <c r="F126" s="72">
        <f t="shared" si="0"/>
        <v>1300</v>
      </c>
      <c r="G126" s="70"/>
      <c r="H126" s="70"/>
      <c r="I126" s="70">
        <v>1300</v>
      </c>
      <c r="J126" s="70"/>
      <c r="K126" s="70"/>
      <c r="L126" s="70"/>
      <c r="M126" s="70"/>
      <c r="N126" s="70"/>
      <c r="O126" s="73"/>
      <c r="P126" s="70"/>
      <c r="Q126" s="70"/>
      <c r="R126" s="163"/>
      <c r="S126" s="71"/>
      <c r="T126" s="71"/>
      <c r="U126" s="71"/>
      <c r="V126" s="71"/>
      <c r="W126" s="71"/>
      <c r="X126" s="71"/>
    </row>
    <row r="127" spans="1:24" ht="13.5" customHeight="1">
      <c r="A127" s="162"/>
      <c r="B127" s="157"/>
      <c r="C127" s="158"/>
      <c r="D127" s="165" t="s">
        <v>947</v>
      </c>
      <c r="E127" s="72"/>
      <c r="F127" s="72">
        <f t="shared" si="0"/>
        <v>1300</v>
      </c>
      <c r="G127" s="70"/>
      <c r="H127" s="70"/>
      <c r="I127" s="70">
        <v>1300</v>
      </c>
      <c r="J127" s="70"/>
      <c r="K127" s="70"/>
      <c r="L127" s="70"/>
      <c r="M127" s="70"/>
      <c r="N127" s="70"/>
      <c r="O127" s="73"/>
      <c r="P127" s="70"/>
      <c r="Q127" s="70"/>
      <c r="R127" s="163"/>
      <c r="S127" s="71"/>
      <c r="T127" s="71"/>
      <c r="U127" s="71"/>
      <c r="V127" s="71"/>
      <c r="W127" s="71"/>
      <c r="X127" s="71"/>
    </row>
    <row r="128" spans="1:24" ht="13.5" customHeight="1">
      <c r="A128" s="162" t="s">
        <v>590</v>
      </c>
      <c r="B128" s="157" t="s">
        <v>660</v>
      </c>
      <c r="C128" s="158" t="s">
        <v>661</v>
      </c>
      <c r="D128" s="165" t="s">
        <v>122</v>
      </c>
      <c r="E128" s="72"/>
      <c r="F128" s="72">
        <f t="shared" si="0"/>
        <v>87240</v>
      </c>
      <c r="G128" s="70"/>
      <c r="H128" s="70"/>
      <c r="I128" s="70"/>
      <c r="J128" s="70">
        <v>87240</v>
      </c>
      <c r="K128" s="70"/>
      <c r="L128" s="70"/>
      <c r="M128" s="70"/>
      <c r="N128" s="70"/>
      <c r="O128" s="70"/>
      <c r="P128" s="70"/>
      <c r="Q128" s="70"/>
      <c r="R128" s="163"/>
      <c r="S128" s="71"/>
      <c r="T128" s="71"/>
      <c r="U128" s="71"/>
      <c r="V128" s="71"/>
      <c r="W128" s="71"/>
      <c r="X128" s="71"/>
    </row>
    <row r="129" spans="1:24" ht="13.5" customHeight="1">
      <c r="A129" s="162"/>
      <c r="B129" s="157"/>
      <c r="C129" s="158"/>
      <c r="D129" s="165" t="s">
        <v>888</v>
      </c>
      <c r="E129" s="72">
        <v>6500</v>
      </c>
      <c r="F129" s="72">
        <f t="shared" si="0"/>
        <v>91877</v>
      </c>
      <c r="G129" s="70"/>
      <c r="H129" s="70"/>
      <c r="I129" s="70">
        <v>650</v>
      </c>
      <c r="J129" s="70">
        <v>91227</v>
      </c>
      <c r="K129" s="70"/>
      <c r="L129" s="70"/>
      <c r="M129" s="70"/>
      <c r="N129" s="70"/>
      <c r="O129" s="70"/>
      <c r="P129" s="70"/>
      <c r="Q129" s="70"/>
      <c r="R129" s="163"/>
      <c r="S129" s="71"/>
      <c r="T129" s="71"/>
      <c r="U129" s="71"/>
      <c r="V129" s="71"/>
      <c r="W129" s="71"/>
      <c r="X129" s="71"/>
    </row>
    <row r="130" spans="1:24" ht="13.5" customHeight="1">
      <c r="A130" s="162"/>
      <c r="B130" s="157"/>
      <c r="C130" s="158"/>
      <c r="D130" s="165" t="s">
        <v>947</v>
      </c>
      <c r="E130" s="72">
        <v>6750</v>
      </c>
      <c r="F130" s="72">
        <f t="shared" si="0"/>
        <v>96112</v>
      </c>
      <c r="G130" s="70"/>
      <c r="H130" s="70"/>
      <c r="I130" s="70">
        <v>1686</v>
      </c>
      <c r="J130" s="70">
        <v>94037</v>
      </c>
      <c r="K130" s="70"/>
      <c r="L130" s="70"/>
      <c r="M130" s="70"/>
      <c r="N130" s="70">
        <v>389</v>
      </c>
      <c r="O130" s="70"/>
      <c r="P130" s="70"/>
      <c r="Q130" s="70"/>
      <c r="R130" s="163"/>
      <c r="S130" s="71"/>
      <c r="T130" s="71"/>
      <c r="U130" s="71"/>
      <c r="V130" s="71"/>
      <c r="W130" s="71"/>
      <c r="X130" s="71"/>
    </row>
    <row r="131" spans="1:24" ht="13.5" customHeight="1">
      <c r="A131" s="162" t="s">
        <v>593</v>
      </c>
      <c r="B131" s="157" t="s">
        <v>662</v>
      </c>
      <c r="C131" s="158" t="s">
        <v>663</v>
      </c>
      <c r="D131" s="165" t="s">
        <v>122</v>
      </c>
      <c r="E131" s="72"/>
      <c r="F131" s="72">
        <f t="shared" si="0"/>
        <v>1800</v>
      </c>
      <c r="G131" s="69"/>
      <c r="H131" s="69"/>
      <c r="I131" s="69">
        <v>1800</v>
      </c>
      <c r="J131" s="69"/>
      <c r="K131" s="72"/>
      <c r="L131" s="72"/>
      <c r="M131" s="74"/>
      <c r="N131" s="69"/>
      <c r="O131" s="69"/>
      <c r="P131" s="69"/>
      <c r="Q131" s="69"/>
      <c r="R131" s="163"/>
      <c r="S131" s="71"/>
      <c r="T131" s="71"/>
      <c r="U131" s="71"/>
      <c r="V131" s="71"/>
      <c r="W131" s="71"/>
      <c r="X131" s="71"/>
    </row>
    <row r="132" spans="1:24" ht="13.5" customHeight="1">
      <c r="A132" s="162"/>
      <c r="B132" s="157"/>
      <c r="C132" s="158"/>
      <c r="D132" s="165" t="s">
        <v>888</v>
      </c>
      <c r="E132" s="72"/>
      <c r="F132" s="72">
        <f t="shared" si="0"/>
        <v>2200</v>
      </c>
      <c r="G132" s="69"/>
      <c r="H132" s="69"/>
      <c r="I132" s="69">
        <v>1800</v>
      </c>
      <c r="J132" s="69">
        <v>400</v>
      </c>
      <c r="K132" s="72"/>
      <c r="L132" s="72"/>
      <c r="M132" s="74"/>
      <c r="N132" s="69"/>
      <c r="O132" s="69"/>
      <c r="P132" s="69"/>
      <c r="Q132" s="69"/>
      <c r="R132" s="163"/>
      <c r="S132" s="71"/>
      <c r="T132" s="71"/>
      <c r="U132" s="71"/>
      <c r="V132" s="71"/>
      <c r="W132" s="71"/>
      <c r="X132" s="71"/>
    </row>
    <row r="133" spans="1:24" ht="13.5" customHeight="1">
      <c r="A133" s="162"/>
      <c r="B133" s="157"/>
      <c r="C133" s="158"/>
      <c r="D133" s="165" t="s">
        <v>947</v>
      </c>
      <c r="E133" s="72"/>
      <c r="F133" s="72">
        <f t="shared" si="0"/>
        <v>1800</v>
      </c>
      <c r="G133" s="69"/>
      <c r="H133" s="69"/>
      <c r="I133" s="69">
        <v>1800</v>
      </c>
      <c r="J133" s="69"/>
      <c r="K133" s="72"/>
      <c r="L133" s="72"/>
      <c r="M133" s="74"/>
      <c r="N133" s="69"/>
      <c r="O133" s="69"/>
      <c r="P133" s="69"/>
      <c r="Q133" s="69"/>
      <c r="R133" s="163"/>
      <c r="S133" s="71"/>
      <c r="T133" s="71"/>
      <c r="U133" s="71"/>
      <c r="V133" s="71"/>
      <c r="W133" s="71"/>
      <c r="X133" s="71"/>
    </row>
    <row r="134" spans="1:24" ht="13.5" customHeight="1">
      <c r="A134" s="162" t="s">
        <v>593</v>
      </c>
      <c r="B134" s="166" t="s">
        <v>664</v>
      </c>
      <c r="C134" s="167" t="s">
        <v>665</v>
      </c>
      <c r="D134" s="165" t="s">
        <v>122</v>
      </c>
      <c r="E134" s="72"/>
      <c r="F134" s="72">
        <f t="shared" si="0"/>
        <v>28730</v>
      </c>
      <c r="G134" s="70">
        <v>5760</v>
      </c>
      <c r="H134" s="70">
        <v>1400</v>
      </c>
      <c r="I134" s="70">
        <v>21570</v>
      </c>
      <c r="J134" s="70"/>
      <c r="K134" s="70"/>
      <c r="L134" s="70"/>
      <c r="M134" s="70"/>
      <c r="N134" s="70"/>
      <c r="O134" s="70"/>
      <c r="P134" s="70"/>
      <c r="Q134" s="70"/>
      <c r="R134" s="163"/>
      <c r="S134" s="71"/>
      <c r="T134" s="71"/>
      <c r="U134" s="71"/>
      <c r="V134" s="71"/>
      <c r="W134" s="71"/>
      <c r="X134" s="71"/>
    </row>
    <row r="135" spans="1:24" ht="13.5" customHeight="1">
      <c r="A135" s="162"/>
      <c r="B135" s="166"/>
      <c r="C135" s="167"/>
      <c r="D135" s="165" t="s">
        <v>888</v>
      </c>
      <c r="E135" s="72"/>
      <c r="F135" s="72">
        <f t="shared" si="0"/>
        <v>29437</v>
      </c>
      <c r="G135" s="70">
        <v>5760</v>
      </c>
      <c r="H135" s="70">
        <v>1400</v>
      </c>
      <c r="I135" s="70">
        <v>22277</v>
      </c>
      <c r="J135" s="70"/>
      <c r="K135" s="70"/>
      <c r="L135" s="70"/>
      <c r="M135" s="70"/>
      <c r="N135" s="70"/>
      <c r="O135" s="70"/>
      <c r="P135" s="70"/>
      <c r="Q135" s="70"/>
      <c r="R135" s="163"/>
      <c r="S135" s="71"/>
      <c r="T135" s="71"/>
      <c r="U135" s="71"/>
      <c r="V135" s="71"/>
      <c r="W135" s="71"/>
      <c r="X135" s="71"/>
    </row>
    <row r="136" spans="1:24" ht="13.5" customHeight="1">
      <c r="A136" s="162"/>
      <c r="B136" s="166"/>
      <c r="C136" s="167"/>
      <c r="D136" s="165" t="s">
        <v>947</v>
      </c>
      <c r="E136" s="72">
        <v>105</v>
      </c>
      <c r="F136" s="72">
        <f t="shared" si="0"/>
        <v>29542</v>
      </c>
      <c r="G136" s="70">
        <v>5760</v>
      </c>
      <c r="H136" s="70">
        <v>1400</v>
      </c>
      <c r="I136" s="70">
        <v>22382</v>
      </c>
      <c r="J136" s="70"/>
      <c r="K136" s="70"/>
      <c r="L136" s="70"/>
      <c r="M136" s="70"/>
      <c r="N136" s="70"/>
      <c r="O136" s="70"/>
      <c r="P136" s="70"/>
      <c r="Q136" s="70"/>
      <c r="R136" s="163"/>
      <c r="S136" s="71"/>
      <c r="T136" s="71"/>
      <c r="U136" s="71"/>
      <c r="V136" s="71"/>
      <c r="W136" s="71"/>
      <c r="X136" s="71"/>
    </row>
    <row r="137" spans="1:18" s="71" customFormat="1" ht="13.5" customHeight="1">
      <c r="A137" s="162" t="s">
        <v>593</v>
      </c>
      <c r="B137" s="157" t="s">
        <v>666</v>
      </c>
      <c r="C137" s="158" t="s">
        <v>667</v>
      </c>
      <c r="D137" s="165" t="s">
        <v>122</v>
      </c>
      <c r="E137" s="72">
        <v>2000</v>
      </c>
      <c r="F137" s="72">
        <f t="shared" si="0"/>
        <v>295656</v>
      </c>
      <c r="G137" s="69"/>
      <c r="H137" s="69"/>
      <c r="I137" s="69"/>
      <c r="J137" s="69">
        <v>244604</v>
      </c>
      <c r="K137" s="69"/>
      <c r="L137" s="69"/>
      <c r="M137" s="69"/>
      <c r="N137" s="69"/>
      <c r="O137" s="69">
        <v>51052</v>
      </c>
      <c r="P137" s="69"/>
      <c r="Q137" s="69"/>
      <c r="R137" s="163"/>
    </row>
    <row r="138" spans="1:18" s="71" customFormat="1" ht="13.5" customHeight="1">
      <c r="A138" s="162"/>
      <c r="B138" s="157"/>
      <c r="C138" s="158"/>
      <c r="D138" s="165" t="s">
        <v>888</v>
      </c>
      <c r="E138" s="72">
        <v>2000</v>
      </c>
      <c r="F138" s="72">
        <f aca="true" t="shared" si="1" ref="F138:F201">SUM(G138:R138)</f>
        <v>305746</v>
      </c>
      <c r="G138" s="69"/>
      <c r="H138" s="69"/>
      <c r="I138" s="69"/>
      <c r="J138" s="69">
        <v>251565</v>
      </c>
      <c r="K138" s="69"/>
      <c r="L138" s="69"/>
      <c r="M138" s="69"/>
      <c r="N138" s="69"/>
      <c r="O138" s="69">
        <v>54181</v>
      </c>
      <c r="P138" s="69"/>
      <c r="Q138" s="69"/>
      <c r="R138" s="163"/>
    </row>
    <row r="139" spans="1:18" s="71" customFormat="1" ht="13.5" customHeight="1">
      <c r="A139" s="162"/>
      <c r="B139" s="157"/>
      <c r="C139" s="158"/>
      <c r="D139" s="165" t="s">
        <v>947</v>
      </c>
      <c r="E139" s="72">
        <v>2000</v>
      </c>
      <c r="F139" s="72">
        <f t="shared" si="1"/>
        <v>425142</v>
      </c>
      <c r="G139" s="69">
        <v>270</v>
      </c>
      <c r="H139" s="69"/>
      <c r="I139" s="69">
        <v>63</v>
      </c>
      <c r="J139" s="69">
        <v>253128</v>
      </c>
      <c r="K139" s="69"/>
      <c r="L139" s="69"/>
      <c r="M139" s="69"/>
      <c r="N139" s="69"/>
      <c r="O139" s="69">
        <v>171681</v>
      </c>
      <c r="P139" s="69"/>
      <c r="Q139" s="69"/>
      <c r="R139" s="163"/>
    </row>
    <row r="140" spans="1:24" ht="13.5" customHeight="1">
      <c r="A140" s="162" t="s">
        <v>590</v>
      </c>
      <c r="B140" s="157" t="s">
        <v>668</v>
      </c>
      <c r="C140" s="158" t="s">
        <v>669</v>
      </c>
      <c r="D140" s="165" t="s">
        <v>122</v>
      </c>
      <c r="E140" s="72"/>
      <c r="F140" s="72">
        <f t="shared" si="1"/>
        <v>2400</v>
      </c>
      <c r="G140" s="70"/>
      <c r="H140" s="70"/>
      <c r="I140" s="70"/>
      <c r="J140" s="70">
        <v>2400</v>
      </c>
      <c r="K140" s="70"/>
      <c r="L140" s="70"/>
      <c r="M140" s="70"/>
      <c r="N140" s="70"/>
      <c r="O140" s="70"/>
      <c r="P140" s="70"/>
      <c r="Q140" s="70"/>
      <c r="R140" s="163"/>
      <c r="S140" s="71"/>
      <c r="T140" s="71"/>
      <c r="U140" s="71"/>
      <c r="V140" s="71"/>
      <c r="W140" s="71"/>
      <c r="X140" s="71"/>
    </row>
    <row r="141" spans="1:24" ht="13.5" customHeight="1">
      <c r="A141" s="162"/>
      <c r="B141" s="157"/>
      <c r="C141" s="158"/>
      <c r="D141" s="165" t="s">
        <v>888</v>
      </c>
      <c r="E141" s="72"/>
      <c r="F141" s="72">
        <f t="shared" si="1"/>
        <v>2400</v>
      </c>
      <c r="G141" s="70"/>
      <c r="H141" s="70"/>
      <c r="I141" s="70"/>
      <c r="J141" s="70">
        <v>2400</v>
      </c>
      <c r="K141" s="70"/>
      <c r="L141" s="70"/>
      <c r="M141" s="70"/>
      <c r="N141" s="70"/>
      <c r="O141" s="70"/>
      <c r="P141" s="70"/>
      <c r="Q141" s="70"/>
      <c r="R141" s="163"/>
      <c r="S141" s="71"/>
      <c r="T141" s="71"/>
      <c r="U141" s="71"/>
      <c r="V141" s="71"/>
      <c r="W141" s="71"/>
      <c r="X141" s="71"/>
    </row>
    <row r="142" spans="1:24" ht="13.5" customHeight="1">
      <c r="A142" s="162"/>
      <c r="B142" s="157"/>
      <c r="C142" s="158"/>
      <c r="D142" s="165" t="s">
        <v>947</v>
      </c>
      <c r="E142" s="72"/>
      <c r="F142" s="72">
        <f t="shared" si="1"/>
        <v>2400</v>
      </c>
      <c r="G142" s="70"/>
      <c r="H142" s="70"/>
      <c r="I142" s="70"/>
      <c r="J142" s="70">
        <v>2400</v>
      </c>
      <c r="K142" s="70"/>
      <c r="L142" s="70"/>
      <c r="M142" s="70"/>
      <c r="N142" s="70"/>
      <c r="O142" s="70"/>
      <c r="P142" s="70"/>
      <c r="Q142" s="70"/>
      <c r="R142" s="163"/>
      <c r="S142" s="71"/>
      <c r="T142" s="71"/>
      <c r="U142" s="71"/>
      <c r="V142" s="71"/>
      <c r="W142" s="71"/>
      <c r="X142" s="71"/>
    </row>
    <row r="143" spans="1:24" ht="13.5" customHeight="1">
      <c r="A143" s="162" t="s">
        <v>593</v>
      </c>
      <c r="B143" s="157" t="s">
        <v>670</v>
      </c>
      <c r="C143" s="164" t="s">
        <v>671</v>
      </c>
      <c r="D143" s="165" t="s">
        <v>122</v>
      </c>
      <c r="E143" s="72">
        <v>750</v>
      </c>
      <c r="F143" s="72">
        <f t="shared" si="1"/>
        <v>14818</v>
      </c>
      <c r="G143" s="70">
        <v>2250</v>
      </c>
      <c r="H143" s="70">
        <v>1152</v>
      </c>
      <c r="I143" s="70">
        <v>4916</v>
      </c>
      <c r="J143" s="70">
        <v>4000</v>
      </c>
      <c r="K143" s="70">
        <v>2500</v>
      </c>
      <c r="L143" s="70"/>
      <c r="M143" s="70"/>
      <c r="N143" s="70"/>
      <c r="O143" s="70"/>
      <c r="P143" s="70"/>
      <c r="Q143" s="70"/>
      <c r="R143" s="163"/>
      <c r="S143" s="71"/>
      <c r="T143" s="71"/>
      <c r="U143" s="71"/>
      <c r="V143" s="71"/>
      <c r="W143" s="71"/>
      <c r="X143" s="71"/>
    </row>
    <row r="144" spans="1:24" ht="13.5" customHeight="1">
      <c r="A144" s="162"/>
      <c r="B144" s="157"/>
      <c r="C144" s="164"/>
      <c r="D144" s="165" t="s">
        <v>888</v>
      </c>
      <c r="E144" s="72">
        <v>1650</v>
      </c>
      <c r="F144" s="72">
        <f t="shared" si="1"/>
        <v>15820</v>
      </c>
      <c r="G144" s="70">
        <v>2250</v>
      </c>
      <c r="H144" s="70">
        <v>1152</v>
      </c>
      <c r="I144" s="70">
        <v>5018</v>
      </c>
      <c r="J144" s="70">
        <v>3500</v>
      </c>
      <c r="K144" s="70">
        <v>3900</v>
      </c>
      <c r="L144" s="70"/>
      <c r="M144" s="70"/>
      <c r="N144" s="70"/>
      <c r="O144" s="70"/>
      <c r="P144" s="70"/>
      <c r="Q144" s="70"/>
      <c r="R144" s="163"/>
      <c r="S144" s="71"/>
      <c r="T144" s="71"/>
      <c r="U144" s="71"/>
      <c r="V144" s="71"/>
      <c r="W144" s="71"/>
      <c r="X144" s="71"/>
    </row>
    <row r="145" spans="1:24" ht="13.5" customHeight="1">
      <c r="A145" s="162"/>
      <c r="B145" s="157"/>
      <c r="C145" s="164"/>
      <c r="D145" s="165" t="s">
        <v>947</v>
      </c>
      <c r="E145" s="72">
        <v>1650</v>
      </c>
      <c r="F145" s="72">
        <f t="shared" si="1"/>
        <v>17451</v>
      </c>
      <c r="G145" s="70">
        <v>2952</v>
      </c>
      <c r="H145" s="70">
        <v>1252</v>
      </c>
      <c r="I145" s="70">
        <v>4916</v>
      </c>
      <c r="J145" s="70">
        <v>4431</v>
      </c>
      <c r="K145" s="70">
        <v>3900</v>
      </c>
      <c r="L145" s="70"/>
      <c r="M145" s="70"/>
      <c r="N145" s="70"/>
      <c r="O145" s="70"/>
      <c r="P145" s="70"/>
      <c r="Q145" s="70"/>
      <c r="R145" s="163"/>
      <c r="S145" s="71"/>
      <c r="T145" s="71"/>
      <c r="U145" s="71"/>
      <c r="V145" s="71"/>
      <c r="W145" s="71"/>
      <c r="X145" s="71"/>
    </row>
    <row r="146" spans="1:24" ht="13.5" customHeight="1">
      <c r="A146" s="162" t="s">
        <v>593</v>
      </c>
      <c r="B146" s="157" t="s">
        <v>672</v>
      </c>
      <c r="C146" s="158" t="s">
        <v>673</v>
      </c>
      <c r="D146" s="165" t="s">
        <v>122</v>
      </c>
      <c r="E146" s="72">
        <v>140</v>
      </c>
      <c r="F146" s="72">
        <f t="shared" si="1"/>
        <v>26445</v>
      </c>
      <c r="G146" s="70">
        <v>9000</v>
      </c>
      <c r="H146" s="70">
        <v>4605</v>
      </c>
      <c r="I146" s="70">
        <v>12840</v>
      </c>
      <c r="J146" s="70"/>
      <c r="K146" s="70"/>
      <c r="L146" s="70"/>
      <c r="M146" s="70"/>
      <c r="N146" s="70"/>
      <c r="O146" s="70"/>
      <c r="P146" s="70"/>
      <c r="Q146" s="70"/>
      <c r="R146" s="163"/>
      <c r="S146" s="71"/>
      <c r="T146" s="71"/>
      <c r="U146" s="71"/>
      <c r="V146" s="71"/>
      <c r="W146" s="71"/>
      <c r="X146" s="71"/>
    </row>
    <row r="147" spans="1:24" ht="13.5" customHeight="1">
      <c r="A147" s="162"/>
      <c r="B147" s="157"/>
      <c r="C147" s="158"/>
      <c r="D147" s="165" t="s">
        <v>888</v>
      </c>
      <c r="E147" s="72">
        <v>140</v>
      </c>
      <c r="F147" s="72">
        <f t="shared" si="1"/>
        <v>26445</v>
      </c>
      <c r="G147" s="70">
        <v>9000</v>
      </c>
      <c r="H147" s="70">
        <v>4605</v>
      </c>
      <c r="I147" s="70">
        <v>12840</v>
      </c>
      <c r="J147" s="70"/>
      <c r="K147" s="70"/>
      <c r="L147" s="70"/>
      <c r="M147" s="70"/>
      <c r="N147" s="70"/>
      <c r="O147" s="70"/>
      <c r="P147" s="70"/>
      <c r="Q147" s="70"/>
      <c r="R147" s="163"/>
      <c r="S147" s="71"/>
      <c r="T147" s="71"/>
      <c r="U147" s="71"/>
      <c r="V147" s="71"/>
      <c r="W147" s="71"/>
      <c r="X147" s="71"/>
    </row>
    <row r="148" spans="1:24" ht="13.5" customHeight="1">
      <c r="A148" s="162"/>
      <c r="B148" s="157"/>
      <c r="C148" s="158"/>
      <c r="D148" s="165" t="s">
        <v>947</v>
      </c>
      <c r="E148" s="72">
        <v>140</v>
      </c>
      <c r="F148" s="72">
        <f t="shared" si="1"/>
        <v>26645</v>
      </c>
      <c r="G148" s="70">
        <v>11000</v>
      </c>
      <c r="H148" s="70">
        <v>4605</v>
      </c>
      <c r="I148" s="70">
        <v>9706</v>
      </c>
      <c r="J148" s="70">
        <v>1334</v>
      </c>
      <c r="K148" s="70"/>
      <c r="L148" s="70"/>
      <c r="M148" s="70"/>
      <c r="N148" s="70"/>
      <c r="O148" s="70"/>
      <c r="P148" s="70"/>
      <c r="Q148" s="70"/>
      <c r="R148" s="163"/>
      <c r="S148" s="71"/>
      <c r="T148" s="71"/>
      <c r="U148" s="71"/>
      <c r="V148" s="71"/>
      <c r="W148" s="71"/>
      <c r="X148" s="71"/>
    </row>
    <row r="149" spans="1:24" ht="13.5" customHeight="1">
      <c r="A149" s="162" t="s">
        <v>593</v>
      </c>
      <c r="B149" s="157" t="s">
        <v>672</v>
      </c>
      <c r="C149" s="158" t="s">
        <v>674</v>
      </c>
      <c r="D149" s="165" t="s">
        <v>122</v>
      </c>
      <c r="E149" s="72"/>
      <c r="F149" s="72">
        <f t="shared" si="1"/>
        <v>1500</v>
      </c>
      <c r="G149" s="70"/>
      <c r="H149" s="70"/>
      <c r="I149" s="70">
        <v>1500</v>
      </c>
      <c r="J149" s="70"/>
      <c r="K149" s="70"/>
      <c r="L149" s="70"/>
      <c r="M149" s="70"/>
      <c r="N149" s="70"/>
      <c r="O149" s="70"/>
      <c r="P149" s="70"/>
      <c r="Q149" s="70"/>
      <c r="R149" s="163"/>
      <c r="S149" s="71"/>
      <c r="T149" s="71"/>
      <c r="U149" s="71"/>
      <c r="V149" s="71"/>
      <c r="W149" s="71"/>
      <c r="X149" s="71"/>
    </row>
    <row r="150" spans="1:24" ht="13.5" customHeight="1">
      <c r="A150" s="162"/>
      <c r="B150" s="157"/>
      <c r="C150" s="158"/>
      <c r="D150" s="165" t="s">
        <v>888</v>
      </c>
      <c r="E150" s="72"/>
      <c r="F150" s="72">
        <f t="shared" si="1"/>
        <v>1500</v>
      </c>
      <c r="G150" s="70"/>
      <c r="H150" s="70"/>
      <c r="I150" s="70">
        <v>1500</v>
      </c>
      <c r="J150" s="70"/>
      <c r="K150" s="70"/>
      <c r="L150" s="70"/>
      <c r="M150" s="70"/>
      <c r="N150" s="70"/>
      <c r="O150" s="70"/>
      <c r="P150" s="70"/>
      <c r="Q150" s="70"/>
      <c r="R150" s="163"/>
      <c r="S150" s="71"/>
      <c r="T150" s="71"/>
      <c r="U150" s="71"/>
      <c r="V150" s="71"/>
      <c r="W150" s="71"/>
      <c r="X150" s="71"/>
    </row>
    <row r="151" spans="1:24" ht="13.5" customHeight="1">
      <c r="A151" s="162"/>
      <c r="B151" s="157"/>
      <c r="C151" s="158"/>
      <c r="D151" s="165" t="s">
        <v>947</v>
      </c>
      <c r="E151" s="72"/>
      <c r="F151" s="72">
        <f t="shared" si="1"/>
        <v>1500</v>
      </c>
      <c r="G151" s="70"/>
      <c r="H151" s="70"/>
      <c r="I151" s="70">
        <v>1500</v>
      </c>
      <c r="J151" s="70"/>
      <c r="K151" s="70"/>
      <c r="L151" s="70"/>
      <c r="M151" s="70"/>
      <c r="N151" s="70"/>
      <c r="O151" s="70"/>
      <c r="P151" s="70"/>
      <c r="Q151" s="70"/>
      <c r="R151" s="163"/>
      <c r="S151" s="71"/>
      <c r="T151" s="71"/>
      <c r="U151" s="71"/>
      <c r="V151" s="71"/>
      <c r="W151" s="71"/>
      <c r="X151" s="71"/>
    </row>
    <row r="152" spans="1:24" ht="13.5" customHeight="1">
      <c r="A152" s="162" t="s">
        <v>593</v>
      </c>
      <c r="B152" s="157" t="s">
        <v>672</v>
      </c>
      <c r="C152" s="158" t="s">
        <v>675</v>
      </c>
      <c r="D152" s="165" t="s">
        <v>122</v>
      </c>
      <c r="E152" s="72">
        <v>4600</v>
      </c>
      <c r="F152" s="72">
        <f t="shared" si="1"/>
        <v>4600</v>
      </c>
      <c r="G152" s="70"/>
      <c r="H152" s="70"/>
      <c r="I152" s="70">
        <v>4600</v>
      </c>
      <c r="J152" s="70"/>
      <c r="K152" s="70"/>
      <c r="L152" s="70"/>
      <c r="M152" s="70"/>
      <c r="N152" s="70"/>
      <c r="O152" s="70"/>
      <c r="P152" s="70"/>
      <c r="Q152" s="70"/>
      <c r="R152" s="163"/>
      <c r="S152" s="71"/>
      <c r="T152" s="71"/>
      <c r="U152" s="71"/>
      <c r="V152" s="71"/>
      <c r="W152" s="71"/>
      <c r="X152" s="71"/>
    </row>
    <row r="153" spans="1:24" ht="13.5" customHeight="1">
      <c r="A153" s="162"/>
      <c r="B153" s="157"/>
      <c r="C153" s="158"/>
      <c r="D153" s="165" t="s">
        <v>888</v>
      </c>
      <c r="E153" s="72">
        <v>4600</v>
      </c>
      <c r="F153" s="72">
        <f t="shared" si="1"/>
        <v>4600</v>
      </c>
      <c r="G153" s="70"/>
      <c r="H153" s="70"/>
      <c r="I153" s="70">
        <v>4600</v>
      </c>
      <c r="J153" s="70"/>
      <c r="K153" s="70"/>
      <c r="L153" s="70"/>
      <c r="M153" s="70"/>
      <c r="N153" s="70"/>
      <c r="O153" s="70"/>
      <c r="P153" s="70"/>
      <c r="Q153" s="70"/>
      <c r="R153" s="163"/>
      <c r="S153" s="71"/>
      <c r="T153" s="71"/>
      <c r="U153" s="71"/>
      <c r="V153" s="71"/>
      <c r="W153" s="71"/>
      <c r="X153" s="71"/>
    </row>
    <row r="154" spans="1:24" ht="13.5" customHeight="1" thickBot="1">
      <c r="A154" s="818"/>
      <c r="B154" s="753"/>
      <c r="C154" s="754"/>
      <c r="D154" s="829" t="s">
        <v>947</v>
      </c>
      <c r="E154" s="755">
        <v>4600</v>
      </c>
      <c r="F154" s="724">
        <f t="shared" si="1"/>
        <v>4600</v>
      </c>
      <c r="G154" s="756"/>
      <c r="H154" s="756"/>
      <c r="I154" s="756">
        <v>4600</v>
      </c>
      <c r="J154" s="756"/>
      <c r="K154" s="756"/>
      <c r="L154" s="756"/>
      <c r="M154" s="756"/>
      <c r="N154" s="756"/>
      <c r="O154" s="756"/>
      <c r="P154" s="756"/>
      <c r="Q154" s="756"/>
      <c r="R154" s="819"/>
      <c r="S154" s="71"/>
      <c r="T154" s="71"/>
      <c r="U154" s="71"/>
      <c r="V154" s="71"/>
      <c r="W154" s="71"/>
      <c r="X154" s="71"/>
    </row>
    <row r="155" spans="1:24" ht="13.5" customHeight="1">
      <c r="A155" s="748" t="s">
        <v>593</v>
      </c>
      <c r="B155" s="749" t="s">
        <v>676</v>
      </c>
      <c r="C155" s="830" t="s">
        <v>677</v>
      </c>
      <c r="D155" s="751" t="s">
        <v>122</v>
      </c>
      <c r="E155" s="728"/>
      <c r="F155" s="941">
        <f t="shared" si="1"/>
        <v>1500</v>
      </c>
      <c r="G155" s="831"/>
      <c r="H155" s="831"/>
      <c r="I155" s="831">
        <v>1500</v>
      </c>
      <c r="J155" s="831"/>
      <c r="K155" s="831"/>
      <c r="L155" s="831"/>
      <c r="M155" s="831"/>
      <c r="N155" s="831"/>
      <c r="O155" s="832"/>
      <c r="P155" s="831"/>
      <c r="Q155" s="831"/>
      <c r="R155" s="752"/>
      <c r="S155" s="71"/>
      <c r="T155" s="71"/>
      <c r="U155" s="71"/>
      <c r="V155" s="71"/>
      <c r="W155" s="71"/>
      <c r="X155" s="71"/>
    </row>
    <row r="156" spans="1:24" ht="13.5" customHeight="1">
      <c r="A156" s="162"/>
      <c r="B156" s="157"/>
      <c r="C156" s="158"/>
      <c r="D156" s="165" t="s">
        <v>888</v>
      </c>
      <c r="E156" s="72"/>
      <c r="F156" s="72">
        <f t="shared" si="1"/>
        <v>1591</v>
      </c>
      <c r="G156" s="70">
        <v>300</v>
      </c>
      <c r="H156" s="70"/>
      <c r="I156" s="70">
        <v>1291</v>
      </c>
      <c r="J156" s="70"/>
      <c r="K156" s="70"/>
      <c r="L156" s="70"/>
      <c r="M156" s="70"/>
      <c r="N156" s="70"/>
      <c r="O156" s="73"/>
      <c r="P156" s="70"/>
      <c r="Q156" s="70"/>
      <c r="R156" s="163"/>
      <c r="S156" s="71"/>
      <c r="T156" s="71"/>
      <c r="U156" s="71"/>
      <c r="V156" s="71"/>
      <c r="W156" s="71"/>
      <c r="X156" s="71"/>
    </row>
    <row r="157" spans="1:24" ht="13.5" customHeight="1">
      <c r="A157" s="162"/>
      <c r="B157" s="157"/>
      <c r="C157" s="158"/>
      <c r="D157" s="165" t="s">
        <v>947</v>
      </c>
      <c r="E157" s="72"/>
      <c r="F157" s="72">
        <f t="shared" si="1"/>
        <v>1353</v>
      </c>
      <c r="G157" s="70">
        <v>1068</v>
      </c>
      <c r="H157" s="70"/>
      <c r="I157" s="70">
        <v>285</v>
      </c>
      <c r="J157" s="70"/>
      <c r="K157" s="70"/>
      <c r="L157" s="70"/>
      <c r="M157" s="70"/>
      <c r="N157" s="70"/>
      <c r="O157" s="73"/>
      <c r="P157" s="70"/>
      <c r="Q157" s="70"/>
      <c r="R157" s="163"/>
      <c r="S157" s="71"/>
      <c r="T157" s="71"/>
      <c r="U157" s="71"/>
      <c r="V157" s="71"/>
      <c r="W157" s="71"/>
      <c r="X157" s="71"/>
    </row>
    <row r="158" spans="1:29" ht="13.5" customHeight="1">
      <c r="A158" s="162" t="s">
        <v>593</v>
      </c>
      <c r="B158" s="157" t="s">
        <v>678</v>
      </c>
      <c r="C158" s="158" t="s">
        <v>679</v>
      </c>
      <c r="D158" s="165" t="s">
        <v>122</v>
      </c>
      <c r="E158" s="72"/>
      <c r="F158" s="72">
        <f t="shared" si="1"/>
        <v>0</v>
      </c>
      <c r="G158" s="70"/>
      <c r="H158" s="70"/>
      <c r="I158" s="70"/>
      <c r="J158" s="70"/>
      <c r="K158" s="70"/>
      <c r="L158" s="70"/>
      <c r="M158" s="70"/>
      <c r="N158" s="70"/>
      <c r="O158" s="73"/>
      <c r="P158" s="70"/>
      <c r="Q158" s="70"/>
      <c r="R158" s="163"/>
      <c r="S158" s="71"/>
      <c r="T158" s="71"/>
      <c r="U158" s="71"/>
      <c r="V158" s="71"/>
      <c r="W158" s="71"/>
      <c r="X158" s="71"/>
      <c r="Y158" s="71"/>
      <c r="Z158" s="71"/>
      <c r="AA158" s="71"/>
      <c r="AB158" s="71"/>
      <c r="AC158" s="71"/>
    </row>
    <row r="159" spans="1:29" ht="13.5" customHeight="1">
      <c r="A159" s="162"/>
      <c r="B159" s="157"/>
      <c r="C159" s="158"/>
      <c r="D159" s="165" t="s">
        <v>888</v>
      </c>
      <c r="E159" s="72"/>
      <c r="F159" s="72">
        <f t="shared" si="1"/>
        <v>0</v>
      </c>
      <c r="G159" s="70"/>
      <c r="H159" s="70"/>
      <c r="I159" s="70"/>
      <c r="J159" s="70"/>
      <c r="K159" s="70"/>
      <c r="L159" s="70"/>
      <c r="M159" s="70"/>
      <c r="N159" s="70"/>
      <c r="O159" s="73"/>
      <c r="P159" s="70"/>
      <c r="Q159" s="70"/>
      <c r="R159" s="163"/>
      <c r="S159" s="71"/>
      <c r="T159" s="71"/>
      <c r="U159" s="71"/>
      <c r="V159" s="71"/>
      <c r="W159" s="71"/>
      <c r="X159" s="71"/>
      <c r="Y159" s="71"/>
      <c r="Z159" s="71"/>
      <c r="AA159" s="71"/>
      <c r="AB159" s="71"/>
      <c r="AC159" s="71"/>
    </row>
    <row r="160" spans="1:29" ht="13.5" customHeight="1">
      <c r="A160" s="162"/>
      <c r="B160" s="157"/>
      <c r="C160" s="158"/>
      <c r="D160" s="165" t="s">
        <v>947</v>
      </c>
      <c r="E160" s="72"/>
      <c r="F160" s="72">
        <f t="shared" si="1"/>
        <v>0</v>
      </c>
      <c r="G160" s="70"/>
      <c r="H160" s="70"/>
      <c r="I160" s="70"/>
      <c r="J160" s="70"/>
      <c r="K160" s="70"/>
      <c r="L160" s="70"/>
      <c r="M160" s="70"/>
      <c r="N160" s="70"/>
      <c r="O160" s="73"/>
      <c r="P160" s="70"/>
      <c r="Q160" s="70"/>
      <c r="R160" s="163"/>
      <c r="S160" s="71"/>
      <c r="T160" s="71"/>
      <c r="U160" s="71"/>
      <c r="V160" s="71"/>
      <c r="W160" s="71"/>
      <c r="X160" s="71"/>
      <c r="Y160" s="71"/>
      <c r="Z160" s="71"/>
      <c r="AA160" s="71"/>
      <c r="AB160" s="71"/>
      <c r="AC160" s="71"/>
    </row>
    <row r="161" spans="1:24" ht="13.5" customHeight="1">
      <c r="A161" s="162" t="s">
        <v>593</v>
      </c>
      <c r="B161" s="157" t="s">
        <v>680</v>
      </c>
      <c r="C161" s="158" t="s">
        <v>278</v>
      </c>
      <c r="D161" s="165" t="s">
        <v>122</v>
      </c>
      <c r="E161" s="72"/>
      <c r="F161" s="72">
        <f t="shared" si="1"/>
        <v>2500</v>
      </c>
      <c r="G161" s="70"/>
      <c r="H161" s="70"/>
      <c r="I161" s="70"/>
      <c r="J161" s="70"/>
      <c r="K161" s="70">
        <v>2500</v>
      </c>
      <c r="L161" s="70"/>
      <c r="M161" s="70"/>
      <c r="N161" s="70"/>
      <c r="O161" s="70"/>
      <c r="P161" s="70"/>
      <c r="Q161" s="70"/>
      <c r="R161" s="163"/>
      <c r="S161" s="71"/>
      <c r="T161" s="71"/>
      <c r="U161" s="71"/>
      <c r="V161" s="71"/>
      <c r="W161" s="71"/>
      <c r="X161" s="71"/>
    </row>
    <row r="162" spans="1:24" ht="13.5" customHeight="1">
      <c r="A162" s="162"/>
      <c r="B162" s="157"/>
      <c r="C162" s="158"/>
      <c r="D162" s="165" t="s">
        <v>888</v>
      </c>
      <c r="E162" s="72"/>
      <c r="F162" s="72">
        <f t="shared" si="1"/>
        <v>2500</v>
      </c>
      <c r="G162" s="70"/>
      <c r="H162" s="70"/>
      <c r="I162" s="70"/>
      <c r="J162" s="70"/>
      <c r="K162" s="70">
        <v>2500</v>
      </c>
      <c r="L162" s="70"/>
      <c r="M162" s="70"/>
      <c r="N162" s="70"/>
      <c r="O162" s="70"/>
      <c r="P162" s="70"/>
      <c r="Q162" s="70"/>
      <c r="R162" s="163"/>
      <c r="S162" s="71"/>
      <c r="T162" s="71"/>
      <c r="U162" s="71"/>
      <c r="V162" s="71"/>
      <c r="W162" s="71"/>
      <c r="X162" s="71"/>
    </row>
    <row r="163" spans="1:24" ht="13.5" customHeight="1">
      <c r="A163" s="162"/>
      <c r="B163" s="157"/>
      <c r="C163" s="158"/>
      <c r="D163" s="165" t="s">
        <v>947</v>
      </c>
      <c r="E163" s="72"/>
      <c r="F163" s="72">
        <f t="shared" si="1"/>
        <v>2500</v>
      </c>
      <c r="G163" s="70"/>
      <c r="H163" s="70"/>
      <c r="I163" s="70"/>
      <c r="J163" s="70"/>
      <c r="K163" s="70">
        <v>2500</v>
      </c>
      <c r="L163" s="70"/>
      <c r="M163" s="70"/>
      <c r="N163" s="70"/>
      <c r="O163" s="70"/>
      <c r="P163" s="70"/>
      <c r="Q163" s="70"/>
      <c r="R163" s="163"/>
      <c r="S163" s="71"/>
      <c r="T163" s="71"/>
      <c r="U163" s="71"/>
      <c r="V163" s="71"/>
      <c r="W163" s="71"/>
      <c r="X163" s="71"/>
    </row>
    <row r="164" spans="1:24" ht="13.5" customHeight="1">
      <c r="A164" s="162" t="s">
        <v>593</v>
      </c>
      <c r="B164" s="157" t="s">
        <v>680</v>
      </c>
      <c r="C164" s="158" t="s">
        <v>681</v>
      </c>
      <c r="D164" s="165" t="s">
        <v>122</v>
      </c>
      <c r="E164" s="72"/>
      <c r="F164" s="72">
        <f t="shared" si="1"/>
        <v>2500</v>
      </c>
      <c r="G164" s="70"/>
      <c r="H164" s="70"/>
      <c r="I164" s="70"/>
      <c r="J164" s="70"/>
      <c r="K164" s="70">
        <v>2500</v>
      </c>
      <c r="L164" s="70"/>
      <c r="M164" s="70"/>
      <c r="N164" s="70"/>
      <c r="O164" s="70"/>
      <c r="P164" s="70"/>
      <c r="Q164" s="70"/>
      <c r="R164" s="163"/>
      <c r="S164" s="71"/>
      <c r="T164" s="71"/>
      <c r="U164" s="71"/>
      <c r="V164" s="71"/>
      <c r="W164" s="71"/>
      <c r="X164" s="71"/>
    </row>
    <row r="165" spans="1:24" ht="13.5" customHeight="1">
      <c r="A165" s="162"/>
      <c r="B165" s="157"/>
      <c r="C165" s="158"/>
      <c r="D165" s="165" t="s">
        <v>888</v>
      </c>
      <c r="E165" s="72"/>
      <c r="F165" s="72">
        <f t="shared" si="1"/>
        <v>2500</v>
      </c>
      <c r="G165" s="70"/>
      <c r="H165" s="70"/>
      <c r="I165" s="70"/>
      <c r="J165" s="70"/>
      <c r="K165" s="70">
        <v>2500</v>
      </c>
      <c r="L165" s="70"/>
      <c r="M165" s="70"/>
      <c r="N165" s="70"/>
      <c r="O165" s="70"/>
      <c r="P165" s="70"/>
      <c r="Q165" s="70"/>
      <c r="R165" s="163"/>
      <c r="S165" s="71"/>
      <c r="T165" s="71"/>
      <c r="U165" s="71"/>
      <c r="V165" s="71"/>
      <c r="W165" s="71"/>
      <c r="X165" s="71"/>
    </row>
    <row r="166" spans="1:24" ht="13.5" customHeight="1">
      <c r="A166" s="162"/>
      <c r="B166" s="157"/>
      <c r="C166" s="158"/>
      <c r="D166" s="165" t="s">
        <v>947</v>
      </c>
      <c r="E166" s="72"/>
      <c r="F166" s="72">
        <f t="shared" si="1"/>
        <v>2500</v>
      </c>
      <c r="G166" s="70"/>
      <c r="H166" s="70"/>
      <c r="I166" s="70"/>
      <c r="J166" s="70"/>
      <c r="K166" s="70">
        <v>2500</v>
      </c>
      <c r="L166" s="70"/>
      <c r="M166" s="70"/>
      <c r="N166" s="70"/>
      <c r="O166" s="70"/>
      <c r="P166" s="70"/>
      <c r="Q166" s="70"/>
      <c r="R166" s="163"/>
      <c r="S166" s="71"/>
      <c r="T166" s="71"/>
      <c r="U166" s="71"/>
      <c r="V166" s="71"/>
      <c r="W166" s="71"/>
      <c r="X166" s="71"/>
    </row>
    <row r="167" spans="1:24" ht="13.5" customHeight="1">
      <c r="A167" s="162" t="s">
        <v>593</v>
      </c>
      <c r="B167" s="157" t="s">
        <v>682</v>
      </c>
      <c r="C167" s="158" t="s">
        <v>683</v>
      </c>
      <c r="D167" s="165" t="s">
        <v>122</v>
      </c>
      <c r="E167" s="72"/>
      <c r="F167" s="72">
        <f t="shared" si="1"/>
        <v>0</v>
      </c>
      <c r="G167" s="70"/>
      <c r="H167" s="70"/>
      <c r="I167" s="70"/>
      <c r="J167" s="70"/>
      <c r="K167" s="70"/>
      <c r="L167" s="70"/>
      <c r="M167" s="70"/>
      <c r="N167" s="70"/>
      <c r="O167" s="70"/>
      <c r="P167" s="70"/>
      <c r="Q167" s="70"/>
      <c r="R167" s="163"/>
      <c r="S167" s="71"/>
      <c r="T167" s="71"/>
      <c r="U167" s="71"/>
      <c r="V167" s="71"/>
      <c r="W167" s="71"/>
      <c r="X167" s="71"/>
    </row>
    <row r="168" spans="1:24" ht="13.5" customHeight="1">
      <c r="A168" s="162"/>
      <c r="B168" s="157"/>
      <c r="C168" s="158"/>
      <c r="D168" s="165" t="s">
        <v>888</v>
      </c>
      <c r="E168" s="72"/>
      <c r="F168" s="72">
        <f t="shared" si="1"/>
        <v>0</v>
      </c>
      <c r="G168" s="70"/>
      <c r="H168" s="70"/>
      <c r="I168" s="70"/>
      <c r="J168" s="70"/>
      <c r="K168" s="70"/>
      <c r="L168" s="70"/>
      <c r="M168" s="70"/>
      <c r="N168" s="70"/>
      <c r="O168" s="70"/>
      <c r="P168" s="70"/>
      <c r="Q168" s="70"/>
      <c r="R168" s="163"/>
      <c r="S168" s="71"/>
      <c r="T168" s="71"/>
      <c r="U168" s="71"/>
      <c r="V168" s="71"/>
      <c r="W168" s="71"/>
      <c r="X168" s="71"/>
    </row>
    <row r="169" spans="1:24" ht="13.5" customHeight="1">
      <c r="A169" s="162"/>
      <c r="B169" s="157"/>
      <c r="C169" s="158"/>
      <c r="D169" s="165" t="s">
        <v>947</v>
      </c>
      <c r="E169" s="72"/>
      <c r="F169" s="72">
        <f t="shared" si="1"/>
        <v>0</v>
      </c>
      <c r="G169" s="70"/>
      <c r="H169" s="70"/>
      <c r="I169" s="70"/>
      <c r="J169" s="70"/>
      <c r="K169" s="70"/>
      <c r="L169" s="70"/>
      <c r="M169" s="70"/>
      <c r="N169" s="70"/>
      <c r="O169" s="70"/>
      <c r="P169" s="70"/>
      <c r="Q169" s="70"/>
      <c r="R169" s="163"/>
      <c r="S169" s="71"/>
      <c r="T169" s="71"/>
      <c r="U169" s="71"/>
      <c r="V169" s="71"/>
      <c r="W169" s="71"/>
      <c r="X169" s="71"/>
    </row>
    <row r="170" spans="1:24" ht="13.5" customHeight="1">
      <c r="A170" s="162" t="s">
        <v>590</v>
      </c>
      <c r="B170" s="157" t="s">
        <v>684</v>
      </c>
      <c r="C170" s="158" t="s">
        <v>685</v>
      </c>
      <c r="D170" s="165" t="s">
        <v>122</v>
      </c>
      <c r="E170" s="72"/>
      <c r="F170" s="72">
        <f t="shared" si="1"/>
        <v>0</v>
      </c>
      <c r="G170" s="69"/>
      <c r="H170" s="69"/>
      <c r="I170" s="69"/>
      <c r="J170" s="69"/>
      <c r="K170" s="69"/>
      <c r="L170" s="69"/>
      <c r="M170" s="69"/>
      <c r="N170" s="69"/>
      <c r="O170" s="69"/>
      <c r="P170" s="69"/>
      <c r="Q170" s="69"/>
      <c r="R170" s="163"/>
      <c r="S170" s="71"/>
      <c r="T170" s="71"/>
      <c r="U170" s="71"/>
      <c r="V170" s="71"/>
      <c r="W170" s="71"/>
      <c r="X170" s="71"/>
    </row>
    <row r="171" spans="1:24" ht="13.5" customHeight="1">
      <c r="A171" s="162"/>
      <c r="B171" s="157"/>
      <c r="C171" s="158"/>
      <c r="D171" s="165" t="s">
        <v>888</v>
      </c>
      <c r="E171" s="72"/>
      <c r="F171" s="72">
        <f t="shared" si="1"/>
        <v>0</v>
      </c>
      <c r="G171" s="69"/>
      <c r="H171" s="69"/>
      <c r="I171" s="69"/>
      <c r="J171" s="69"/>
      <c r="K171" s="69"/>
      <c r="L171" s="69"/>
      <c r="M171" s="69"/>
      <c r="N171" s="69"/>
      <c r="O171" s="69"/>
      <c r="P171" s="69"/>
      <c r="Q171" s="69"/>
      <c r="R171" s="163"/>
      <c r="S171" s="71"/>
      <c r="T171" s="71"/>
      <c r="U171" s="71"/>
      <c r="V171" s="71"/>
      <c r="W171" s="71"/>
      <c r="X171" s="71"/>
    </row>
    <row r="172" spans="1:24" ht="13.5" customHeight="1">
      <c r="A172" s="162"/>
      <c r="B172" s="157"/>
      <c r="C172" s="158"/>
      <c r="D172" s="165" t="s">
        <v>947</v>
      </c>
      <c r="E172" s="72"/>
      <c r="F172" s="72">
        <f t="shared" si="1"/>
        <v>0</v>
      </c>
      <c r="G172" s="69"/>
      <c r="H172" s="69"/>
      <c r="I172" s="69"/>
      <c r="J172" s="69"/>
      <c r="K172" s="69"/>
      <c r="L172" s="69"/>
      <c r="M172" s="69"/>
      <c r="N172" s="69"/>
      <c r="O172" s="69"/>
      <c r="P172" s="69"/>
      <c r="Q172" s="69"/>
      <c r="R172" s="163"/>
      <c r="S172" s="71"/>
      <c r="T172" s="71"/>
      <c r="U172" s="71"/>
      <c r="V172" s="71"/>
      <c r="W172" s="71"/>
      <c r="X172" s="71"/>
    </row>
    <row r="173" spans="1:24" ht="13.5" customHeight="1">
      <c r="A173" s="162" t="s">
        <v>590</v>
      </c>
      <c r="B173" s="157" t="s">
        <v>686</v>
      </c>
      <c r="C173" s="158" t="s">
        <v>687</v>
      </c>
      <c r="D173" s="165" t="s">
        <v>122</v>
      </c>
      <c r="E173" s="72">
        <v>300</v>
      </c>
      <c r="F173" s="72">
        <f t="shared" si="1"/>
        <v>0</v>
      </c>
      <c r="G173" s="70"/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163"/>
      <c r="S173" s="71"/>
      <c r="T173" s="71"/>
      <c r="U173" s="71"/>
      <c r="V173" s="71"/>
      <c r="W173" s="71"/>
      <c r="X173" s="71"/>
    </row>
    <row r="174" spans="1:24" ht="13.5" customHeight="1">
      <c r="A174" s="162"/>
      <c r="B174" s="157"/>
      <c r="C174" s="158"/>
      <c r="D174" s="165" t="s">
        <v>888</v>
      </c>
      <c r="E174" s="72">
        <v>300</v>
      </c>
      <c r="F174" s="72">
        <f t="shared" si="1"/>
        <v>0</v>
      </c>
      <c r="G174" s="70"/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163"/>
      <c r="S174" s="71"/>
      <c r="T174" s="71"/>
      <c r="U174" s="71"/>
      <c r="V174" s="71"/>
      <c r="W174" s="71"/>
      <c r="X174" s="71"/>
    </row>
    <row r="175" spans="1:24" ht="13.5" customHeight="1">
      <c r="A175" s="162"/>
      <c r="B175" s="157"/>
      <c r="C175" s="158"/>
      <c r="D175" s="165" t="s">
        <v>947</v>
      </c>
      <c r="E175" s="72">
        <v>300</v>
      </c>
      <c r="F175" s="72">
        <f t="shared" si="1"/>
        <v>0</v>
      </c>
      <c r="G175" s="70"/>
      <c r="H175" s="70"/>
      <c r="I175" s="70"/>
      <c r="J175" s="70"/>
      <c r="K175" s="70"/>
      <c r="L175" s="70"/>
      <c r="M175" s="70"/>
      <c r="N175" s="70"/>
      <c r="O175" s="70"/>
      <c r="P175" s="70"/>
      <c r="Q175" s="70"/>
      <c r="R175" s="163"/>
      <c r="S175" s="71"/>
      <c r="T175" s="71"/>
      <c r="U175" s="71"/>
      <c r="V175" s="71"/>
      <c r="W175" s="71"/>
      <c r="X175" s="71"/>
    </row>
    <row r="176" spans="1:24" ht="13.5" customHeight="1">
      <c r="A176" s="162" t="s">
        <v>590</v>
      </c>
      <c r="B176" s="157" t="s">
        <v>686</v>
      </c>
      <c r="C176" s="158" t="s">
        <v>687</v>
      </c>
      <c r="D176" s="165" t="s">
        <v>122</v>
      </c>
      <c r="E176" s="72"/>
      <c r="F176" s="72">
        <f t="shared" si="1"/>
        <v>0</v>
      </c>
      <c r="G176" s="69"/>
      <c r="H176" s="69"/>
      <c r="I176" s="69"/>
      <c r="J176" s="69"/>
      <c r="K176" s="69"/>
      <c r="L176" s="69"/>
      <c r="M176" s="69"/>
      <c r="N176" s="69"/>
      <c r="O176" s="69"/>
      <c r="P176" s="69"/>
      <c r="Q176" s="69"/>
      <c r="R176" s="163"/>
      <c r="S176" s="71"/>
      <c r="T176" s="71"/>
      <c r="U176" s="71"/>
      <c r="V176" s="71"/>
      <c r="W176" s="71"/>
      <c r="X176" s="71"/>
    </row>
    <row r="177" spans="1:24" ht="13.5" customHeight="1">
      <c r="A177" s="162"/>
      <c r="B177" s="157"/>
      <c r="C177" s="158"/>
      <c r="D177" s="165" t="s">
        <v>888</v>
      </c>
      <c r="E177" s="72"/>
      <c r="F177" s="72">
        <f t="shared" si="1"/>
        <v>0</v>
      </c>
      <c r="G177" s="69"/>
      <c r="H177" s="69"/>
      <c r="I177" s="69"/>
      <c r="J177" s="69"/>
      <c r="K177" s="69"/>
      <c r="L177" s="69"/>
      <c r="M177" s="69"/>
      <c r="N177" s="69"/>
      <c r="O177" s="69"/>
      <c r="P177" s="69"/>
      <c r="Q177" s="69"/>
      <c r="R177" s="163"/>
      <c r="S177" s="71"/>
      <c r="T177" s="71"/>
      <c r="U177" s="71"/>
      <c r="V177" s="71"/>
      <c r="W177" s="71"/>
      <c r="X177" s="71"/>
    </row>
    <row r="178" spans="1:24" ht="13.5" customHeight="1">
      <c r="A178" s="162"/>
      <c r="B178" s="157"/>
      <c r="C178" s="158"/>
      <c r="D178" s="165" t="s">
        <v>947</v>
      </c>
      <c r="E178" s="72">
        <v>7859</v>
      </c>
      <c r="F178" s="72">
        <f t="shared" si="1"/>
        <v>0</v>
      </c>
      <c r="G178" s="69"/>
      <c r="H178" s="69"/>
      <c r="I178" s="69"/>
      <c r="J178" s="69"/>
      <c r="K178" s="69"/>
      <c r="L178" s="69"/>
      <c r="M178" s="69"/>
      <c r="N178" s="69"/>
      <c r="O178" s="69"/>
      <c r="P178" s="69"/>
      <c r="Q178" s="69"/>
      <c r="R178" s="163"/>
      <c r="S178" s="71"/>
      <c r="T178" s="71"/>
      <c r="U178" s="71"/>
      <c r="V178" s="71"/>
      <c r="W178" s="71"/>
      <c r="X178" s="71"/>
    </row>
    <row r="179" spans="1:18" s="71" customFormat="1" ht="13.5" customHeight="1">
      <c r="A179" s="162" t="s">
        <v>590</v>
      </c>
      <c r="B179" s="157" t="s">
        <v>686</v>
      </c>
      <c r="C179" s="158" t="s">
        <v>688</v>
      </c>
      <c r="D179" s="165" t="s">
        <v>122</v>
      </c>
      <c r="E179" s="72"/>
      <c r="F179" s="72">
        <f t="shared" si="1"/>
        <v>0</v>
      </c>
      <c r="G179" s="70"/>
      <c r="H179" s="70"/>
      <c r="I179" s="70"/>
      <c r="J179" s="70"/>
      <c r="K179" s="70"/>
      <c r="L179" s="70"/>
      <c r="M179" s="70"/>
      <c r="N179" s="70"/>
      <c r="O179" s="73"/>
      <c r="P179" s="70"/>
      <c r="Q179" s="70"/>
      <c r="R179" s="163"/>
    </row>
    <row r="180" spans="1:18" s="71" customFormat="1" ht="13.5" customHeight="1">
      <c r="A180" s="162"/>
      <c r="B180" s="157"/>
      <c r="C180" s="158"/>
      <c r="D180" s="165" t="s">
        <v>888</v>
      </c>
      <c r="E180" s="72"/>
      <c r="F180" s="72">
        <f t="shared" si="1"/>
        <v>0</v>
      </c>
      <c r="G180" s="70"/>
      <c r="H180" s="70"/>
      <c r="I180" s="70"/>
      <c r="J180" s="70"/>
      <c r="K180" s="70"/>
      <c r="L180" s="70"/>
      <c r="M180" s="70"/>
      <c r="N180" s="70"/>
      <c r="O180" s="73"/>
      <c r="P180" s="70"/>
      <c r="Q180" s="70"/>
      <c r="R180" s="163"/>
    </row>
    <row r="181" spans="1:18" s="71" customFormat="1" ht="13.5" customHeight="1">
      <c r="A181" s="162"/>
      <c r="B181" s="157"/>
      <c r="C181" s="158"/>
      <c r="D181" s="165" t="s">
        <v>947</v>
      </c>
      <c r="E181" s="72"/>
      <c r="F181" s="72">
        <f t="shared" si="1"/>
        <v>0</v>
      </c>
      <c r="G181" s="70"/>
      <c r="H181" s="70"/>
      <c r="I181" s="70"/>
      <c r="J181" s="70"/>
      <c r="K181" s="70"/>
      <c r="L181" s="70"/>
      <c r="M181" s="70"/>
      <c r="N181" s="70"/>
      <c r="O181" s="73"/>
      <c r="P181" s="70"/>
      <c r="Q181" s="70"/>
      <c r="R181" s="163"/>
    </row>
    <row r="182" spans="1:24" ht="13.5" customHeight="1">
      <c r="A182" s="162" t="s">
        <v>590</v>
      </c>
      <c r="B182" s="157" t="s">
        <v>689</v>
      </c>
      <c r="C182" s="158" t="s">
        <v>690</v>
      </c>
      <c r="D182" s="165" t="s">
        <v>122</v>
      </c>
      <c r="E182" s="72">
        <v>69600</v>
      </c>
      <c r="F182" s="72">
        <f t="shared" si="1"/>
        <v>0</v>
      </c>
      <c r="G182" s="70"/>
      <c r="H182" s="70"/>
      <c r="I182" s="70"/>
      <c r="J182" s="70"/>
      <c r="K182" s="70"/>
      <c r="L182" s="70"/>
      <c r="M182" s="70"/>
      <c r="N182" s="70"/>
      <c r="O182" s="73"/>
      <c r="P182" s="70"/>
      <c r="Q182" s="70"/>
      <c r="R182" s="163"/>
      <c r="S182" s="71"/>
      <c r="T182" s="71"/>
      <c r="U182" s="71"/>
      <c r="V182" s="71"/>
      <c r="W182" s="71"/>
      <c r="X182" s="71"/>
    </row>
    <row r="183" spans="1:24" ht="13.5" customHeight="1">
      <c r="A183" s="162"/>
      <c r="B183" s="157"/>
      <c r="C183" s="158"/>
      <c r="D183" s="165" t="s">
        <v>888</v>
      </c>
      <c r="E183" s="72">
        <v>69600</v>
      </c>
      <c r="F183" s="72">
        <f t="shared" si="1"/>
        <v>0</v>
      </c>
      <c r="G183" s="70"/>
      <c r="H183" s="70"/>
      <c r="I183" s="70"/>
      <c r="J183" s="70"/>
      <c r="K183" s="70"/>
      <c r="L183" s="70"/>
      <c r="M183" s="70"/>
      <c r="N183" s="70"/>
      <c r="O183" s="73"/>
      <c r="P183" s="70"/>
      <c r="Q183" s="70"/>
      <c r="R183" s="163"/>
      <c r="S183" s="71"/>
      <c r="T183" s="71"/>
      <c r="U183" s="71"/>
      <c r="V183" s="71"/>
      <c r="W183" s="71"/>
      <c r="X183" s="71"/>
    </row>
    <row r="184" spans="1:24" ht="13.5" customHeight="1">
      <c r="A184" s="162"/>
      <c r="B184" s="157"/>
      <c r="C184" s="158"/>
      <c r="D184" s="165" t="s">
        <v>947</v>
      </c>
      <c r="E184" s="72">
        <v>69600</v>
      </c>
      <c r="F184" s="72">
        <f t="shared" si="1"/>
        <v>0</v>
      </c>
      <c r="G184" s="70"/>
      <c r="H184" s="70"/>
      <c r="I184" s="70"/>
      <c r="J184" s="70"/>
      <c r="K184" s="70"/>
      <c r="L184" s="70"/>
      <c r="M184" s="70"/>
      <c r="N184" s="70"/>
      <c r="O184" s="73"/>
      <c r="P184" s="70"/>
      <c r="Q184" s="70"/>
      <c r="R184" s="163"/>
      <c r="S184" s="71"/>
      <c r="T184" s="71"/>
      <c r="U184" s="71"/>
      <c r="V184" s="71"/>
      <c r="W184" s="71"/>
      <c r="X184" s="71"/>
    </row>
    <row r="185" spans="1:24" ht="13.5" customHeight="1">
      <c r="A185" s="162" t="s">
        <v>590</v>
      </c>
      <c r="B185" s="157" t="s">
        <v>691</v>
      </c>
      <c r="C185" s="158" t="s">
        <v>692</v>
      </c>
      <c r="D185" s="165" t="s">
        <v>122</v>
      </c>
      <c r="E185" s="72">
        <v>30000</v>
      </c>
      <c r="F185" s="72">
        <f t="shared" si="1"/>
        <v>40975</v>
      </c>
      <c r="G185" s="69"/>
      <c r="H185" s="69"/>
      <c r="I185" s="69">
        <v>40975</v>
      </c>
      <c r="J185" s="69"/>
      <c r="K185" s="69"/>
      <c r="L185" s="69"/>
      <c r="M185" s="69"/>
      <c r="N185" s="69"/>
      <c r="O185" s="69"/>
      <c r="P185" s="69"/>
      <c r="Q185" s="69"/>
      <c r="R185" s="163"/>
      <c r="S185" s="71"/>
      <c r="T185" s="71"/>
      <c r="U185" s="71"/>
      <c r="V185" s="71"/>
      <c r="W185" s="71"/>
      <c r="X185" s="71"/>
    </row>
    <row r="186" spans="1:24" ht="13.5" customHeight="1">
      <c r="A186" s="162"/>
      <c r="B186" s="157"/>
      <c r="C186" s="158"/>
      <c r="D186" s="165" t="s">
        <v>888</v>
      </c>
      <c r="E186" s="72">
        <v>30000</v>
      </c>
      <c r="F186" s="72">
        <f t="shared" si="1"/>
        <v>40975</v>
      </c>
      <c r="G186" s="69"/>
      <c r="H186" s="69"/>
      <c r="I186" s="69">
        <v>40975</v>
      </c>
      <c r="J186" s="69"/>
      <c r="K186" s="69"/>
      <c r="L186" s="69"/>
      <c r="M186" s="69"/>
      <c r="N186" s="69"/>
      <c r="O186" s="69"/>
      <c r="P186" s="69"/>
      <c r="Q186" s="69"/>
      <c r="R186" s="163"/>
      <c r="S186" s="71"/>
      <c r="T186" s="71"/>
      <c r="U186" s="71"/>
      <c r="V186" s="71"/>
      <c r="W186" s="71"/>
      <c r="X186" s="71"/>
    </row>
    <row r="187" spans="1:24" ht="13.5" customHeight="1">
      <c r="A187" s="162"/>
      <c r="B187" s="157"/>
      <c r="C187" s="158"/>
      <c r="D187" s="165" t="s">
        <v>947</v>
      </c>
      <c r="E187" s="72">
        <v>30000</v>
      </c>
      <c r="F187" s="72">
        <f t="shared" si="1"/>
        <v>40975</v>
      </c>
      <c r="G187" s="69"/>
      <c r="H187" s="69"/>
      <c r="I187" s="69">
        <v>40975</v>
      </c>
      <c r="J187" s="69"/>
      <c r="K187" s="69"/>
      <c r="L187" s="69"/>
      <c r="M187" s="69"/>
      <c r="N187" s="69"/>
      <c r="O187" s="69"/>
      <c r="P187" s="69"/>
      <c r="Q187" s="69"/>
      <c r="R187" s="163"/>
      <c r="S187" s="71"/>
      <c r="T187" s="71"/>
      <c r="U187" s="71"/>
      <c r="V187" s="71"/>
      <c r="W187" s="71"/>
      <c r="X187" s="71"/>
    </row>
    <row r="188" spans="1:24" ht="13.5" customHeight="1">
      <c r="A188" s="162" t="s">
        <v>590</v>
      </c>
      <c r="B188" s="157" t="s">
        <v>693</v>
      </c>
      <c r="C188" s="158" t="s">
        <v>694</v>
      </c>
      <c r="D188" s="165" t="s">
        <v>122</v>
      </c>
      <c r="E188" s="72">
        <v>18000</v>
      </c>
      <c r="F188" s="72">
        <f t="shared" si="1"/>
        <v>0</v>
      </c>
      <c r="G188" s="70"/>
      <c r="H188" s="70"/>
      <c r="I188" s="70"/>
      <c r="J188" s="70"/>
      <c r="K188" s="70"/>
      <c r="L188" s="70"/>
      <c r="M188" s="70"/>
      <c r="N188" s="70"/>
      <c r="O188" s="70"/>
      <c r="P188" s="70"/>
      <c r="Q188" s="70"/>
      <c r="R188" s="163"/>
      <c r="S188" s="71"/>
      <c r="T188" s="71"/>
      <c r="U188" s="71"/>
      <c r="V188" s="71"/>
      <c r="W188" s="71"/>
      <c r="X188" s="71"/>
    </row>
    <row r="189" spans="1:24" ht="13.5" customHeight="1">
      <c r="A189" s="162"/>
      <c r="B189" s="157"/>
      <c r="C189" s="158"/>
      <c r="D189" s="165" t="s">
        <v>888</v>
      </c>
      <c r="E189" s="72">
        <v>18000</v>
      </c>
      <c r="F189" s="72">
        <f t="shared" si="1"/>
        <v>0</v>
      </c>
      <c r="G189" s="70"/>
      <c r="H189" s="70"/>
      <c r="I189" s="70"/>
      <c r="J189" s="70"/>
      <c r="K189" s="70"/>
      <c r="L189" s="70"/>
      <c r="M189" s="70"/>
      <c r="N189" s="70"/>
      <c r="O189" s="70"/>
      <c r="P189" s="70"/>
      <c r="Q189" s="70"/>
      <c r="R189" s="163"/>
      <c r="S189" s="71"/>
      <c r="T189" s="71"/>
      <c r="U189" s="71"/>
      <c r="V189" s="71"/>
      <c r="W189" s="71"/>
      <c r="X189" s="71"/>
    </row>
    <row r="190" spans="1:24" ht="13.5" customHeight="1">
      <c r="A190" s="162"/>
      <c r="B190" s="157"/>
      <c r="C190" s="158"/>
      <c r="D190" s="165" t="s">
        <v>947</v>
      </c>
      <c r="E190" s="72">
        <v>18000</v>
      </c>
      <c r="F190" s="72">
        <f t="shared" si="1"/>
        <v>0</v>
      </c>
      <c r="G190" s="70"/>
      <c r="H190" s="70"/>
      <c r="I190" s="70"/>
      <c r="J190" s="70"/>
      <c r="K190" s="70"/>
      <c r="L190" s="70"/>
      <c r="M190" s="70"/>
      <c r="N190" s="70"/>
      <c r="O190" s="70"/>
      <c r="P190" s="70"/>
      <c r="Q190" s="70"/>
      <c r="R190" s="163"/>
      <c r="S190" s="71"/>
      <c r="T190" s="71"/>
      <c r="U190" s="71"/>
      <c r="V190" s="71"/>
      <c r="W190" s="71"/>
      <c r="X190" s="71"/>
    </row>
    <row r="191" spans="1:24" ht="13.5" customHeight="1">
      <c r="A191" s="162" t="s">
        <v>593</v>
      </c>
      <c r="B191" s="157" t="s">
        <v>693</v>
      </c>
      <c r="C191" s="158" t="s">
        <v>694</v>
      </c>
      <c r="D191" s="165" t="s">
        <v>122</v>
      </c>
      <c r="E191" s="72"/>
      <c r="F191" s="72">
        <f t="shared" si="1"/>
        <v>0</v>
      </c>
      <c r="G191" s="70"/>
      <c r="H191" s="70"/>
      <c r="I191" s="70"/>
      <c r="J191" s="70"/>
      <c r="K191" s="70"/>
      <c r="L191" s="70"/>
      <c r="M191" s="70"/>
      <c r="N191" s="70"/>
      <c r="O191" s="70"/>
      <c r="P191" s="70"/>
      <c r="Q191" s="70"/>
      <c r="R191" s="163"/>
      <c r="S191" s="71"/>
      <c r="T191" s="71"/>
      <c r="U191" s="71"/>
      <c r="V191" s="71"/>
      <c r="W191" s="71"/>
      <c r="X191" s="71"/>
    </row>
    <row r="192" spans="1:24" ht="13.5" customHeight="1">
      <c r="A192" s="162"/>
      <c r="B192" s="157"/>
      <c r="C192" s="158"/>
      <c r="D192" s="165" t="s">
        <v>888</v>
      </c>
      <c r="E192" s="72"/>
      <c r="F192" s="72">
        <f t="shared" si="1"/>
        <v>0</v>
      </c>
      <c r="G192" s="70"/>
      <c r="H192" s="70"/>
      <c r="I192" s="70"/>
      <c r="J192" s="70"/>
      <c r="K192" s="70"/>
      <c r="L192" s="70"/>
      <c r="M192" s="70"/>
      <c r="N192" s="70"/>
      <c r="O192" s="70"/>
      <c r="P192" s="70"/>
      <c r="Q192" s="70"/>
      <c r="R192" s="163"/>
      <c r="S192" s="71"/>
      <c r="T192" s="71"/>
      <c r="U192" s="71"/>
      <c r="V192" s="71"/>
      <c r="W192" s="71"/>
      <c r="X192" s="71"/>
    </row>
    <row r="193" spans="1:24" ht="13.5" customHeight="1">
      <c r="A193" s="162"/>
      <c r="B193" s="157"/>
      <c r="C193" s="158"/>
      <c r="D193" s="165" t="s">
        <v>947</v>
      </c>
      <c r="E193" s="72"/>
      <c r="F193" s="72">
        <f t="shared" si="1"/>
        <v>0</v>
      </c>
      <c r="G193" s="70"/>
      <c r="H193" s="70"/>
      <c r="I193" s="70"/>
      <c r="J193" s="70"/>
      <c r="K193" s="70"/>
      <c r="L193" s="70"/>
      <c r="M193" s="70"/>
      <c r="N193" s="70"/>
      <c r="O193" s="70"/>
      <c r="P193" s="70"/>
      <c r="Q193" s="70"/>
      <c r="R193" s="163"/>
      <c r="S193" s="71"/>
      <c r="T193" s="71"/>
      <c r="U193" s="71"/>
      <c r="V193" s="71"/>
      <c r="W193" s="71"/>
      <c r="X193" s="71"/>
    </row>
    <row r="194" spans="1:24" ht="13.5" customHeight="1">
      <c r="A194" s="162" t="s">
        <v>593</v>
      </c>
      <c r="B194" s="157" t="s">
        <v>693</v>
      </c>
      <c r="C194" s="158" t="s">
        <v>694</v>
      </c>
      <c r="D194" s="165" t="s">
        <v>122</v>
      </c>
      <c r="E194" s="72">
        <v>4950</v>
      </c>
      <c r="F194" s="72">
        <f t="shared" si="1"/>
        <v>0</v>
      </c>
      <c r="G194" s="70"/>
      <c r="H194" s="70"/>
      <c r="I194" s="70"/>
      <c r="J194" s="70"/>
      <c r="K194" s="70"/>
      <c r="L194" s="70"/>
      <c r="M194" s="70"/>
      <c r="N194" s="70"/>
      <c r="O194" s="70"/>
      <c r="P194" s="70"/>
      <c r="Q194" s="70"/>
      <c r="R194" s="163"/>
      <c r="S194" s="71"/>
      <c r="T194" s="71"/>
      <c r="U194" s="71"/>
      <c r="V194" s="71"/>
      <c r="W194" s="71"/>
      <c r="X194" s="71"/>
    </row>
    <row r="195" spans="1:24" ht="13.5" customHeight="1">
      <c r="A195" s="162"/>
      <c r="B195" s="157"/>
      <c r="C195" s="158"/>
      <c r="D195" s="165" t="s">
        <v>888</v>
      </c>
      <c r="E195" s="72">
        <v>4950</v>
      </c>
      <c r="F195" s="72">
        <f t="shared" si="1"/>
        <v>0</v>
      </c>
      <c r="G195" s="70"/>
      <c r="H195" s="70"/>
      <c r="I195" s="70"/>
      <c r="J195" s="70"/>
      <c r="K195" s="70"/>
      <c r="L195" s="70"/>
      <c r="M195" s="70"/>
      <c r="N195" s="70"/>
      <c r="O195" s="70"/>
      <c r="P195" s="70"/>
      <c r="Q195" s="70"/>
      <c r="R195" s="163"/>
      <c r="S195" s="71"/>
      <c r="T195" s="71"/>
      <c r="U195" s="71"/>
      <c r="V195" s="71"/>
      <c r="W195" s="71"/>
      <c r="X195" s="71"/>
    </row>
    <row r="196" spans="1:24" ht="13.5" customHeight="1">
      <c r="A196" s="162"/>
      <c r="B196" s="157"/>
      <c r="C196" s="158"/>
      <c r="D196" s="165" t="s">
        <v>947</v>
      </c>
      <c r="E196" s="72">
        <v>4950</v>
      </c>
      <c r="F196" s="72">
        <f t="shared" si="1"/>
        <v>0</v>
      </c>
      <c r="G196" s="70"/>
      <c r="H196" s="70"/>
      <c r="I196" s="70"/>
      <c r="J196" s="70"/>
      <c r="K196" s="70"/>
      <c r="L196" s="70"/>
      <c r="M196" s="70"/>
      <c r="N196" s="70"/>
      <c r="O196" s="70"/>
      <c r="P196" s="70"/>
      <c r="Q196" s="70"/>
      <c r="R196" s="163"/>
      <c r="S196" s="71"/>
      <c r="T196" s="71"/>
      <c r="U196" s="71"/>
      <c r="V196" s="71"/>
      <c r="W196" s="71"/>
      <c r="X196" s="71"/>
    </row>
    <row r="197" spans="1:24" ht="13.5" customHeight="1">
      <c r="A197" s="162" t="s">
        <v>590</v>
      </c>
      <c r="B197" s="157" t="s">
        <v>695</v>
      </c>
      <c r="C197" s="158" t="s">
        <v>696</v>
      </c>
      <c r="D197" s="165" t="s">
        <v>122</v>
      </c>
      <c r="E197" s="72"/>
      <c r="F197" s="72">
        <f t="shared" si="1"/>
        <v>25000</v>
      </c>
      <c r="G197" s="70"/>
      <c r="H197" s="70"/>
      <c r="I197" s="70"/>
      <c r="J197" s="70"/>
      <c r="K197" s="70">
        <v>25000</v>
      </c>
      <c r="L197" s="70"/>
      <c r="M197" s="70"/>
      <c r="N197" s="70"/>
      <c r="O197" s="70"/>
      <c r="P197" s="70"/>
      <c r="Q197" s="70"/>
      <c r="R197" s="163"/>
      <c r="S197" s="71"/>
      <c r="T197" s="71"/>
      <c r="U197" s="71"/>
      <c r="V197" s="71"/>
      <c r="W197" s="71"/>
      <c r="X197" s="71"/>
    </row>
    <row r="198" spans="1:24" ht="13.5" customHeight="1">
      <c r="A198" s="162"/>
      <c r="B198" s="157"/>
      <c r="C198" s="158"/>
      <c r="D198" s="165" t="s">
        <v>888</v>
      </c>
      <c r="E198" s="72"/>
      <c r="F198" s="72">
        <f t="shared" si="1"/>
        <v>25000</v>
      </c>
      <c r="G198" s="70"/>
      <c r="H198" s="70"/>
      <c r="I198" s="70"/>
      <c r="J198" s="70"/>
      <c r="K198" s="70">
        <v>25000</v>
      </c>
      <c r="L198" s="70"/>
      <c r="M198" s="70"/>
      <c r="N198" s="70"/>
      <c r="O198" s="70"/>
      <c r="P198" s="70"/>
      <c r="Q198" s="70"/>
      <c r="R198" s="163"/>
      <c r="S198" s="71"/>
      <c r="T198" s="71"/>
      <c r="U198" s="71"/>
      <c r="V198" s="71"/>
      <c r="W198" s="71"/>
      <c r="X198" s="71"/>
    </row>
    <row r="199" spans="1:24" ht="13.5" customHeight="1">
      <c r="A199" s="162"/>
      <c r="B199" s="157"/>
      <c r="C199" s="158"/>
      <c r="D199" s="165" t="s">
        <v>947</v>
      </c>
      <c r="E199" s="72"/>
      <c r="F199" s="72">
        <f t="shared" si="1"/>
        <v>25012</v>
      </c>
      <c r="G199" s="70"/>
      <c r="H199" s="70"/>
      <c r="I199" s="70"/>
      <c r="J199" s="70">
        <v>32</v>
      </c>
      <c r="K199" s="70">
        <v>24980</v>
      </c>
      <c r="L199" s="70"/>
      <c r="M199" s="70"/>
      <c r="N199" s="70"/>
      <c r="O199" s="70"/>
      <c r="P199" s="70"/>
      <c r="Q199" s="70"/>
      <c r="R199" s="163"/>
      <c r="S199" s="71"/>
      <c r="T199" s="71"/>
      <c r="U199" s="71"/>
      <c r="V199" s="71"/>
      <c r="W199" s="71"/>
      <c r="X199" s="71"/>
    </row>
    <row r="200" spans="1:24" ht="13.5" customHeight="1">
      <c r="A200" s="162" t="s">
        <v>593</v>
      </c>
      <c r="B200" s="157" t="s">
        <v>695</v>
      </c>
      <c r="C200" s="158" t="s">
        <v>696</v>
      </c>
      <c r="D200" s="165" t="s">
        <v>122</v>
      </c>
      <c r="E200" s="72"/>
      <c r="F200" s="72">
        <f t="shared" si="1"/>
        <v>29000</v>
      </c>
      <c r="G200" s="70"/>
      <c r="H200" s="70"/>
      <c r="I200" s="70"/>
      <c r="J200" s="70"/>
      <c r="K200" s="70">
        <v>29000</v>
      </c>
      <c r="L200" s="70"/>
      <c r="M200" s="70"/>
      <c r="N200" s="70"/>
      <c r="O200" s="70"/>
      <c r="P200" s="70"/>
      <c r="Q200" s="70"/>
      <c r="R200" s="163"/>
      <c r="S200" s="71"/>
      <c r="T200" s="71"/>
      <c r="U200" s="71"/>
      <c r="V200" s="71"/>
      <c r="W200" s="71"/>
      <c r="X200" s="71"/>
    </row>
    <row r="201" spans="1:24" ht="13.5" customHeight="1">
      <c r="A201" s="162"/>
      <c r="B201" s="157"/>
      <c r="C201" s="158"/>
      <c r="D201" s="165" t="s">
        <v>888</v>
      </c>
      <c r="E201" s="72"/>
      <c r="F201" s="72">
        <f t="shared" si="1"/>
        <v>29000</v>
      </c>
      <c r="G201" s="70"/>
      <c r="H201" s="70"/>
      <c r="I201" s="70"/>
      <c r="J201" s="70"/>
      <c r="K201" s="70">
        <v>29000</v>
      </c>
      <c r="L201" s="70"/>
      <c r="M201" s="70"/>
      <c r="N201" s="70"/>
      <c r="O201" s="70"/>
      <c r="P201" s="70"/>
      <c r="Q201" s="70"/>
      <c r="R201" s="163"/>
      <c r="S201" s="71"/>
      <c r="T201" s="71"/>
      <c r="U201" s="71"/>
      <c r="V201" s="71"/>
      <c r="W201" s="71"/>
      <c r="X201" s="71"/>
    </row>
    <row r="202" spans="1:24" ht="13.5" customHeight="1">
      <c r="A202" s="162"/>
      <c r="B202" s="157"/>
      <c r="C202" s="158"/>
      <c r="D202" s="165" t="s">
        <v>947</v>
      </c>
      <c r="E202" s="72"/>
      <c r="F202" s="72">
        <f aca="true" t="shared" si="2" ref="F202:F217">SUM(G202:R202)</f>
        <v>29000</v>
      </c>
      <c r="G202" s="70"/>
      <c r="H202" s="70"/>
      <c r="I202" s="70"/>
      <c r="J202" s="70"/>
      <c r="K202" s="70">
        <v>29000</v>
      </c>
      <c r="L202" s="70"/>
      <c r="M202" s="70"/>
      <c r="N202" s="70"/>
      <c r="O202" s="70"/>
      <c r="P202" s="70"/>
      <c r="Q202" s="70"/>
      <c r="R202" s="163"/>
      <c r="S202" s="71"/>
      <c r="T202" s="71"/>
      <c r="U202" s="71"/>
      <c r="V202" s="71"/>
      <c r="W202" s="71"/>
      <c r="X202" s="71"/>
    </row>
    <row r="203" spans="1:24" ht="13.5" customHeight="1">
      <c r="A203" s="162" t="s">
        <v>593</v>
      </c>
      <c r="B203" s="157" t="s">
        <v>695</v>
      </c>
      <c r="C203" s="158" t="s">
        <v>696</v>
      </c>
      <c r="D203" s="165" t="s">
        <v>122</v>
      </c>
      <c r="E203" s="72"/>
      <c r="F203" s="72">
        <f t="shared" si="2"/>
        <v>150</v>
      </c>
      <c r="G203" s="70"/>
      <c r="H203" s="70"/>
      <c r="I203" s="70"/>
      <c r="J203" s="70"/>
      <c r="K203" s="70">
        <v>150</v>
      </c>
      <c r="L203" s="70"/>
      <c r="M203" s="70"/>
      <c r="N203" s="70"/>
      <c r="O203" s="70"/>
      <c r="P203" s="70"/>
      <c r="Q203" s="70"/>
      <c r="R203" s="163"/>
      <c r="S203" s="71"/>
      <c r="T203" s="71"/>
      <c r="U203" s="71"/>
      <c r="V203" s="71"/>
      <c r="W203" s="71"/>
      <c r="X203" s="71"/>
    </row>
    <row r="204" spans="1:24" ht="13.5" customHeight="1">
      <c r="A204" s="162"/>
      <c r="B204" s="157"/>
      <c r="C204" s="158"/>
      <c r="D204" s="165" t="s">
        <v>888</v>
      </c>
      <c r="E204" s="72"/>
      <c r="F204" s="72">
        <f t="shared" si="2"/>
        <v>300</v>
      </c>
      <c r="G204" s="70"/>
      <c r="H204" s="70"/>
      <c r="I204" s="70"/>
      <c r="J204" s="70"/>
      <c r="K204" s="70">
        <v>300</v>
      </c>
      <c r="L204" s="70"/>
      <c r="M204" s="70"/>
      <c r="N204" s="70"/>
      <c r="O204" s="70"/>
      <c r="P204" s="70"/>
      <c r="Q204" s="70"/>
      <c r="R204" s="163"/>
      <c r="S204" s="71"/>
      <c r="T204" s="71"/>
      <c r="U204" s="71"/>
      <c r="V204" s="71"/>
      <c r="W204" s="71"/>
      <c r="X204" s="71"/>
    </row>
    <row r="205" spans="1:24" ht="13.5" customHeight="1">
      <c r="A205" s="162"/>
      <c r="B205" s="157"/>
      <c r="C205" s="158"/>
      <c r="D205" s="165" t="s">
        <v>947</v>
      </c>
      <c r="E205" s="72"/>
      <c r="F205" s="72">
        <f t="shared" si="2"/>
        <v>320</v>
      </c>
      <c r="G205" s="70"/>
      <c r="H205" s="70"/>
      <c r="I205" s="70"/>
      <c r="J205" s="70"/>
      <c r="K205" s="70">
        <v>320</v>
      </c>
      <c r="L205" s="70"/>
      <c r="M205" s="70"/>
      <c r="N205" s="70"/>
      <c r="O205" s="70"/>
      <c r="P205" s="70"/>
      <c r="Q205" s="70"/>
      <c r="R205" s="163"/>
      <c r="S205" s="71"/>
      <c r="T205" s="71"/>
      <c r="U205" s="71"/>
      <c r="V205" s="71"/>
      <c r="W205" s="71"/>
      <c r="X205" s="71"/>
    </row>
    <row r="206" spans="1:24" ht="13.5" customHeight="1">
      <c r="A206" s="162" t="s">
        <v>590</v>
      </c>
      <c r="B206" s="157" t="s">
        <v>695</v>
      </c>
      <c r="C206" s="158" t="s">
        <v>696</v>
      </c>
      <c r="D206" s="165" t="s">
        <v>122</v>
      </c>
      <c r="E206" s="72"/>
      <c r="F206" s="72">
        <f t="shared" si="2"/>
        <v>2500</v>
      </c>
      <c r="G206" s="70"/>
      <c r="H206" s="70"/>
      <c r="I206" s="70"/>
      <c r="J206" s="70"/>
      <c r="K206" s="70">
        <v>2500</v>
      </c>
      <c r="L206" s="70"/>
      <c r="M206" s="70"/>
      <c r="N206" s="70"/>
      <c r="O206" s="70"/>
      <c r="P206" s="70"/>
      <c r="Q206" s="70"/>
      <c r="R206" s="163"/>
      <c r="S206" s="71"/>
      <c r="T206" s="71"/>
      <c r="U206" s="71"/>
      <c r="V206" s="71"/>
      <c r="W206" s="71"/>
      <c r="X206" s="71"/>
    </row>
    <row r="207" spans="1:24" ht="13.5" customHeight="1">
      <c r="A207" s="162"/>
      <c r="B207" s="157"/>
      <c r="C207" s="158"/>
      <c r="D207" s="165" t="s">
        <v>888</v>
      </c>
      <c r="E207" s="72"/>
      <c r="F207" s="72">
        <f t="shared" si="2"/>
        <v>2500</v>
      </c>
      <c r="G207" s="70"/>
      <c r="H207" s="70"/>
      <c r="I207" s="70"/>
      <c r="J207" s="70"/>
      <c r="K207" s="70">
        <v>2500</v>
      </c>
      <c r="L207" s="70"/>
      <c r="M207" s="70"/>
      <c r="N207" s="70"/>
      <c r="O207" s="70"/>
      <c r="P207" s="70"/>
      <c r="Q207" s="70"/>
      <c r="R207" s="163"/>
      <c r="S207" s="71"/>
      <c r="T207" s="71"/>
      <c r="U207" s="71"/>
      <c r="V207" s="71"/>
      <c r="W207" s="71"/>
      <c r="X207" s="71"/>
    </row>
    <row r="208" spans="1:24" ht="13.5" customHeight="1">
      <c r="A208" s="162"/>
      <c r="B208" s="157"/>
      <c r="C208" s="158"/>
      <c r="D208" s="165" t="s">
        <v>947</v>
      </c>
      <c r="E208" s="72"/>
      <c r="F208" s="72">
        <f t="shared" si="2"/>
        <v>2500</v>
      </c>
      <c r="G208" s="70"/>
      <c r="H208" s="70"/>
      <c r="I208" s="70"/>
      <c r="J208" s="70"/>
      <c r="K208" s="70">
        <v>2500</v>
      </c>
      <c r="L208" s="70"/>
      <c r="M208" s="70"/>
      <c r="N208" s="70"/>
      <c r="O208" s="70"/>
      <c r="P208" s="70"/>
      <c r="Q208" s="70"/>
      <c r="R208" s="163"/>
      <c r="S208" s="71"/>
      <c r="T208" s="71"/>
      <c r="U208" s="71"/>
      <c r="V208" s="71"/>
      <c r="W208" s="71"/>
      <c r="X208" s="71"/>
    </row>
    <row r="209" spans="1:24" ht="13.5" customHeight="1">
      <c r="A209" s="162" t="s">
        <v>585</v>
      </c>
      <c r="B209" s="157" t="s">
        <v>697</v>
      </c>
      <c r="C209" s="158" t="s">
        <v>698</v>
      </c>
      <c r="D209" s="165" t="s">
        <v>122</v>
      </c>
      <c r="E209" s="72">
        <v>904031</v>
      </c>
      <c r="F209" s="72">
        <f t="shared" si="2"/>
        <v>222032</v>
      </c>
      <c r="G209" s="70"/>
      <c r="H209" s="70"/>
      <c r="I209" s="70">
        <v>44916</v>
      </c>
      <c r="J209" s="70"/>
      <c r="K209" s="70"/>
      <c r="L209" s="70"/>
      <c r="M209" s="70"/>
      <c r="N209" s="70"/>
      <c r="O209" s="70">
        <v>808</v>
      </c>
      <c r="P209" s="70"/>
      <c r="Q209" s="70">
        <v>176308</v>
      </c>
      <c r="R209" s="163"/>
      <c r="S209" s="71"/>
      <c r="T209" s="71"/>
      <c r="U209" s="71"/>
      <c r="V209" s="71"/>
      <c r="W209" s="71"/>
      <c r="X209" s="71"/>
    </row>
    <row r="210" spans="1:24" ht="13.5" customHeight="1">
      <c r="A210" s="162"/>
      <c r="B210" s="157"/>
      <c r="C210" s="158"/>
      <c r="D210" s="165" t="s">
        <v>888</v>
      </c>
      <c r="E210" s="72">
        <v>900000</v>
      </c>
      <c r="F210" s="72">
        <f t="shared" si="2"/>
        <v>116592</v>
      </c>
      <c r="G210" s="70"/>
      <c r="H210" s="70"/>
      <c r="I210" s="70">
        <v>21929</v>
      </c>
      <c r="J210" s="70"/>
      <c r="K210" s="70"/>
      <c r="L210" s="70"/>
      <c r="M210" s="70"/>
      <c r="N210" s="70"/>
      <c r="O210" s="70">
        <v>808</v>
      </c>
      <c r="P210" s="70"/>
      <c r="Q210" s="70">
        <v>93855</v>
      </c>
      <c r="R210" s="163"/>
      <c r="S210" s="71"/>
      <c r="T210" s="71"/>
      <c r="U210" s="71"/>
      <c r="V210" s="71"/>
      <c r="W210" s="71"/>
      <c r="X210" s="71"/>
    </row>
    <row r="211" spans="1:24" ht="13.5" customHeight="1">
      <c r="A211" s="162"/>
      <c r="B211" s="157"/>
      <c r="C211" s="158"/>
      <c r="D211" s="165" t="s">
        <v>947</v>
      </c>
      <c r="E211" s="72">
        <v>3050921</v>
      </c>
      <c r="F211" s="72">
        <f t="shared" si="2"/>
        <v>2903573</v>
      </c>
      <c r="G211" s="70"/>
      <c r="H211" s="70"/>
      <c r="I211" s="70">
        <v>7989</v>
      </c>
      <c r="J211" s="70"/>
      <c r="K211" s="70"/>
      <c r="L211" s="70"/>
      <c r="M211" s="70"/>
      <c r="N211" s="70"/>
      <c r="O211" s="70">
        <v>808</v>
      </c>
      <c r="P211" s="70"/>
      <c r="Q211" s="70">
        <v>2894776</v>
      </c>
      <c r="R211" s="163"/>
      <c r="S211" s="71"/>
      <c r="T211" s="71"/>
      <c r="U211" s="71"/>
      <c r="V211" s="71"/>
      <c r="W211" s="71"/>
      <c r="X211" s="71"/>
    </row>
    <row r="212" spans="1:24" ht="13.5" customHeight="1">
      <c r="A212" s="162" t="s">
        <v>585</v>
      </c>
      <c r="B212" s="157" t="s">
        <v>699</v>
      </c>
      <c r="C212" s="158" t="s">
        <v>700</v>
      </c>
      <c r="D212" s="165" t="s">
        <v>122</v>
      </c>
      <c r="E212" s="72"/>
      <c r="F212" s="72">
        <f t="shared" si="2"/>
        <v>13000</v>
      </c>
      <c r="G212" s="70"/>
      <c r="H212" s="70"/>
      <c r="I212" s="70"/>
      <c r="J212" s="70"/>
      <c r="K212" s="70"/>
      <c r="L212" s="70">
        <v>13000</v>
      </c>
      <c r="M212" s="70"/>
      <c r="N212" s="70"/>
      <c r="O212" s="70"/>
      <c r="P212" s="70"/>
      <c r="Q212" s="70"/>
      <c r="R212" s="163"/>
      <c r="S212" s="71"/>
      <c r="T212" s="71"/>
      <c r="U212" s="71"/>
      <c r="V212" s="71"/>
      <c r="W212" s="71"/>
      <c r="X212" s="71"/>
    </row>
    <row r="213" spans="1:24" ht="13.5" customHeight="1">
      <c r="A213" s="162"/>
      <c r="B213" s="157"/>
      <c r="C213" s="158"/>
      <c r="D213" s="165" t="s">
        <v>888</v>
      </c>
      <c r="E213" s="72"/>
      <c r="F213" s="72">
        <f t="shared" si="2"/>
        <v>10189</v>
      </c>
      <c r="G213" s="70"/>
      <c r="H213" s="70"/>
      <c r="I213" s="70"/>
      <c r="J213" s="70"/>
      <c r="K213" s="70"/>
      <c r="L213" s="70">
        <v>10189</v>
      </c>
      <c r="M213" s="70"/>
      <c r="N213" s="70"/>
      <c r="O213" s="70"/>
      <c r="P213" s="70"/>
      <c r="Q213" s="70"/>
      <c r="R213" s="163"/>
      <c r="S213" s="71"/>
      <c r="T213" s="71"/>
      <c r="U213" s="71"/>
      <c r="V213" s="71"/>
      <c r="W213" s="71"/>
      <c r="X213" s="71"/>
    </row>
    <row r="214" spans="1:24" ht="13.5" customHeight="1">
      <c r="A214" s="162"/>
      <c r="B214" s="157"/>
      <c r="C214" s="158"/>
      <c r="D214" s="165" t="s">
        <v>947</v>
      </c>
      <c r="E214" s="72"/>
      <c r="F214" s="72">
        <f t="shared" si="2"/>
        <v>423</v>
      </c>
      <c r="G214" s="70"/>
      <c r="H214" s="70"/>
      <c r="I214" s="70"/>
      <c r="J214" s="70"/>
      <c r="K214" s="70"/>
      <c r="L214" s="70">
        <v>423</v>
      </c>
      <c r="M214" s="70"/>
      <c r="N214" s="70"/>
      <c r="O214" s="70"/>
      <c r="P214" s="70"/>
      <c r="Q214" s="70"/>
      <c r="R214" s="163"/>
      <c r="S214" s="71"/>
      <c r="T214" s="71"/>
      <c r="U214" s="71"/>
      <c r="V214" s="71"/>
      <c r="W214" s="71"/>
      <c r="X214" s="71"/>
    </row>
    <row r="215" spans="1:24" ht="13.5" customHeight="1">
      <c r="A215" s="162" t="s">
        <v>585</v>
      </c>
      <c r="B215" s="157" t="s">
        <v>699</v>
      </c>
      <c r="C215" s="158" t="s">
        <v>733</v>
      </c>
      <c r="D215" s="165" t="s">
        <v>122</v>
      </c>
      <c r="E215" s="72"/>
      <c r="F215" s="72">
        <f t="shared" si="2"/>
        <v>1476965</v>
      </c>
      <c r="G215" s="70"/>
      <c r="H215" s="70"/>
      <c r="I215" s="70"/>
      <c r="J215" s="70"/>
      <c r="K215" s="70"/>
      <c r="L215" s="70">
        <v>148700</v>
      </c>
      <c r="M215" s="70"/>
      <c r="N215" s="70"/>
      <c r="O215" s="70"/>
      <c r="P215" s="70">
        <v>1328265</v>
      </c>
      <c r="Q215" s="70"/>
      <c r="R215" s="163"/>
      <c r="S215" s="71"/>
      <c r="T215" s="71"/>
      <c r="U215" s="71"/>
      <c r="V215" s="71"/>
      <c r="W215" s="71"/>
      <c r="X215" s="71"/>
    </row>
    <row r="216" spans="1:24" ht="13.5" customHeight="1">
      <c r="A216" s="162"/>
      <c r="B216" s="157"/>
      <c r="C216" s="158"/>
      <c r="D216" s="165" t="s">
        <v>888</v>
      </c>
      <c r="E216" s="72"/>
      <c r="F216" s="72">
        <f t="shared" si="2"/>
        <v>1428864</v>
      </c>
      <c r="G216" s="70"/>
      <c r="H216" s="70"/>
      <c r="I216" s="70"/>
      <c r="J216" s="70"/>
      <c r="K216" s="70"/>
      <c r="L216" s="70">
        <v>129942</v>
      </c>
      <c r="M216" s="70"/>
      <c r="N216" s="70"/>
      <c r="O216" s="70"/>
      <c r="P216" s="70">
        <v>1298922</v>
      </c>
      <c r="Q216" s="70"/>
      <c r="R216" s="163"/>
      <c r="S216" s="71"/>
      <c r="T216" s="71"/>
      <c r="U216" s="71"/>
      <c r="V216" s="71"/>
      <c r="W216" s="71"/>
      <c r="X216" s="71"/>
    </row>
    <row r="217" spans="1:24" ht="13.5" customHeight="1">
      <c r="A217" s="162"/>
      <c r="B217" s="757"/>
      <c r="C217" s="758"/>
      <c r="D217" s="165" t="s">
        <v>947</v>
      </c>
      <c r="E217" s="72"/>
      <c r="F217" s="72">
        <f t="shared" si="2"/>
        <v>707</v>
      </c>
      <c r="G217" s="70"/>
      <c r="H217" s="70"/>
      <c r="I217" s="70"/>
      <c r="J217" s="70"/>
      <c r="K217" s="70"/>
      <c r="L217" s="70">
        <v>707</v>
      </c>
      <c r="M217" s="70"/>
      <c r="N217" s="70"/>
      <c r="O217" s="70"/>
      <c r="P217" s="70"/>
      <c r="Q217" s="70"/>
      <c r="R217" s="163"/>
      <c r="S217" s="71"/>
      <c r="T217" s="71"/>
      <c r="U217" s="71"/>
      <c r="V217" s="71"/>
      <c r="W217" s="71"/>
      <c r="X217" s="71"/>
    </row>
    <row r="218" spans="1:24" ht="13.5" customHeight="1">
      <c r="A218" s="162"/>
      <c r="B218" s="1113" t="s">
        <v>522</v>
      </c>
      <c r="C218" s="1114"/>
      <c r="D218" s="153" t="s">
        <v>162</v>
      </c>
      <c r="E218" s="75">
        <f aca="true" t="shared" si="3" ref="E218:R218">SUM(E8+E11+E14+E17+E20+E23+E26+E29+E32+E35+E38+E41+E44+E47+E50+E53+E56+E59+E62+E65+E68+E71+E74+E77+E80+E83+E86+E89+E92+E95+E98+E101+E104+E107+E110+E113+E116+E119+E122+E125+E128+E131+E134+E137+E140+E143+E146+E149+E152+E155+E158+E161+E164+E167+E170+E173+E176+E179+E182+E185+E188+E191+E194+E197+E200+E203+E206+E209+E212+E215)</f>
        <v>8092646</v>
      </c>
      <c r="F218" s="75">
        <f t="shared" si="3"/>
        <v>8092646</v>
      </c>
      <c r="G218" s="75">
        <f t="shared" si="3"/>
        <v>193853</v>
      </c>
      <c r="H218" s="75">
        <f t="shared" si="3"/>
        <v>44709</v>
      </c>
      <c r="I218" s="75">
        <f t="shared" si="3"/>
        <v>896883</v>
      </c>
      <c r="J218" s="75">
        <f t="shared" si="3"/>
        <v>840414</v>
      </c>
      <c r="K218" s="75">
        <f t="shared" si="3"/>
        <v>64150</v>
      </c>
      <c r="L218" s="75">
        <f t="shared" si="3"/>
        <v>161700</v>
      </c>
      <c r="M218" s="75">
        <f t="shared" si="3"/>
        <v>251919</v>
      </c>
      <c r="N218" s="75">
        <f t="shared" si="3"/>
        <v>2418569</v>
      </c>
      <c r="O218" s="75">
        <f t="shared" si="3"/>
        <v>78069</v>
      </c>
      <c r="P218" s="75">
        <f t="shared" si="3"/>
        <v>1328265</v>
      </c>
      <c r="Q218" s="75">
        <f t="shared" si="3"/>
        <v>176308</v>
      </c>
      <c r="R218" s="820">
        <f t="shared" si="3"/>
        <v>1637807</v>
      </c>
      <c r="S218" s="71"/>
      <c r="T218" s="71"/>
      <c r="U218" s="71"/>
      <c r="V218" s="71"/>
      <c r="W218" s="71"/>
      <c r="X218" s="71"/>
    </row>
    <row r="219" spans="1:24" ht="13.5" customHeight="1">
      <c r="A219" s="162"/>
      <c r="B219" s="153"/>
      <c r="C219" s="153"/>
      <c r="D219" s="153" t="s">
        <v>888</v>
      </c>
      <c r="E219" s="75">
        <f aca="true" t="shared" si="4" ref="E219:R220">SUM(E9+E12+E15+E18+E21+E24+E27+E30+E33+E36+E39+E42+E45+E48+E51+E54+E57+E60+E63+E66+E69+E72+E75+E78+E81+E84+E87+E90+E93+E96+E99+E102+E105+E108+E111+E114+E117+E120+E123+E126+E129+E132+E135+E138+E141+E144+E147+E150+E153+E156+E159+E162+E165+E168+E171+E174+E177+E180+E183+E186+E189+E192+E195+E198+E201+E204+E207+E210+E213+E216)</f>
        <v>8293386</v>
      </c>
      <c r="F219" s="75">
        <f t="shared" si="4"/>
        <v>8293386</v>
      </c>
      <c r="G219" s="75">
        <f t="shared" si="4"/>
        <v>216832</v>
      </c>
      <c r="H219" s="75">
        <f t="shared" si="4"/>
        <v>46850</v>
      </c>
      <c r="I219" s="75">
        <f t="shared" si="4"/>
        <v>937226</v>
      </c>
      <c r="J219" s="75">
        <f t="shared" si="4"/>
        <v>890502</v>
      </c>
      <c r="K219" s="75">
        <f t="shared" si="4"/>
        <v>65700</v>
      </c>
      <c r="L219" s="75">
        <f t="shared" si="4"/>
        <v>140131</v>
      </c>
      <c r="M219" s="75">
        <f t="shared" si="4"/>
        <v>334376</v>
      </c>
      <c r="N219" s="75">
        <f t="shared" si="4"/>
        <v>2527109</v>
      </c>
      <c r="O219" s="75">
        <f t="shared" si="4"/>
        <v>81049</v>
      </c>
      <c r="P219" s="75">
        <f t="shared" si="4"/>
        <v>1298922</v>
      </c>
      <c r="Q219" s="75">
        <f t="shared" si="4"/>
        <v>93855</v>
      </c>
      <c r="R219" s="820">
        <f t="shared" si="4"/>
        <v>1660834</v>
      </c>
      <c r="S219" s="71"/>
      <c r="T219" s="71"/>
      <c r="U219" s="71"/>
      <c r="V219" s="71"/>
      <c r="W219" s="71"/>
      <c r="X219" s="71"/>
    </row>
    <row r="220" spans="1:24" ht="13.5" customHeight="1">
      <c r="A220" s="162"/>
      <c r="B220" s="153"/>
      <c r="C220" s="153"/>
      <c r="D220" s="153" t="s">
        <v>947</v>
      </c>
      <c r="E220" s="75">
        <f t="shared" si="4"/>
        <v>10240715</v>
      </c>
      <c r="F220" s="75">
        <f t="shared" si="4"/>
        <v>10240715</v>
      </c>
      <c r="G220" s="75">
        <f t="shared" si="4"/>
        <v>266018</v>
      </c>
      <c r="H220" s="75">
        <f t="shared" si="4"/>
        <v>52728</v>
      </c>
      <c r="I220" s="75">
        <f t="shared" si="4"/>
        <v>1131185</v>
      </c>
      <c r="J220" s="75">
        <f t="shared" si="4"/>
        <v>914611</v>
      </c>
      <c r="K220" s="75">
        <f t="shared" si="4"/>
        <v>65700</v>
      </c>
      <c r="L220" s="75">
        <f t="shared" si="4"/>
        <v>1130</v>
      </c>
      <c r="M220" s="75">
        <f t="shared" si="4"/>
        <v>344891</v>
      </c>
      <c r="N220" s="75">
        <f t="shared" si="4"/>
        <v>2708848</v>
      </c>
      <c r="O220" s="75">
        <f t="shared" si="4"/>
        <v>198801</v>
      </c>
      <c r="P220" s="75">
        <f t="shared" si="4"/>
        <v>0</v>
      </c>
      <c r="Q220" s="75">
        <f t="shared" si="4"/>
        <v>2894776</v>
      </c>
      <c r="R220" s="820">
        <f t="shared" si="4"/>
        <v>1662027</v>
      </c>
      <c r="S220" s="71"/>
      <c r="T220" s="71"/>
      <c r="U220" s="71"/>
      <c r="V220" s="71"/>
      <c r="W220" s="71"/>
      <c r="X220" s="71"/>
    </row>
    <row r="221" spans="1:24" ht="13.5" customHeight="1">
      <c r="A221" s="162"/>
      <c r="B221" s="153"/>
      <c r="C221" s="153"/>
      <c r="D221" s="169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820"/>
      <c r="S221" s="71"/>
      <c r="T221" s="71"/>
      <c r="U221" s="71"/>
      <c r="V221" s="71"/>
      <c r="W221" s="71"/>
      <c r="X221" s="71"/>
    </row>
    <row r="222" spans="1:24" ht="13.5" customHeight="1">
      <c r="A222" s="162"/>
      <c r="B222" s="1102" t="s">
        <v>734</v>
      </c>
      <c r="C222" s="1103"/>
      <c r="D222" s="169" t="s">
        <v>162</v>
      </c>
      <c r="E222" s="76">
        <f aca="true" t="shared" si="5" ref="E222:R222">SUM(E14+E20+E23+E47+E50+E53+E56+E59+E62+E65+E68+E71+E74+E80+E83+E86+E89+E95+E98+E101+E104+E107+E110+E113+E116+E128+E140+E170+E173+E176+E179+E182+E185+E188+E197+E206)</f>
        <v>5509970</v>
      </c>
      <c r="F222" s="76">
        <f t="shared" si="5"/>
        <v>3649045</v>
      </c>
      <c r="G222" s="76">
        <f t="shared" si="5"/>
        <v>108281</v>
      </c>
      <c r="H222" s="76">
        <f t="shared" si="5"/>
        <v>13023</v>
      </c>
      <c r="I222" s="76">
        <f t="shared" si="5"/>
        <v>747137</v>
      </c>
      <c r="J222" s="76">
        <f t="shared" si="5"/>
        <v>235022</v>
      </c>
      <c r="K222" s="76">
        <f t="shared" si="5"/>
        <v>27500</v>
      </c>
      <c r="L222" s="76">
        <f t="shared" si="5"/>
        <v>0</v>
      </c>
      <c r="M222" s="76">
        <f t="shared" si="5"/>
        <v>249379</v>
      </c>
      <c r="N222" s="76">
        <f t="shared" si="5"/>
        <v>2245994</v>
      </c>
      <c r="O222" s="76">
        <f t="shared" si="5"/>
        <v>22709</v>
      </c>
      <c r="P222" s="76">
        <f t="shared" si="5"/>
        <v>0</v>
      </c>
      <c r="Q222" s="76">
        <f t="shared" si="5"/>
        <v>0</v>
      </c>
      <c r="R222" s="821">
        <f t="shared" si="5"/>
        <v>0</v>
      </c>
      <c r="S222" s="71"/>
      <c r="T222" s="71"/>
      <c r="U222" s="71"/>
      <c r="V222" s="71"/>
      <c r="W222" s="71"/>
      <c r="X222" s="71"/>
    </row>
    <row r="223" spans="1:24" ht="13.5" customHeight="1">
      <c r="A223" s="162"/>
      <c r="B223" s="169"/>
      <c r="C223" s="169"/>
      <c r="D223" s="153" t="s">
        <v>888</v>
      </c>
      <c r="E223" s="76">
        <f aca="true" t="shared" si="6" ref="E223:R224">SUM(E15+E21+E24+E48+E51+E54+E57+E60+E63+E66+E69+E72+E75+E81+E84+E87+E90+E96+E99+E102+E105+E108+E111+E114+E117+E129+E141+E171+E174+E177+E180+E183+E186+E189+E198+E207)</f>
        <v>5523577</v>
      </c>
      <c r="F223" s="76">
        <f t="shared" si="6"/>
        <v>3928177</v>
      </c>
      <c r="G223" s="76">
        <f t="shared" si="6"/>
        <v>116537</v>
      </c>
      <c r="H223" s="76">
        <f t="shared" si="6"/>
        <v>15030</v>
      </c>
      <c r="I223" s="76">
        <f t="shared" si="6"/>
        <v>765301</v>
      </c>
      <c r="J223" s="76">
        <f t="shared" si="6"/>
        <v>239009</v>
      </c>
      <c r="K223" s="76">
        <f t="shared" si="6"/>
        <v>27500</v>
      </c>
      <c r="L223" s="76">
        <f t="shared" si="6"/>
        <v>0</v>
      </c>
      <c r="M223" s="76">
        <f t="shared" si="6"/>
        <v>331388</v>
      </c>
      <c r="N223" s="76">
        <f t="shared" si="6"/>
        <v>2410702</v>
      </c>
      <c r="O223" s="76">
        <f t="shared" si="6"/>
        <v>22710</v>
      </c>
      <c r="P223" s="76">
        <f t="shared" si="6"/>
        <v>0</v>
      </c>
      <c r="Q223" s="76">
        <f t="shared" si="6"/>
        <v>0</v>
      </c>
      <c r="R223" s="821">
        <f t="shared" si="6"/>
        <v>0</v>
      </c>
      <c r="S223" s="71"/>
      <c r="T223" s="71"/>
      <c r="U223" s="71"/>
      <c r="V223" s="71"/>
      <c r="W223" s="71"/>
      <c r="X223" s="71"/>
    </row>
    <row r="224" spans="1:24" ht="13.5" customHeight="1">
      <c r="A224" s="162"/>
      <c r="B224" s="169"/>
      <c r="C224" s="169"/>
      <c r="D224" s="153" t="s">
        <v>947</v>
      </c>
      <c r="E224" s="76">
        <f t="shared" si="6"/>
        <v>5278999</v>
      </c>
      <c r="F224" s="76">
        <f t="shared" si="6"/>
        <v>4209973</v>
      </c>
      <c r="G224" s="76">
        <f t="shared" si="6"/>
        <v>152877</v>
      </c>
      <c r="H224" s="76">
        <f t="shared" si="6"/>
        <v>19420</v>
      </c>
      <c r="I224" s="76">
        <f t="shared" si="6"/>
        <v>790708</v>
      </c>
      <c r="J224" s="76">
        <f t="shared" si="6"/>
        <v>242033</v>
      </c>
      <c r="K224" s="76">
        <f t="shared" si="6"/>
        <v>27480</v>
      </c>
      <c r="L224" s="76">
        <f t="shared" si="6"/>
        <v>0</v>
      </c>
      <c r="M224" s="76">
        <f t="shared" si="6"/>
        <v>341903</v>
      </c>
      <c r="N224" s="76">
        <f t="shared" si="6"/>
        <v>2612840</v>
      </c>
      <c r="O224" s="76">
        <f t="shared" si="6"/>
        <v>22712</v>
      </c>
      <c r="P224" s="76">
        <f t="shared" si="6"/>
        <v>0</v>
      </c>
      <c r="Q224" s="76">
        <f t="shared" si="6"/>
        <v>0</v>
      </c>
      <c r="R224" s="821">
        <f t="shared" si="6"/>
        <v>0</v>
      </c>
      <c r="S224" s="71"/>
      <c r="T224" s="71"/>
      <c r="U224" s="71"/>
      <c r="V224" s="71"/>
      <c r="W224" s="71"/>
      <c r="X224" s="71"/>
    </row>
    <row r="225" spans="1:24" ht="13.5" customHeight="1">
      <c r="A225" s="162"/>
      <c r="B225" s="169"/>
      <c r="C225" s="169"/>
      <c r="D225" s="169"/>
      <c r="E225" s="76"/>
      <c r="F225" s="76"/>
      <c r="G225" s="76"/>
      <c r="H225" s="76"/>
      <c r="I225" s="76"/>
      <c r="J225" s="76"/>
      <c r="K225" s="76"/>
      <c r="L225" s="76"/>
      <c r="M225" s="76"/>
      <c r="N225" s="76"/>
      <c r="O225" s="76"/>
      <c r="P225" s="76"/>
      <c r="Q225" s="76"/>
      <c r="R225" s="821"/>
      <c r="S225" s="71"/>
      <c r="T225" s="71"/>
      <c r="U225" s="71"/>
      <c r="V225" s="71"/>
      <c r="W225" s="71"/>
      <c r="X225" s="71"/>
    </row>
    <row r="226" spans="1:24" ht="13.5" customHeight="1">
      <c r="A226" s="162"/>
      <c r="B226" s="1102" t="s">
        <v>737</v>
      </c>
      <c r="C226" s="1103"/>
      <c r="D226" s="169" t="s">
        <v>162</v>
      </c>
      <c r="E226" s="76">
        <f aca="true" t="shared" si="7" ref="E226:R226">SUM(E17+E26+E29+E32+E35+E77+E92+E119+E122+E125+E131+E134+E137+E143+E146+E149+E152+E155+E158+E161+E164+E167+E191+E194+E200+E203)</f>
        <v>25755</v>
      </c>
      <c r="F226" s="76">
        <f t="shared" si="7"/>
        <v>504628</v>
      </c>
      <c r="G226" s="76">
        <f t="shared" si="7"/>
        <v>37310</v>
      </c>
      <c r="H226" s="76">
        <f t="shared" si="7"/>
        <v>16821</v>
      </c>
      <c r="I226" s="76">
        <f t="shared" si="7"/>
        <v>73861</v>
      </c>
      <c r="J226" s="76">
        <f t="shared" si="7"/>
        <v>285434</v>
      </c>
      <c r="K226" s="76">
        <f t="shared" si="7"/>
        <v>36650</v>
      </c>
      <c r="L226" s="76">
        <f t="shared" si="7"/>
        <v>0</v>
      </c>
      <c r="M226" s="76">
        <f t="shared" si="7"/>
        <v>0</v>
      </c>
      <c r="N226" s="76">
        <f t="shared" si="7"/>
        <v>0</v>
      </c>
      <c r="O226" s="76">
        <f t="shared" si="7"/>
        <v>54552</v>
      </c>
      <c r="P226" s="76">
        <f t="shared" si="7"/>
        <v>0</v>
      </c>
      <c r="Q226" s="76">
        <f t="shared" si="7"/>
        <v>0</v>
      </c>
      <c r="R226" s="821">
        <f t="shared" si="7"/>
        <v>0</v>
      </c>
      <c r="S226" s="71"/>
      <c r="T226" s="71"/>
      <c r="U226" s="71"/>
      <c r="V226" s="71"/>
      <c r="W226" s="71"/>
      <c r="X226" s="71"/>
    </row>
    <row r="227" spans="1:24" ht="13.5" customHeight="1">
      <c r="A227" s="162"/>
      <c r="B227" s="169"/>
      <c r="C227" s="169"/>
      <c r="D227" s="153" t="s">
        <v>888</v>
      </c>
      <c r="E227" s="76">
        <f aca="true" t="shared" si="8" ref="E227:R228">SUM(E18+E27+E30+E33+E36+E78+E93+E120+E123+E126+E132+E135+E138+E144+E147+E150+E153+E156+E159+E162+E165+E168+E192+E195+E201+E204)</f>
        <v>27055</v>
      </c>
      <c r="F227" s="76">
        <f t="shared" si="8"/>
        <v>526488</v>
      </c>
      <c r="G227" s="76">
        <f t="shared" si="8"/>
        <v>38896</v>
      </c>
      <c r="H227" s="76">
        <f t="shared" si="8"/>
        <v>16821</v>
      </c>
      <c r="I227" s="76">
        <f t="shared" si="8"/>
        <v>74911</v>
      </c>
      <c r="J227" s="76">
        <f t="shared" si="8"/>
        <v>300129</v>
      </c>
      <c r="K227" s="76">
        <f t="shared" si="8"/>
        <v>38200</v>
      </c>
      <c r="L227" s="76">
        <f t="shared" si="8"/>
        <v>0</v>
      </c>
      <c r="M227" s="76">
        <f t="shared" si="8"/>
        <v>0</v>
      </c>
      <c r="N227" s="76">
        <f t="shared" si="8"/>
        <v>0</v>
      </c>
      <c r="O227" s="76">
        <f t="shared" si="8"/>
        <v>57531</v>
      </c>
      <c r="P227" s="76">
        <f t="shared" si="8"/>
        <v>0</v>
      </c>
      <c r="Q227" s="76">
        <f t="shared" si="8"/>
        <v>0</v>
      </c>
      <c r="R227" s="821">
        <f t="shared" si="8"/>
        <v>0</v>
      </c>
      <c r="S227" s="71"/>
      <c r="T227" s="71"/>
      <c r="U227" s="71"/>
      <c r="V227" s="71"/>
      <c r="W227" s="71"/>
      <c r="X227" s="71"/>
    </row>
    <row r="228" spans="1:24" ht="13.5" customHeight="1">
      <c r="A228" s="162"/>
      <c r="B228" s="169"/>
      <c r="C228" s="169"/>
      <c r="D228" s="153" t="s">
        <v>947</v>
      </c>
      <c r="E228" s="76">
        <f t="shared" si="8"/>
        <v>27160</v>
      </c>
      <c r="F228" s="76">
        <f t="shared" si="8"/>
        <v>652812</v>
      </c>
      <c r="G228" s="76">
        <f t="shared" si="8"/>
        <v>41963</v>
      </c>
      <c r="H228" s="76">
        <f t="shared" si="8"/>
        <v>16321</v>
      </c>
      <c r="I228" s="76">
        <f t="shared" si="8"/>
        <v>71947</v>
      </c>
      <c r="J228" s="76">
        <f t="shared" si="8"/>
        <v>308875</v>
      </c>
      <c r="K228" s="76">
        <f t="shared" si="8"/>
        <v>38220</v>
      </c>
      <c r="L228" s="76">
        <f t="shared" si="8"/>
        <v>0</v>
      </c>
      <c r="M228" s="76">
        <f t="shared" si="8"/>
        <v>0</v>
      </c>
      <c r="N228" s="76">
        <f t="shared" si="8"/>
        <v>205</v>
      </c>
      <c r="O228" s="76">
        <f t="shared" si="8"/>
        <v>175281</v>
      </c>
      <c r="P228" s="76">
        <f t="shared" si="8"/>
        <v>0</v>
      </c>
      <c r="Q228" s="76">
        <f t="shared" si="8"/>
        <v>0</v>
      </c>
      <c r="R228" s="821">
        <f t="shared" si="8"/>
        <v>0</v>
      </c>
      <c r="S228" s="71"/>
      <c r="T228" s="71"/>
      <c r="U228" s="71"/>
      <c r="V228" s="71"/>
      <c r="W228" s="71"/>
      <c r="X228" s="71"/>
    </row>
    <row r="229" spans="1:24" ht="13.5" customHeight="1">
      <c r="A229" s="162"/>
      <c r="B229" s="169"/>
      <c r="C229" s="169"/>
      <c r="D229" s="165"/>
      <c r="E229" s="76"/>
      <c r="F229" s="76"/>
      <c r="G229" s="76"/>
      <c r="H229" s="76"/>
      <c r="I229" s="76"/>
      <c r="J229" s="76"/>
      <c r="K229" s="76"/>
      <c r="L229" s="76"/>
      <c r="M229" s="76"/>
      <c r="N229" s="76"/>
      <c r="O229" s="76"/>
      <c r="P229" s="76"/>
      <c r="Q229" s="76"/>
      <c r="R229" s="821"/>
      <c r="S229" s="71"/>
      <c r="T229" s="71"/>
      <c r="U229" s="71"/>
      <c r="V229" s="71"/>
      <c r="W229" s="71"/>
      <c r="X229" s="71"/>
    </row>
    <row r="230" spans="1:24" ht="13.5" customHeight="1">
      <c r="A230" s="738"/>
      <c r="B230" s="1094" t="s">
        <v>738</v>
      </c>
      <c r="C230" s="1095"/>
      <c r="D230" s="742" t="s">
        <v>162</v>
      </c>
      <c r="E230" s="743">
        <f aca="true" t="shared" si="9" ref="E230:R230">SUM(E8+E11+E38+E41+E44+E209+E212+E215)</f>
        <v>2556921</v>
      </c>
      <c r="F230" s="743">
        <f t="shared" si="9"/>
        <v>3938973</v>
      </c>
      <c r="G230" s="743">
        <f t="shared" si="9"/>
        <v>48262</v>
      </c>
      <c r="H230" s="743">
        <f t="shared" si="9"/>
        <v>14865</v>
      </c>
      <c r="I230" s="743">
        <f t="shared" si="9"/>
        <v>75885</v>
      </c>
      <c r="J230" s="743">
        <f t="shared" si="9"/>
        <v>319958</v>
      </c>
      <c r="K230" s="743">
        <f t="shared" si="9"/>
        <v>0</v>
      </c>
      <c r="L230" s="743">
        <f t="shared" si="9"/>
        <v>161700</v>
      </c>
      <c r="M230" s="743">
        <f t="shared" si="9"/>
        <v>2540</v>
      </c>
      <c r="N230" s="743">
        <f t="shared" si="9"/>
        <v>172575</v>
      </c>
      <c r="O230" s="743">
        <f t="shared" si="9"/>
        <v>808</v>
      </c>
      <c r="P230" s="743">
        <f t="shared" si="9"/>
        <v>1328265</v>
      </c>
      <c r="Q230" s="743">
        <f t="shared" si="9"/>
        <v>176308</v>
      </c>
      <c r="R230" s="822">
        <f t="shared" si="9"/>
        <v>1637807</v>
      </c>
      <c r="S230" s="71"/>
      <c r="T230" s="71"/>
      <c r="U230" s="71"/>
      <c r="V230" s="71"/>
      <c r="W230" s="71"/>
      <c r="X230" s="71"/>
    </row>
    <row r="231" spans="1:24" ht="12.75">
      <c r="A231" s="823"/>
      <c r="B231" s="744"/>
      <c r="C231" s="745"/>
      <c r="D231" s="746" t="s">
        <v>888</v>
      </c>
      <c r="E231" s="747">
        <f aca="true" t="shared" si="10" ref="E231:R232">SUM(E9+E12+E39+E42+E45+E210+E213+E216)</f>
        <v>2742754</v>
      </c>
      <c r="F231" s="747">
        <f t="shared" si="10"/>
        <v>3838721</v>
      </c>
      <c r="G231" s="747">
        <f t="shared" si="10"/>
        <v>61399</v>
      </c>
      <c r="H231" s="747">
        <f t="shared" si="10"/>
        <v>14999</v>
      </c>
      <c r="I231" s="747">
        <f t="shared" si="10"/>
        <v>97014</v>
      </c>
      <c r="J231" s="747">
        <f t="shared" si="10"/>
        <v>351364</v>
      </c>
      <c r="K231" s="747">
        <f t="shared" si="10"/>
        <v>0</v>
      </c>
      <c r="L231" s="747">
        <f t="shared" si="10"/>
        <v>140131</v>
      </c>
      <c r="M231" s="747">
        <f t="shared" si="10"/>
        <v>2988</v>
      </c>
      <c r="N231" s="747">
        <f t="shared" si="10"/>
        <v>116407</v>
      </c>
      <c r="O231" s="747">
        <f t="shared" si="10"/>
        <v>808</v>
      </c>
      <c r="P231" s="747">
        <f t="shared" si="10"/>
        <v>1298922</v>
      </c>
      <c r="Q231" s="747">
        <f t="shared" si="10"/>
        <v>93855</v>
      </c>
      <c r="R231" s="824">
        <f t="shared" si="10"/>
        <v>1660834</v>
      </c>
      <c r="S231" s="71"/>
      <c r="T231" s="71"/>
      <c r="U231" s="71"/>
      <c r="V231" s="71"/>
      <c r="W231" s="71"/>
      <c r="X231" s="71"/>
    </row>
    <row r="232" spans="1:24" ht="13.5" thickBot="1">
      <c r="A232" s="825"/>
      <c r="B232" s="826"/>
      <c r="C232" s="827"/>
      <c r="D232" s="828" t="s">
        <v>947</v>
      </c>
      <c r="E232" s="942">
        <f t="shared" si="10"/>
        <v>4934556</v>
      </c>
      <c r="F232" s="942">
        <f t="shared" si="10"/>
        <v>5377930</v>
      </c>
      <c r="G232" s="942">
        <f t="shared" si="10"/>
        <v>71178</v>
      </c>
      <c r="H232" s="942">
        <f t="shared" si="10"/>
        <v>16987</v>
      </c>
      <c r="I232" s="942">
        <f t="shared" si="10"/>
        <v>268530</v>
      </c>
      <c r="J232" s="942">
        <f t="shared" si="10"/>
        <v>363703</v>
      </c>
      <c r="K232" s="942">
        <f t="shared" si="10"/>
        <v>0</v>
      </c>
      <c r="L232" s="942">
        <f t="shared" si="10"/>
        <v>1130</v>
      </c>
      <c r="M232" s="942">
        <f t="shared" si="10"/>
        <v>2988</v>
      </c>
      <c r="N232" s="942">
        <f t="shared" si="10"/>
        <v>95803</v>
      </c>
      <c r="O232" s="942">
        <f t="shared" si="10"/>
        <v>808</v>
      </c>
      <c r="P232" s="942">
        <f t="shared" si="10"/>
        <v>0</v>
      </c>
      <c r="Q232" s="942">
        <f t="shared" si="10"/>
        <v>2894776</v>
      </c>
      <c r="R232" s="943">
        <f t="shared" si="10"/>
        <v>1662027</v>
      </c>
      <c r="S232" s="71"/>
      <c r="T232" s="71"/>
      <c r="U232" s="71"/>
      <c r="V232" s="71"/>
      <c r="W232" s="71"/>
      <c r="X232" s="71"/>
    </row>
    <row r="233" spans="7:24" ht="12.75">
      <c r="G233" s="66"/>
      <c r="H233" s="66"/>
      <c r="I233" s="66"/>
      <c r="J233" s="66"/>
      <c r="K233" s="66"/>
      <c r="L233" s="66"/>
      <c r="M233" s="66"/>
      <c r="N233" s="66"/>
      <c r="O233" s="77"/>
      <c r="P233" s="66"/>
      <c r="Q233" s="66"/>
      <c r="R233" s="71"/>
      <c r="S233" s="71"/>
      <c r="T233" s="71"/>
      <c r="U233" s="71"/>
      <c r="V233" s="71"/>
      <c r="W233" s="71"/>
      <c r="X233" s="71"/>
    </row>
    <row r="234" spans="1:24" ht="12.75">
      <c r="A234" s="242" t="s">
        <v>1134</v>
      </c>
      <c r="G234" s="66"/>
      <c r="H234" s="66"/>
      <c r="I234" s="66"/>
      <c r="J234" s="66"/>
      <c r="K234" s="66"/>
      <c r="L234" s="66"/>
      <c r="M234" s="66"/>
      <c r="N234" s="66"/>
      <c r="O234" s="77"/>
      <c r="P234" s="66"/>
      <c r="Q234" s="66"/>
      <c r="R234" s="71"/>
      <c r="S234" s="71"/>
      <c r="T234" s="71"/>
      <c r="U234" s="71"/>
      <c r="V234" s="71"/>
      <c r="W234" s="71"/>
      <c r="X234" s="71"/>
    </row>
    <row r="235" spans="1:24" ht="12.75">
      <c r="A235" s="1" t="s">
        <v>1133</v>
      </c>
      <c r="G235" s="66"/>
      <c r="H235" s="66"/>
      <c r="I235" s="66"/>
      <c r="J235" s="66"/>
      <c r="K235" s="66"/>
      <c r="L235" s="66"/>
      <c r="M235" s="66"/>
      <c r="N235" s="66"/>
      <c r="O235" s="77"/>
      <c r="P235" s="66"/>
      <c r="Q235" s="66"/>
      <c r="R235" s="71"/>
      <c r="S235" s="71"/>
      <c r="T235" s="71"/>
      <c r="U235" s="71"/>
      <c r="V235" s="71"/>
      <c r="W235" s="71"/>
      <c r="X235" s="71"/>
    </row>
    <row r="236" spans="1:24" ht="12.75">
      <c r="A236" s="1" t="s">
        <v>1132</v>
      </c>
      <c r="G236" s="66"/>
      <c r="H236" s="66"/>
      <c r="I236" s="66"/>
      <c r="J236" s="66"/>
      <c r="K236" s="66"/>
      <c r="L236" s="66"/>
      <c r="M236" s="66"/>
      <c r="N236" s="66"/>
      <c r="O236" s="77"/>
      <c r="P236" s="66"/>
      <c r="Q236" s="66"/>
      <c r="R236" s="71"/>
      <c r="S236" s="71"/>
      <c r="T236" s="71"/>
      <c r="U236" s="71"/>
      <c r="V236" s="71"/>
      <c r="W236" s="71"/>
      <c r="X236" s="71"/>
    </row>
    <row r="237" spans="1:24" ht="12.75">
      <c r="A237" s="1" t="s">
        <v>1131</v>
      </c>
      <c r="G237" s="66"/>
      <c r="H237" s="66"/>
      <c r="I237" s="66"/>
      <c r="J237" s="66"/>
      <c r="K237" s="66"/>
      <c r="L237" s="66"/>
      <c r="M237" s="66"/>
      <c r="N237" s="66"/>
      <c r="O237" s="77"/>
      <c r="P237" s="66"/>
      <c r="Q237" s="66"/>
      <c r="R237" s="71"/>
      <c r="S237" s="71"/>
      <c r="T237" s="71"/>
      <c r="U237" s="71"/>
      <c r="V237" s="71"/>
      <c r="W237" s="71"/>
      <c r="X237" s="71"/>
    </row>
    <row r="238" spans="7:24" ht="12.75">
      <c r="G238" s="66"/>
      <c r="H238" s="66"/>
      <c r="I238" s="66"/>
      <c r="J238" s="66"/>
      <c r="K238" s="66"/>
      <c r="L238" s="66"/>
      <c r="M238" s="66"/>
      <c r="N238" s="66"/>
      <c r="O238" s="77"/>
      <c r="P238" s="66"/>
      <c r="Q238" s="66"/>
      <c r="R238" s="71"/>
      <c r="S238" s="71"/>
      <c r="T238" s="71"/>
      <c r="U238" s="71"/>
      <c r="V238" s="71"/>
      <c r="W238" s="71"/>
      <c r="X238" s="71"/>
    </row>
    <row r="239" spans="7:24" ht="12.75">
      <c r="G239" s="66"/>
      <c r="H239" s="66"/>
      <c r="I239" s="66"/>
      <c r="J239" s="66"/>
      <c r="K239" s="66"/>
      <c r="L239" s="66"/>
      <c r="M239" s="66"/>
      <c r="N239" s="66"/>
      <c r="O239" s="77"/>
      <c r="P239" s="66"/>
      <c r="Q239" s="66"/>
      <c r="R239" s="71"/>
      <c r="S239" s="71"/>
      <c r="T239" s="71"/>
      <c r="U239" s="71"/>
      <c r="V239" s="71"/>
      <c r="W239" s="71"/>
      <c r="X239" s="71"/>
    </row>
    <row r="240" spans="7:24" ht="12.75">
      <c r="G240" s="66"/>
      <c r="H240" s="66"/>
      <c r="I240" s="66"/>
      <c r="J240" s="66"/>
      <c r="K240" s="66"/>
      <c r="L240" s="66"/>
      <c r="M240" s="66"/>
      <c r="N240" s="66"/>
      <c r="O240" s="77"/>
      <c r="P240" s="66"/>
      <c r="Q240" s="66"/>
      <c r="R240" s="71"/>
      <c r="S240" s="71"/>
      <c r="T240" s="71"/>
      <c r="U240" s="71"/>
      <c r="V240" s="71"/>
      <c r="W240" s="71"/>
      <c r="X240" s="71"/>
    </row>
    <row r="241" spans="7:24" ht="12.75">
      <c r="G241" s="66"/>
      <c r="H241" s="66"/>
      <c r="I241" s="66"/>
      <c r="J241" s="66"/>
      <c r="K241" s="66"/>
      <c r="L241" s="66"/>
      <c r="M241" s="66"/>
      <c r="N241" s="66"/>
      <c r="O241" s="77"/>
      <c r="P241" s="66"/>
      <c r="Q241" s="66"/>
      <c r="R241" s="71"/>
      <c r="S241" s="71"/>
      <c r="T241" s="71"/>
      <c r="U241" s="71"/>
      <c r="V241" s="71"/>
      <c r="W241" s="71"/>
      <c r="X241" s="71"/>
    </row>
    <row r="242" spans="7:24" ht="12.75">
      <c r="G242" s="66"/>
      <c r="H242" s="66"/>
      <c r="I242" s="66"/>
      <c r="J242" s="66"/>
      <c r="K242" s="66"/>
      <c r="L242" s="66"/>
      <c r="M242" s="66"/>
      <c r="N242" s="66"/>
      <c r="O242" s="77"/>
      <c r="P242" s="66"/>
      <c r="Q242" s="66"/>
      <c r="R242" s="71"/>
      <c r="S242" s="71"/>
      <c r="T242" s="71"/>
      <c r="U242" s="71"/>
      <c r="V242" s="71"/>
      <c r="W242" s="71"/>
      <c r="X242" s="71"/>
    </row>
    <row r="243" spans="7:24" ht="12.75">
      <c r="G243" s="66"/>
      <c r="H243" s="66"/>
      <c r="I243" s="66"/>
      <c r="J243" s="66"/>
      <c r="K243" s="66"/>
      <c r="L243" s="66"/>
      <c r="M243" s="66"/>
      <c r="N243" s="66"/>
      <c r="O243" s="77"/>
      <c r="P243" s="66"/>
      <c r="Q243" s="66"/>
      <c r="R243" s="71"/>
      <c r="S243" s="71"/>
      <c r="T243" s="71"/>
      <c r="U243" s="71"/>
      <c r="V243" s="71"/>
      <c r="W243" s="71"/>
      <c r="X243" s="71"/>
    </row>
    <row r="244" spans="7:24" ht="12.75">
      <c r="G244" s="66"/>
      <c r="H244" s="66"/>
      <c r="I244" s="66"/>
      <c r="J244" s="66"/>
      <c r="K244" s="66"/>
      <c r="L244" s="66"/>
      <c r="M244" s="66"/>
      <c r="N244" s="66"/>
      <c r="O244" s="77"/>
      <c r="P244" s="66"/>
      <c r="Q244" s="66"/>
      <c r="R244" s="71"/>
      <c r="S244" s="71"/>
      <c r="T244" s="71"/>
      <c r="U244" s="71"/>
      <c r="V244" s="71"/>
      <c r="W244" s="71"/>
      <c r="X244" s="71"/>
    </row>
    <row r="245" spans="7:24" ht="12.75">
      <c r="G245" s="66"/>
      <c r="H245" s="66"/>
      <c r="I245" s="66"/>
      <c r="J245" s="66"/>
      <c r="K245" s="66"/>
      <c r="L245" s="66"/>
      <c r="M245" s="66"/>
      <c r="N245" s="66"/>
      <c r="O245" s="77"/>
      <c r="P245" s="66"/>
      <c r="Q245" s="66"/>
      <c r="R245" s="71"/>
      <c r="S245" s="71"/>
      <c r="T245" s="71"/>
      <c r="U245" s="71"/>
      <c r="V245" s="71"/>
      <c r="W245" s="71"/>
      <c r="X245" s="71"/>
    </row>
    <row r="246" spans="7:24" ht="12.75">
      <c r="G246" s="66"/>
      <c r="H246" s="66"/>
      <c r="I246" s="66"/>
      <c r="J246" s="66"/>
      <c r="K246" s="66"/>
      <c r="L246" s="66"/>
      <c r="M246" s="66"/>
      <c r="N246" s="66"/>
      <c r="O246" s="77"/>
      <c r="P246" s="66"/>
      <c r="Q246" s="66"/>
      <c r="R246" s="71"/>
      <c r="S246" s="71"/>
      <c r="T246" s="71"/>
      <c r="U246" s="71"/>
      <c r="V246" s="71"/>
      <c r="W246" s="71"/>
      <c r="X246" s="71"/>
    </row>
    <row r="247" spans="7:24" ht="12.75">
      <c r="G247" s="66"/>
      <c r="H247" s="66"/>
      <c r="I247" s="66"/>
      <c r="J247" s="66"/>
      <c r="K247" s="66"/>
      <c r="L247" s="66"/>
      <c r="M247" s="66"/>
      <c r="N247" s="66"/>
      <c r="O247" s="77"/>
      <c r="P247" s="66"/>
      <c r="Q247" s="66"/>
      <c r="R247" s="71"/>
      <c r="S247" s="71"/>
      <c r="T247" s="71"/>
      <c r="U247" s="71"/>
      <c r="V247" s="71"/>
      <c r="W247" s="71"/>
      <c r="X247" s="71"/>
    </row>
    <row r="248" spans="7:24" ht="12.75">
      <c r="G248" s="66"/>
      <c r="H248" s="66"/>
      <c r="I248" s="66"/>
      <c r="J248" s="66"/>
      <c r="K248" s="66"/>
      <c r="L248" s="66"/>
      <c r="M248" s="66"/>
      <c r="N248" s="66"/>
      <c r="O248" s="77"/>
      <c r="P248" s="66"/>
      <c r="Q248" s="66"/>
      <c r="R248" s="71"/>
      <c r="S248" s="71"/>
      <c r="T248" s="71"/>
      <c r="U248" s="71"/>
      <c r="V248" s="71"/>
      <c r="W248" s="71"/>
      <c r="X248" s="71"/>
    </row>
    <row r="249" spans="7:24" ht="12.75">
      <c r="G249" s="66"/>
      <c r="H249" s="66"/>
      <c r="I249" s="66"/>
      <c r="J249" s="66"/>
      <c r="K249" s="66"/>
      <c r="L249" s="66"/>
      <c r="M249" s="66"/>
      <c r="N249" s="66"/>
      <c r="O249" s="77"/>
      <c r="P249" s="66"/>
      <c r="Q249" s="66"/>
      <c r="R249" s="71"/>
      <c r="S249" s="71"/>
      <c r="T249" s="71"/>
      <c r="U249" s="71"/>
      <c r="V249" s="71"/>
      <c r="W249" s="71"/>
      <c r="X249" s="71"/>
    </row>
    <row r="250" spans="7:24" ht="12.75">
      <c r="G250" s="66"/>
      <c r="H250" s="66"/>
      <c r="I250" s="66"/>
      <c r="J250" s="66"/>
      <c r="K250" s="66"/>
      <c r="L250" s="66"/>
      <c r="M250" s="66"/>
      <c r="N250" s="66"/>
      <c r="O250" s="77"/>
      <c r="P250" s="66"/>
      <c r="Q250" s="66"/>
      <c r="R250" s="71"/>
      <c r="S250" s="71"/>
      <c r="T250" s="71"/>
      <c r="U250" s="71"/>
      <c r="V250" s="71"/>
      <c r="W250" s="71"/>
      <c r="X250" s="71"/>
    </row>
    <row r="251" spans="7:24" ht="12.75">
      <c r="G251" s="66"/>
      <c r="H251" s="66"/>
      <c r="I251" s="66"/>
      <c r="J251" s="66"/>
      <c r="K251" s="66"/>
      <c r="L251" s="66"/>
      <c r="M251" s="66"/>
      <c r="N251" s="66"/>
      <c r="O251" s="77"/>
      <c r="P251" s="66"/>
      <c r="Q251" s="66"/>
      <c r="R251" s="71"/>
      <c r="S251" s="71"/>
      <c r="T251" s="71"/>
      <c r="U251" s="71"/>
      <c r="V251" s="71"/>
      <c r="W251" s="71"/>
      <c r="X251" s="71"/>
    </row>
    <row r="252" spans="7:24" ht="12.75">
      <c r="G252" s="66"/>
      <c r="H252" s="66"/>
      <c r="I252" s="66"/>
      <c r="J252" s="66"/>
      <c r="K252" s="66"/>
      <c r="L252" s="66"/>
      <c r="M252" s="66"/>
      <c r="N252" s="66"/>
      <c r="O252" s="77"/>
      <c r="P252" s="66"/>
      <c r="Q252" s="66"/>
      <c r="R252" s="71"/>
      <c r="S252" s="71"/>
      <c r="T252" s="71"/>
      <c r="U252" s="71"/>
      <c r="V252" s="71"/>
      <c r="W252" s="71"/>
      <c r="X252" s="71"/>
    </row>
    <row r="253" spans="7:24" ht="12.75">
      <c r="G253" s="66"/>
      <c r="H253" s="66"/>
      <c r="I253" s="66"/>
      <c r="J253" s="66"/>
      <c r="K253" s="66"/>
      <c r="L253" s="66"/>
      <c r="M253" s="66"/>
      <c r="N253" s="66"/>
      <c r="O253" s="77"/>
      <c r="P253" s="66"/>
      <c r="Q253" s="66"/>
      <c r="R253" s="71"/>
      <c r="S253" s="71"/>
      <c r="T253" s="71"/>
      <c r="U253" s="71"/>
      <c r="V253" s="71"/>
      <c r="W253" s="71"/>
      <c r="X253" s="71"/>
    </row>
    <row r="254" spans="7:24" ht="12.75">
      <c r="G254" s="66"/>
      <c r="H254" s="66"/>
      <c r="I254" s="66"/>
      <c r="J254" s="66"/>
      <c r="K254" s="66"/>
      <c r="L254" s="66"/>
      <c r="M254" s="66"/>
      <c r="N254" s="66"/>
      <c r="O254" s="77"/>
      <c r="P254" s="66"/>
      <c r="Q254" s="66"/>
      <c r="R254" s="71"/>
      <c r="S254" s="71"/>
      <c r="T254" s="71"/>
      <c r="U254" s="71"/>
      <c r="V254" s="71"/>
      <c r="W254" s="71"/>
      <c r="X254" s="71"/>
    </row>
    <row r="255" spans="7:24" ht="12.75">
      <c r="G255" s="66"/>
      <c r="H255" s="66"/>
      <c r="I255" s="66"/>
      <c r="J255" s="66"/>
      <c r="K255" s="66"/>
      <c r="L255" s="66"/>
      <c r="M255" s="66"/>
      <c r="N255" s="66"/>
      <c r="O255" s="77"/>
      <c r="P255" s="66"/>
      <c r="Q255" s="66"/>
      <c r="R255" s="71"/>
      <c r="S255" s="71"/>
      <c r="T255" s="71"/>
      <c r="U255" s="71"/>
      <c r="V255" s="71"/>
      <c r="W255" s="71"/>
      <c r="X255" s="71"/>
    </row>
    <row r="256" spans="7:24" ht="12.75">
      <c r="G256" s="66"/>
      <c r="H256" s="66"/>
      <c r="I256" s="66"/>
      <c r="J256" s="66"/>
      <c r="K256" s="66"/>
      <c r="L256" s="66"/>
      <c r="M256" s="66"/>
      <c r="N256" s="66"/>
      <c r="O256" s="77"/>
      <c r="P256" s="66"/>
      <c r="Q256" s="66"/>
      <c r="R256" s="71"/>
      <c r="S256" s="71"/>
      <c r="T256" s="71"/>
      <c r="U256" s="71"/>
      <c r="V256" s="71"/>
      <c r="W256" s="71"/>
      <c r="X256" s="71"/>
    </row>
    <row r="257" spans="7:24" ht="12.75">
      <c r="G257" s="66"/>
      <c r="H257" s="66"/>
      <c r="I257" s="66"/>
      <c r="J257" s="66"/>
      <c r="K257" s="66"/>
      <c r="L257" s="66"/>
      <c r="M257" s="66"/>
      <c r="N257" s="66"/>
      <c r="O257" s="77"/>
      <c r="P257" s="66"/>
      <c r="Q257" s="66"/>
      <c r="R257" s="71"/>
      <c r="S257" s="71"/>
      <c r="T257" s="71"/>
      <c r="U257" s="71"/>
      <c r="V257" s="71"/>
      <c r="W257" s="71"/>
      <c r="X257" s="71"/>
    </row>
    <row r="258" spans="7:24" ht="12.75">
      <c r="G258" s="66"/>
      <c r="H258" s="66"/>
      <c r="I258" s="66"/>
      <c r="J258" s="66"/>
      <c r="K258" s="66"/>
      <c r="L258" s="66"/>
      <c r="M258" s="66"/>
      <c r="N258" s="66"/>
      <c r="O258" s="77"/>
      <c r="P258" s="66"/>
      <c r="Q258" s="66"/>
      <c r="R258" s="71"/>
      <c r="S258" s="71"/>
      <c r="T258" s="71"/>
      <c r="U258" s="71"/>
      <c r="V258" s="71"/>
      <c r="W258" s="71"/>
      <c r="X258" s="71"/>
    </row>
    <row r="259" spans="7:24" ht="12.75">
      <c r="G259" s="66"/>
      <c r="H259" s="66"/>
      <c r="I259" s="66"/>
      <c r="J259" s="66"/>
      <c r="K259" s="66"/>
      <c r="L259" s="66"/>
      <c r="M259" s="66"/>
      <c r="N259" s="66"/>
      <c r="O259" s="77"/>
      <c r="P259" s="66"/>
      <c r="Q259" s="66"/>
      <c r="R259" s="71"/>
      <c r="S259" s="71"/>
      <c r="T259" s="71"/>
      <c r="U259" s="71"/>
      <c r="V259" s="71"/>
      <c r="W259" s="71"/>
      <c r="X259" s="71"/>
    </row>
    <row r="260" spans="7:24" ht="12.75">
      <c r="G260" s="66"/>
      <c r="H260" s="66"/>
      <c r="I260" s="66"/>
      <c r="J260" s="66"/>
      <c r="K260" s="66"/>
      <c r="L260" s="66"/>
      <c r="M260" s="66"/>
      <c r="N260" s="66"/>
      <c r="O260" s="77"/>
      <c r="P260" s="66"/>
      <c r="Q260" s="66"/>
      <c r="R260" s="71"/>
      <c r="S260" s="71"/>
      <c r="T260" s="71"/>
      <c r="U260" s="71"/>
      <c r="V260" s="71"/>
      <c r="W260" s="71"/>
      <c r="X260" s="71"/>
    </row>
    <row r="261" spans="7:24" ht="12.75">
      <c r="G261" s="66"/>
      <c r="H261" s="66"/>
      <c r="I261" s="66"/>
      <c r="J261" s="66"/>
      <c r="K261" s="66"/>
      <c r="L261" s="66"/>
      <c r="M261" s="66"/>
      <c r="N261" s="66"/>
      <c r="O261" s="77"/>
      <c r="P261" s="66"/>
      <c r="Q261" s="66"/>
      <c r="R261" s="71"/>
      <c r="S261" s="71"/>
      <c r="T261" s="71"/>
      <c r="U261" s="71"/>
      <c r="V261" s="71"/>
      <c r="W261" s="71"/>
      <c r="X261" s="71"/>
    </row>
    <row r="262" spans="7:24" ht="12.75">
      <c r="G262" s="66"/>
      <c r="H262" s="66"/>
      <c r="I262" s="66"/>
      <c r="J262" s="66"/>
      <c r="K262" s="66"/>
      <c r="L262" s="66"/>
      <c r="M262" s="66"/>
      <c r="N262" s="66"/>
      <c r="O262" s="77"/>
      <c r="P262" s="66"/>
      <c r="Q262" s="66"/>
      <c r="R262" s="71"/>
      <c r="S262" s="71"/>
      <c r="T262" s="71"/>
      <c r="U262" s="71"/>
      <c r="V262" s="71"/>
      <c r="W262" s="71"/>
      <c r="X262" s="71"/>
    </row>
    <row r="263" spans="7:24" ht="12.75">
      <c r="G263" s="66"/>
      <c r="H263" s="66"/>
      <c r="I263" s="66"/>
      <c r="J263" s="66"/>
      <c r="K263" s="66"/>
      <c r="L263" s="66"/>
      <c r="M263" s="66"/>
      <c r="N263" s="66"/>
      <c r="O263" s="77"/>
      <c r="P263" s="66"/>
      <c r="Q263" s="66"/>
      <c r="R263" s="71"/>
      <c r="S263" s="71"/>
      <c r="T263" s="71"/>
      <c r="U263" s="71"/>
      <c r="V263" s="71"/>
      <c r="W263" s="71"/>
      <c r="X263" s="71"/>
    </row>
    <row r="264" spans="7:24" ht="12.75">
      <c r="G264" s="66"/>
      <c r="H264" s="66"/>
      <c r="I264" s="66"/>
      <c r="J264" s="66"/>
      <c r="K264" s="66"/>
      <c r="L264" s="66"/>
      <c r="M264" s="66"/>
      <c r="N264" s="66"/>
      <c r="O264" s="77"/>
      <c r="P264" s="66"/>
      <c r="Q264" s="66"/>
      <c r="R264" s="71"/>
      <c r="S264" s="71"/>
      <c r="T264" s="71"/>
      <c r="U264" s="71"/>
      <c r="V264" s="71"/>
      <c r="W264" s="71"/>
      <c r="X264" s="71"/>
    </row>
    <row r="265" spans="7:24" ht="12.75">
      <c r="G265" s="66"/>
      <c r="H265" s="66"/>
      <c r="I265" s="66"/>
      <c r="J265" s="66"/>
      <c r="K265" s="66"/>
      <c r="L265" s="66"/>
      <c r="M265" s="66"/>
      <c r="N265" s="66"/>
      <c r="O265" s="77"/>
      <c r="P265" s="66"/>
      <c r="Q265" s="66"/>
      <c r="R265" s="71"/>
      <c r="S265" s="71"/>
      <c r="T265" s="71"/>
      <c r="U265" s="71"/>
      <c r="V265" s="71"/>
      <c r="W265" s="71"/>
      <c r="X265" s="71"/>
    </row>
    <row r="266" spans="7:24" ht="12.75">
      <c r="G266" s="66"/>
      <c r="H266" s="66"/>
      <c r="I266" s="66"/>
      <c r="J266" s="66"/>
      <c r="K266" s="66"/>
      <c r="L266" s="66"/>
      <c r="M266" s="66"/>
      <c r="N266" s="66"/>
      <c r="O266" s="77"/>
      <c r="P266" s="66"/>
      <c r="Q266" s="66"/>
      <c r="R266" s="71"/>
      <c r="S266" s="71"/>
      <c r="T266" s="71"/>
      <c r="U266" s="71"/>
      <c r="V266" s="71"/>
      <c r="W266" s="71"/>
      <c r="X266" s="71"/>
    </row>
    <row r="267" spans="7:24" ht="12.75">
      <c r="G267" s="66"/>
      <c r="H267" s="66"/>
      <c r="I267" s="66"/>
      <c r="J267" s="66"/>
      <c r="K267" s="66"/>
      <c r="L267" s="66"/>
      <c r="M267" s="66"/>
      <c r="N267" s="66"/>
      <c r="O267" s="77"/>
      <c r="P267" s="66"/>
      <c r="Q267" s="66"/>
      <c r="R267" s="71"/>
      <c r="S267" s="71"/>
      <c r="T267" s="71"/>
      <c r="U267" s="71"/>
      <c r="V267" s="71"/>
      <c r="W267" s="71"/>
      <c r="X267" s="71"/>
    </row>
    <row r="268" spans="7:24" ht="12.75">
      <c r="G268" s="66"/>
      <c r="H268" s="66"/>
      <c r="I268" s="66"/>
      <c r="J268" s="66"/>
      <c r="K268" s="66"/>
      <c r="L268" s="66"/>
      <c r="M268" s="66"/>
      <c r="N268" s="66"/>
      <c r="O268" s="77"/>
      <c r="P268" s="66"/>
      <c r="Q268" s="66"/>
      <c r="R268" s="71"/>
      <c r="S268" s="71"/>
      <c r="T268" s="71"/>
      <c r="U268" s="71"/>
      <c r="V268" s="71"/>
      <c r="W268" s="71"/>
      <c r="X268" s="71"/>
    </row>
    <row r="269" spans="7:24" ht="12.75">
      <c r="G269" s="66"/>
      <c r="H269" s="66"/>
      <c r="I269" s="66"/>
      <c r="J269" s="66"/>
      <c r="K269" s="66"/>
      <c r="L269" s="66"/>
      <c r="M269" s="66"/>
      <c r="N269" s="66"/>
      <c r="O269" s="77"/>
      <c r="P269" s="66"/>
      <c r="Q269" s="66"/>
      <c r="R269" s="71"/>
      <c r="S269" s="71"/>
      <c r="T269" s="71"/>
      <c r="U269" s="71"/>
      <c r="V269" s="71"/>
      <c r="W269" s="71"/>
      <c r="X269" s="71"/>
    </row>
    <row r="270" spans="7:24" ht="12.75">
      <c r="G270" s="66"/>
      <c r="H270" s="66"/>
      <c r="I270" s="66"/>
      <c r="J270" s="66"/>
      <c r="K270" s="66"/>
      <c r="L270" s="66"/>
      <c r="M270" s="66"/>
      <c r="N270" s="66"/>
      <c r="O270" s="77"/>
      <c r="P270" s="66"/>
      <c r="Q270" s="66"/>
      <c r="R270" s="71"/>
      <c r="S270" s="71"/>
      <c r="T270" s="71"/>
      <c r="U270" s="71"/>
      <c r="V270" s="71"/>
      <c r="W270" s="71"/>
      <c r="X270" s="71"/>
    </row>
    <row r="271" spans="7:24" ht="12.75">
      <c r="G271" s="66"/>
      <c r="H271" s="66"/>
      <c r="I271" s="66"/>
      <c r="J271" s="66"/>
      <c r="K271" s="66"/>
      <c r="L271" s="66"/>
      <c r="M271" s="66"/>
      <c r="N271" s="66"/>
      <c r="O271" s="77"/>
      <c r="P271" s="66"/>
      <c r="Q271" s="66"/>
      <c r="R271" s="71"/>
      <c r="S271" s="71"/>
      <c r="T271" s="71"/>
      <c r="U271" s="71"/>
      <c r="V271" s="71"/>
      <c r="W271" s="71"/>
      <c r="X271" s="71"/>
    </row>
    <row r="272" spans="7:24" ht="12.75">
      <c r="G272" s="66"/>
      <c r="H272" s="66"/>
      <c r="I272" s="66"/>
      <c r="J272" s="66"/>
      <c r="K272" s="66"/>
      <c r="L272" s="66"/>
      <c r="M272" s="66"/>
      <c r="N272" s="66"/>
      <c r="O272" s="77"/>
      <c r="P272" s="66"/>
      <c r="Q272" s="66"/>
      <c r="R272" s="71"/>
      <c r="S272" s="71"/>
      <c r="T272" s="71"/>
      <c r="U272" s="71"/>
      <c r="V272" s="71"/>
      <c r="W272" s="71"/>
      <c r="X272" s="71"/>
    </row>
    <row r="273" spans="7:24" ht="12.75">
      <c r="G273" s="66"/>
      <c r="H273" s="66"/>
      <c r="I273" s="66"/>
      <c r="J273" s="66"/>
      <c r="K273" s="66"/>
      <c r="L273" s="66"/>
      <c r="M273" s="66"/>
      <c r="N273" s="66"/>
      <c r="O273" s="77"/>
      <c r="P273" s="66"/>
      <c r="Q273" s="66"/>
      <c r="R273" s="71"/>
      <c r="S273" s="71"/>
      <c r="T273" s="71"/>
      <c r="U273" s="71"/>
      <c r="V273" s="71"/>
      <c r="W273" s="71"/>
      <c r="X273" s="71"/>
    </row>
    <row r="274" spans="7:24" ht="12.75">
      <c r="G274" s="66"/>
      <c r="H274" s="66"/>
      <c r="I274" s="66"/>
      <c r="J274" s="66"/>
      <c r="K274" s="66"/>
      <c r="L274" s="66"/>
      <c r="M274" s="66"/>
      <c r="N274" s="66"/>
      <c r="O274" s="77"/>
      <c r="P274" s="66"/>
      <c r="Q274" s="66"/>
      <c r="R274" s="71"/>
      <c r="S274" s="71"/>
      <c r="T274" s="71"/>
      <c r="U274" s="71"/>
      <c r="V274" s="71"/>
      <c r="W274" s="71"/>
      <c r="X274" s="71"/>
    </row>
    <row r="275" spans="7:24" ht="12.75">
      <c r="G275" s="66"/>
      <c r="H275" s="66"/>
      <c r="I275" s="66"/>
      <c r="J275" s="66"/>
      <c r="K275" s="66"/>
      <c r="L275" s="66"/>
      <c r="M275" s="66"/>
      <c r="N275" s="66"/>
      <c r="O275" s="77"/>
      <c r="P275" s="66"/>
      <c r="Q275" s="66"/>
      <c r="R275" s="71"/>
      <c r="S275" s="71"/>
      <c r="T275" s="71"/>
      <c r="U275" s="71"/>
      <c r="V275" s="71"/>
      <c r="W275" s="71"/>
      <c r="X275" s="71"/>
    </row>
    <row r="276" spans="7:24" ht="12.75">
      <c r="G276" s="66"/>
      <c r="H276" s="66"/>
      <c r="I276" s="66"/>
      <c r="J276" s="66"/>
      <c r="K276" s="66"/>
      <c r="L276" s="66"/>
      <c r="M276" s="66"/>
      <c r="N276" s="66"/>
      <c r="O276" s="77"/>
      <c r="P276" s="66"/>
      <c r="Q276" s="66"/>
      <c r="R276" s="71"/>
      <c r="S276" s="71"/>
      <c r="T276" s="71"/>
      <c r="U276" s="71"/>
      <c r="V276" s="71"/>
      <c r="W276" s="71"/>
      <c r="X276" s="71"/>
    </row>
    <row r="277" spans="7:24" ht="12.75">
      <c r="G277" s="66"/>
      <c r="H277" s="66"/>
      <c r="I277" s="66"/>
      <c r="J277" s="66"/>
      <c r="K277" s="66"/>
      <c r="L277" s="66"/>
      <c r="M277" s="66"/>
      <c r="N277" s="66"/>
      <c r="O277" s="77"/>
      <c r="P277" s="66"/>
      <c r="Q277" s="66"/>
      <c r="R277" s="71"/>
      <c r="S277" s="71"/>
      <c r="T277" s="71"/>
      <c r="U277" s="71"/>
      <c r="V277" s="71"/>
      <c r="W277" s="71"/>
      <c r="X277" s="71"/>
    </row>
    <row r="278" spans="7:24" ht="12.75">
      <c r="G278" s="66"/>
      <c r="H278" s="66"/>
      <c r="I278" s="66"/>
      <c r="J278" s="66"/>
      <c r="K278" s="66"/>
      <c r="L278" s="66"/>
      <c r="M278" s="66"/>
      <c r="N278" s="66"/>
      <c r="O278" s="77"/>
      <c r="P278" s="66"/>
      <c r="Q278" s="66"/>
      <c r="R278" s="71"/>
      <c r="S278" s="71"/>
      <c r="T278" s="71"/>
      <c r="U278" s="71"/>
      <c r="V278" s="71"/>
      <c r="W278" s="71"/>
      <c r="X278" s="71"/>
    </row>
    <row r="279" spans="7:24" ht="12.75">
      <c r="G279" s="66"/>
      <c r="H279" s="66"/>
      <c r="I279" s="66"/>
      <c r="J279" s="66"/>
      <c r="K279" s="66"/>
      <c r="L279" s="66"/>
      <c r="M279" s="66"/>
      <c r="N279" s="66"/>
      <c r="O279" s="77"/>
      <c r="P279" s="66"/>
      <c r="Q279" s="66"/>
      <c r="R279" s="71"/>
      <c r="S279" s="71"/>
      <c r="T279" s="71"/>
      <c r="U279" s="71"/>
      <c r="V279" s="71"/>
      <c r="W279" s="71"/>
      <c r="X279" s="71"/>
    </row>
    <row r="280" spans="7:24" ht="12.75">
      <c r="G280" s="66"/>
      <c r="H280" s="66"/>
      <c r="I280" s="66"/>
      <c r="J280" s="66"/>
      <c r="K280" s="66"/>
      <c r="L280" s="66"/>
      <c r="M280" s="66"/>
      <c r="N280" s="66"/>
      <c r="O280" s="77"/>
      <c r="P280" s="66"/>
      <c r="Q280" s="66"/>
      <c r="R280" s="71"/>
      <c r="S280" s="71"/>
      <c r="T280" s="71"/>
      <c r="U280" s="71"/>
      <c r="V280" s="71"/>
      <c r="W280" s="71"/>
      <c r="X280" s="71"/>
    </row>
    <row r="281" spans="7:24" ht="12.75">
      <c r="G281" s="66"/>
      <c r="H281" s="66"/>
      <c r="I281" s="66"/>
      <c r="J281" s="66"/>
      <c r="K281" s="66"/>
      <c r="L281" s="66"/>
      <c r="M281" s="66"/>
      <c r="N281" s="66"/>
      <c r="O281" s="77"/>
      <c r="P281" s="66"/>
      <c r="Q281" s="66"/>
      <c r="R281" s="71"/>
      <c r="S281" s="71"/>
      <c r="T281" s="71"/>
      <c r="U281" s="71"/>
      <c r="V281" s="71"/>
      <c r="W281" s="71"/>
      <c r="X281" s="71"/>
    </row>
    <row r="282" spans="7:24" ht="12.75">
      <c r="G282" s="66"/>
      <c r="H282" s="66"/>
      <c r="I282" s="66"/>
      <c r="J282" s="66"/>
      <c r="K282" s="66"/>
      <c r="L282" s="66"/>
      <c r="M282" s="66"/>
      <c r="N282" s="66"/>
      <c r="O282" s="77"/>
      <c r="P282" s="66"/>
      <c r="Q282" s="66"/>
      <c r="R282" s="71"/>
      <c r="S282" s="71"/>
      <c r="T282" s="71"/>
      <c r="U282" s="71"/>
      <c r="V282" s="71"/>
      <c r="W282" s="71"/>
      <c r="X282" s="71"/>
    </row>
    <row r="283" spans="18:24" ht="12.75">
      <c r="R283" s="71"/>
      <c r="S283" s="71"/>
      <c r="T283" s="71"/>
      <c r="U283" s="71"/>
      <c r="V283" s="71"/>
      <c r="W283" s="71"/>
      <c r="X283" s="71"/>
    </row>
    <row r="284" spans="18:24" ht="12.75">
      <c r="R284" s="71"/>
      <c r="S284" s="71"/>
      <c r="T284" s="71"/>
      <c r="U284" s="71"/>
      <c r="V284" s="71"/>
      <c r="W284" s="71"/>
      <c r="X284" s="71"/>
    </row>
    <row r="285" spans="18:24" ht="12.75">
      <c r="R285" s="71"/>
      <c r="S285" s="71"/>
      <c r="T285" s="71"/>
      <c r="U285" s="71"/>
      <c r="V285" s="71"/>
      <c r="W285" s="71"/>
      <c r="X285" s="71"/>
    </row>
    <row r="286" spans="18:24" ht="12.75">
      <c r="R286" s="71"/>
      <c r="S286" s="71"/>
      <c r="T286" s="71"/>
      <c r="U286" s="71"/>
      <c r="V286" s="71"/>
      <c r="W286" s="71"/>
      <c r="X286" s="71"/>
    </row>
    <row r="287" spans="18:24" ht="12.75">
      <c r="R287" s="71"/>
      <c r="S287" s="71"/>
      <c r="T287" s="71"/>
      <c r="U287" s="71"/>
      <c r="V287" s="71"/>
      <c r="W287" s="71"/>
      <c r="X287" s="71"/>
    </row>
    <row r="288" spans="18:24" ht="12.75">
      <c r="R288" s="71"/>
      <c r="S288" s="71"/>
      <c r="T288" s="71"/>
      <c r="U288" s="71"/>
      <c r="V288" s="71"/>
      <c r="W288" s="71"/>
      <c r="X288" s="71"/>
    </row>
    <row r="289" spans="18:24" ht="12.75">
      <c r="R289" s="71"/>
      <c r="S289" s="71"/>
      <c r="T289" s="71"/>
      <c r="U289" s="71"/>
      <c r="V289" s="71"/>
      <c r="W289" s="71"/>
      <c r="X289" s="71"/>
    </row>
    <row r="290" spans="18:24" ht="12.75">
      <c r="R290" s="71"/>
      <c r="S290" s="71"/>
      <c r="T290" s="71"/>
      <c r="U290" s="71"/>
      <c r="V290" s="71"/>
      <c r="W290" s="71"/>
      <c r="X290" s="71"/>
    </row>
    <row r="291" spans="18:24" ht="12.75">
      <c r="R291" s="71"/>
      <c r="S291" s="71"/>
      <c r="T291" s="71"/>
      <c r="U291" s="71"/>
      <c r="V291" s="71"/>
      <c r="W291" s="71"/>
      <c r="X291" s="71"/>
    </row>
    <row r="292" spans="18:24" ht="12.75">
      <c r="R292" s="71"/>
      <c r="S292" s="71"/>
      <c r="T292" s="71"/>
      <c r="U292" s="71"/>
      <c r="V292" s="71"/>
      <c r="W292" s="71"/>
      <c r="X292" s="71"/>
    </row>
    <row r="293" spans="18:24" ht="12.75">
      <c r="R293" s="71"/>
      <c r="S293" s="71"/>
      <c r="T293" s="71"/>
      <c r="U293" s="71"/>
      <c r="V293" s="71"/>
      <c r="W293" s="71"/>
      <c r="X293" s="71"/>
    </row>
    <row r="294" spans="18:24" ht="12.75">
      <c r="R294" s="71"/>
      <c r="S294" s="71"/>
      <c r="T294" s="71"/>
      <c r="U294" s="71"/>
      <c r="V294" s="71"/>
      <c r="W294" s="71"/>
      <c r="X294" s="71"/>
    </row>
    <row r="295" spans="18:24" ht="12.75">
      <c r="R295" s="71"/>
      <c r="S295" s="71"/>
      <c r="T295" s="71"/>
      <c r="U295" s="71"/>
      <c r="V295" s="71"/>
      <c r="W295" s="71"/>
      <c r="X295" s="71"/>
    </row>
    <row r="296" spans="18:24" ht="12.75">
      <c r="R296" s="71"/>
      <c r="S296" s="71"/>
      <c r="T296" s="71"/>
      <c r="U296" s="71"/>
      <c r="V296" s="71"/>
      <c r="W296" s="71"/>
      <c r="X296" s="71"/>
    </row>
    <row r="297" spans="18:24" ht="12.75">
      <c r="R297" s="71"/>
      <c r="S297" s="71"/>
      <c r="T297" s="71"/>
      <c r="U297" s="71"/>
      <c r="V297" s="71"/>
      <c r="W297" s="71"/>
      <c r="X297" s="71"/>
    </row>
    <row r="298" spans="18:24" ht="12.75">
      <c r="R298" s="71"/>
      <c r="S298" s="71"/>
      <c r="T298" s="71"/>
      <c r="U298" s="71"/>
      <c r="V298" s="71"/>
      <c r="W298" s="71"/>
      <c r="X298" s="71"/>
    </row>
    <row r="299" spans="18:24" ht="12.75">
      <c r="R299" s="71"/>
      <c r="S299" s="71"/>
      <c r="T299" s="71"/>
      <c r="U299" s="71"/>
      <c r="V299" s="71"/>
      <c r="W299" s="71"/>
      <c r="X299" s="71"/>
    </row>
    <row r="300" spans="18:24" ht="12.75">
      <c r="R300" s="71"/>
      <c r="S300" s="71"/>
      <c r="T300" s="71"/>
      <c r="U300" s="71"/>
      <c r="V300" s="71"/>
      <c r="W300" s="71"/>
      <c r="X300" s="71"/>
    </row>
    <row r="301" spans="18:24" ht="12.75">
      <c r="R301" s="71"/>
      <c r="S301" s="71"/>
      <c r="T301" s="71"/>
      <c r="U301" s="71"/>
      <c r="V301" s="71"/>
      <c r="W301" s="71"/>
      <c r="X301" s="71"/>
    </row>
    <row r="302" spans="18:24" ht="12.75">
      <c r="R302" s="71"/>
      <c r="S302" s="71"/>
      <c r="T302" s="71"/>
      <c r="U302" s="71"/>
      <c r="V302" s="71"/>
      <c r="W302" s="71"/>
      <c r="X302" s="71"/>
    </row>
    <row r="303" spans="18:24" ht="12.75">
      <c r="R303" s="71"/>
      <c r="S303" s="71"/>
      <c r="T303" s="71"/>
      <c r="U303" s="71"/>
      <c r="V303" s="71"/>
      <c r="W303" s="71"/>
      <c r="X303" s="71"/>
    </row>
    <row r="304" spans="18:24" ht="12.75">
      <c r="R304" s="71"/>
      <c r="S304" s="71"/>
      <c r="T304" s="71"/>
      <c r="U304" s="71"/>
      <c r="V304" s="71"/>
      <c r="W304" s="71"/>
      <c r="X304" s="71"/>
    </row>
    <row r="305" spans="18:24" ht="12.75">
      <c r="R305" s="71"/>
      <c r="S305" s="71"/>
      <c r="T305" s="71"/>
      <c r="U305" s="71"/>
      <c r="V305" s="71"/>
      <c r="W305" s="71"/>
      <c r="X305" s="71"/>
    </row>
    <row r="306" spans="18:24" ht="12.75">
      <c r="R306" s="71"/>
      <c r="S306" s="71"/>
      <c r="T306" s="71"/>
      <c r="U306" s="71"/>
      <c r="V306" s="71"/>
      <c r="W306" s="71"/>
      <c r="X306" s="71"/>
    </row>
    <row r="307" spans="18:24" ht="12.75">
      <c r="R307" s="71"/>
      <c r="S307" s="71"/>
      <c r="T307" s="71"/>
      <c r="U307" s="71"/>
      <c r="V307" s="71"/>
      <c r="W307" s="71"/>
      <c r="X307" s="71"/>
    </row>
    <row r="308" spans="18:24" ht="12.75">
      <c r="R308" s="71"/>
      <c r="S308" s="71"/>
      <c r="T308" s="71"/>
      <c r="U308" s="71"/>
      <c r="V308" s="71"/>
      <c r="W308" s="71"/>
      <c r="X308" s="71"/>
    </row>
    <row r="309" spans="18:24" ht="12.75">
      <c r="R309" s="71"/>
      <c r="S309" s="71"/>
      <c r="T309" s="71"/>
      <c r="U309" s="71"/>
      <c r="V309" s="71"/>
      <c r="W309" s="71"/>
      <c r="X309" s="71"/>
    </row>
    <row r="310" spans="18:24" ht="12.75">
      <c r="R310" s="71"/>
      <c r="S310" s="71"/>
      <c r="T310" s="71"/>
      <c r="U310" s="71"/>
      <c r="V310" s="71"/>
      <c r="W310" s="71"/>
      <c r="X310" s="71"/>
    </row>
    <row r="311" spans="18:24" ht="12.75">
      <c r="R311" s="71"/>
      <c r="S311" s="71"/>
      <c r="T311" s="71"/>
      <c r="U311" s="71"/>
      <c r="V311" s="71"/>
      <c r="W311" s="71"/>
      <c r="X311" s="71"/>
    </row>
    <row r="312" spans="18:24" ht="12.75">
      <c r="R312" s="71"/>
      <c r="S312" s="71"/>
      <c r="T312" s="71"/>
      <c r="U312" s="71"/>
      <c r="V312" s="71"/>
      <c r="W312" s="71"/>
      <c r="X312" s="71"/>
    </row>
    <row r="313" spans="18:24" ht="12.75">
      <c r="R313" s="71"/>
      <c r="S313" s="71"/>
      <c r="T313" s="71"/>
      <c r="U313" s="71"/>
      <c r="V313" s="71"/>
      <c r="W313" s="71"/>
      <c r="X313" s="71"/>
    </row>
    <row r="314" spans="18:24" ht="12.75">
      <c r="R314" s="71"/>
      <c r="S314" s="71"/>
      <c r="T314" s="71"/>
      <c r="U314" s="71"/>
      <c r="V314" s="71"/>
      <c r="W314" s="71"/>
      <c r="X314" s="71"/>
    </row>
    <row r="315" spans="18:24" ht="12.75">
      <c r="R315" s="71"/>
      <c r="S315" s="71"/>
      <c r="T315" s="71"/>
      <c r="U315" s="71"/>
      <c r="V315" s="71"/>
      <c r="W315" s="71"/>
      <c r="X315" s="71"/>
    </row>
    <row r="316" spans="18:24" ht="12.75">
      <c r="R316" s="71"/>
      <c r="S316" s="71"/>
      <c r="T316" s="71"/>
      <c r="U316" s="71"/>
      <c r="V316" s="71"/>
      <c r="W316" s="71"/>
      <c r="X316" s="71"/>
    </row>
    <row r="317" spans="18:24" ht="12.75">
      <c r="R317" s="71"/>
      <c r="S317" s="71"/>
      <c r="T317" s="71"/>
      <c r="U317" s="71"/>
      <c r="V317" s="71"/>
      <c r="W317" s="71"/>
      <c r="X317" s="71"/>
    </row>
    <row r="318" spans="18:24" ht="12.75">
      <c r="R318" s="71"/>
      <c r="S318" s="71"/>
      <c r="T318" s="71"/>
      <c r="U318" s="71"/>
      <c r="V318" s="71"/>
      <c r="W318" s="71"/>
      <c r="X318" s="71"/>
    </row>
    <row r="319" spans="18:24" ht="12.75">
      <c r="R319" s="71"/>
      <c r="S319" s="71"/>
      <c r="T319" s="71"/>
      <c r="U319" s="71"/>
      <c r="V319" s="71"/>
      <c r="W319" s="71"/>
      <c r="X319" s="71"/>
    </row>
    <row r="320" spans="18:24" ht="12.75">
      <c r="R320" s="71"/>
      <c r="S320" s="71"/>
      <c r="T320" s="71"/>
      <c r="U320" s="71"/>
      <c r="V320" s="71"/>
      <c r="W320" s="71"/>
      <c r="X320" s="71"/>
    </row>
    <row r="321" spans="18:24" ht="12.75">
      <c r="R321" s="71"/>
      <c r="S321" s="71"/>
      <c r="T321" s="71"/>
      <c r="U321" s="71"/>
      <c r="V321" s="71"/>
      <c r="W321" s="71"/>
      <c r="X321" s="71"/>
    </row>
    <row r="322" spans="18:24" ht="12.75">
      <c r="R322" s="71"/>
      <c r="S322" s="71"/>
      <c r="T322" s="71"/>
      <c r="U322" s="71"/>
      <c r="V322" s="71"/>
      <c r="W322" s="71"/>
      <c r="X322" s="71"/>
    </row>
    <row r="323" spans="18:24" ht="12.75">
      <c r="R323" s="71"/>
      <c r="S323" s="71"/>
      <c r="T323" s="71"/>
      <c r="U323" s="71"/>
      <c r="V323" s="71"/>
      <c r="W323" s="71"/>
      <c r="X323" s="71"/>
    </row>
    <row r="324" spans="18:24" ht="12.75">
      <c r="R324" s="71"/>
      <c r="S324" s="71"/>
      <c r="T324" s="71"/>
      <c r="U324" s="71"/>
      <c r="V324" s="71"/>
      <c r="W324" s="71"/>
      <c r="X324" s="71"/>
    </row>
    <row r="325" spans="18:24" ht="12.75">
      <c r="R325" s="71"/>
      <c r="S325" s="71"/>
      <c r="T325" s="71"/>
      <c r="U325" s="71"/>
      <c r="V325" s="71"/>
      <c r="W325" s="71"/>
      <c r="X325" s="71"/>
    </row>
    <row r="326" spans="18:24" ht="12.75">
      <c r="R326" s="71"/>
      <c r="S326" s="71"/>
      <c r="T326" s="71"/>
      <c r="U326" s="71"/>
      <c r="V326" s="71"/>
      <c r="W326" s="71"/>
      <c r="X326" s="71"/>
    </row>
    <row r="327" spans="18:24" ht="12.75">
      <c r="R327" s="71"/>
      <c r="S327" s="71"/>
      <c r="T327" s="71"/>
      <c r="U327" s="71"/>
      <c r="V327" s="71"/>
      <c r="W327" s="71"/>
      <c r="X327" s="71"/>
    </row>
    <row r="328" spans="18:24" ht="12.75">
      <c r="R328" s="71"/>
      <c r="S328" s="71"/>
      <c r="T328" s="71"/>
      <c r="U328" s="71"/>
      <c r="V328" s="71"/>
      <c r="W328" s="71"/>
      <c r="X328" s="71"/>
    </row>
    <row r="329" spans="18:24" ht="12.75">
      <c r="R329" s="71"/>
      <c r="S329" s="71"/>
      <c r="T329" s="71"/>
      <c r="U329" s="71"/>
      <c r="V329" s="71"/>
      <c r="W329" s="71"/>
      <c r="X329" s="71"/>
    </row>
    <row r="330" spans="18:24" ht="12.75">
      <c r="R330" s="71"/>
      <c r="S330" s="71"/>
      <c r="T330" s="71"/>
      <c r="U330" s="71"/>
      <c r="V330" s="71"/>
      <c r="W330" s="71"/>
      <c r="X330" s="71"/>
    </row>
    <row r="331" spans="18:24" ht="12.75">
      <c r="R331" s="71"/>
      <c r="S331" s="71"/>
      <c r="T331" s="71"/>
      <c r="U331" s="71"/>
      <c r="V331" s="71"/>
      <c r="W331" s="71"/>
      <c r="X331" s="71"/>
    </row>
    <row r="332" spans="18:24" ht="12.75">
      <c r="R332" s="71"/>
      <c r="S332" s="71"/>
      <c r="T332" s="71"/>
      <c r="U332" s="71"/>
      <c r="V332" s="71"/>
      <c r="W332" s="71"/>
      <c r="X332" s="71"/>
    </row>
    <row r="333" spans="18:24" ht="12.75">
      <c r="R333" s="71"/>
      <c r="S333" s="71"/>
      <c r="T333" s="71"/>
      <c r="U333" s="71"/>
      <c r="V333" s="71"/>
      <c r="W333" s="71"/>
      <c r="X333" s="71"/>
    </row>
    <row r="334" spans="18:24" ht="12.75">
      <c r="R334" s="71"/>
      <c r="S334" s="71"/>
      <c r="T334" s="71"/>
      <c r="U334" s="71"/>
      <c r="V334" s="71"/>
      <c r="W334" s="71"/>
      <c r="X334" s="71"/>
    </row>
    <row r="335" spans="18:24" ht="12.75">
      <c r="R335" s="71"/>
      <c r="S335" s="71"/>
      <c r="T335" s="71"/>
      <c r="U335" s="71"/>
      <c r="V335" s="71"/>
      <c r="W335" s="71"/>
      <c r="X335" s="71"/>
    </row>
    <row r="336" spans="18:24" ht="12.75">
      <c r="R336" s="71"/>
      <c r="S336" s="71"/>
      <c r="T336" s="71"/>
      <c r="U336" s="71"/>
      <c r="V336" s="71"/>
      <c r="W336" s="71"/>
      <c r="X336" s="71"/>
    </row>
    <row r="337" spans="18:24" ht="12.75">
      <c r="R337" s="71"/>
      <c r="S337" s="71"/>
      <c r="T337" s="71"/>
      <c r="U337" s="71"/>
      <c r="V337" s="71"/>
      <c r="W337" s="71"/>
      <c r="X337" s="71"/>
    </row>
    <row r="338" spans="18:24" ht="12.75">
      <c r="R338" s="71"/>
      <c r="S338" s="71"/>
      <c r="T338" s="71"/>
      <c r="U338" s="71"/>
      <c r="V338" s="71"/>
      <c r="W338" s="71"/>
      <c r="X338" s="71"/>
    </row>
    <row r="339" spans="18:24" ht="12.75">
      <c r="R339" s="71"/>
      <c r="S339" s="71"/>
      <c r="T339" s="71"/>
      <c r="U339" s="71"/>
      <c r="V339" s="71"/>
      <c r="W339" s="71"/>
      <c r="X339" s="71"/>
    </row>
    <row r="340" spans="18:24" ht="12.75">
      <c r="R340" s="71"/>
      <c r="S340" s="71"/>
      <c r="T340" s="71"/>
      <c r="U340" s="71"/>
      <c r="V340" s="71"/>
      <c r="W340" s="71"/>
      <c r="X340" s="71"/>
    </row>
    <row r="341" spans="18:24" ht="12.75">
      <c r="R341" s="71"/>
      <c r="S341" s="71"/>
      <c r="T341" s="71"/>
      <c r="U341" s="71"/>
      <c r="V341" s="71"/>
      <c r="W341" s="71"/>
      <c r="X341" s="71"/>
    </row>
    <row r="342" spans="18:24" ht="12.75">
      <c r="R342" s="71"/>
      <c r="S342" s="71"/>
      <c r="T342" s="71"/>
      <c r="U342" s="71"/>
      <c r="V342" s="71"/>
      <c r="W342" s="71"/>
      <c r="X342" s="71"/>
    </row>
    <row r="343" spans="18:24" ht="12.75">
      <c r="R343" s="71"/>
      <c r="S343" s="71"/>
      <c r="T343" s="71"/>
      <c r="U343" s="71"/>
      <c r="V343" s="71"/>
      <c r="W343" s="71"/>
      <c r="X343" s="71"/>
    </row>
    <row r="344" spans="18:24" ht="12.75">
      <c r="R344" s="71"/>
      <c r="S344" s="71"/>
      <c r="T344" s="71"/>
      <c r="U344" s="71"/>
      <c r="V344" s="71"/>
      <c r="W344" s="71"/>
      <c r="X344" s="71"/>
    </row>
    <row r="345" spans="18:24" ht="12.75">
      <c r="R345" s="71"/>
      <c r="S345" s="71"/>
      <c r="T345" s="71"/>
      <c r="U345" s="71"/>
      <c r="V345" s="71"/>
      <c r="W345" s="71"/>
      <c r="X345" s="71"/>
    </row>
    <row r="346" spans="18:24" ht="12.75">
      <c r="R346" s="71"/>
      <c r="S346" s="71"/>
      <c r="T346" s="71"/>
      <c r="U346" s="71"/>
      <c r="V346" s="71"/>
      <c r="W346" s="71"/>
      <c r="X346" s="71"/>
    </row>
    <row r="347" spans="18:24" ht="12.75">
      <c r="R347" s="71"/>
      <c r="S347" s="71"/>
      <c r="T347" s="71"/>
      <c r="U347" s="71"/>
      <c r="V347" s="71"/>
      <c r="W347" s="71"/>
      <c r="X347" s="71"/>
    </row>
    <row r="348" spans="18:24" ht="12.75">
      <c r="R348" s="71"/>
      <c r="S348" s="71"/>
      <c r="T348" s="71"/>
      <c r="U348" s="71"/>
      <c r="V348" s="71"/>
      <c r="W348" s="71"/>
      <c r="X348" s="71"/>
    </row>
    <row r="349" spans="18:24" ht="12.75">
      <c r="R349" s="71"/>
      <c r="S349" s="71"/>
      <c r="T349" s="71"/>
      <c r="U349" s="71"/>
      <c r="V349" s="71"/>
      <c r="W349" s="71"/>
      <c r="X349" s="71"/>
    </row>
    <row r="350" spans="18:24" ht="12.75">
      <c r="R350" s="71"/>
      <c r="S350" s="71"/>
      <c r="T350" s="71"/>
      <c r="U350" s="71"/>
      <c r="V350" s="71"/>
      <c r="W350" s="71"/>
      <c r="X350" s="71"/>
    </row>
    <row r="351" spans="18:24" ht="12.75">
      <c r="R351" s="71"/>
      <c r="S351" s="71"/>
      <c r="T351" s="71"/>
      <c r="U351" s="71"/>
      <c r="V351" s="71"/>
      <c r="W351" s="71"/>
      <c r="X351" s="71"/>
    </row>
    <row r="352" spans="18:24" ht="12.75">
      <c r="R352" s="71"/>
      <c r="S352" s="71"/>
      <c r="T352" s="71"/>
      <c r="U352" s="71"/>
      <c r="V352" s="71"/>
      <c r="W352" s="71"/>
      <c r="X352" s="71"/>
    </row>
    <row r="353" spans="18:24" ht="12.75">
      <c r="R353" s="71"/>
      <c r="S353" s="71"/>
      <c r="T353" s="71"/>
      <c r="U353" s="71"/>
      <c r="V353" s="71"/>
      <c r="W353" s="71"/>
      <c r="X353" s="71"/>
    </row>
    <row r="354" spans="18:24" ht="12.75">
      <c r="R354" s="71"/>
      <c r="S354" s="71"/>
      <c r="T354" s="71"/>
      <c r="U354" s="71"/>
      <c r="V354" s="71"/>
      <c r="W354" s="71"/>
      <c r="X354" s="71"/>
    </row>
    <row r="355" spans="18:24" ht="12.75">
      <c r="R355" s="71"/>
      <c r="S355" s="71"/>
      <c r="T355" s="71"/>
      <c r="U355" s="71"/>
      <c r="V355" s="71"/>
      <c r="W355" s="71"/>
      <c r="X355" s="71"/>
    </row>
    <row r="356" spans="18:24" ht="12.75">
      <c r="R356" s="71"/>
      <c r="S356" s="71"/>
      <c r="T356" s="71"/>
      <c r="U356" s="71"/>
      <c r="V356" s="71"/>
      <c r="W356" s="71"/>
      <c r="X356" s="71"/>
    </row>
    <row r="357" spans="18:24" ht="12.75">
      <c r="R357" s="71"/>
      <c r="S357" s="71"/>
      <c r="T357" s="71"/>
      <c r="U357" s="71"/>
      <c r="V357" s="71"/>
      <c r="W357" s="71"/>
      <c r="X357" s="71"/>
    </row>
    <row r="358" spans="18:24" ht="12.75">
      <c r="R358" s="71"/>
      <c r="S358" s="71"/>
      <c r="T358" s="71"/>
      <c r="U358" s="71"/>
      <c r="V358" s="71"/>
      <c r="W358" s="71"/>
      <c r="X358" s="71"/>
    </row>
    <row r="359" spans="18:24" ht="12.75">
      <c r="R359" s="71"/>
      <c r="S359" s="71"/>
      <c r="T359" s="71"/>
      <c r="U359" s="71"/>
      <c r="V359" s="71"/>
      <c r="W359" s="71"/>
      <c r="X359" s="71"/>
    </row>
    <row r="360" spans="18:24" ht="12.75">
      <c r="R360" s="71"/>
      <c r="S360" s="71"/>
      <c r="T360" s="71"/>
      <c r="U360" s="71"/>
      <c r="V360" s="71"/>
      <c r="W360" s="71"/>
      <c r="X360" s="71"/>
    </row>
    <row r="361" spans="18:24" ht="12.75">
      <c r="R361" s="71"/>
      <c r="S361" s="71"/>
      <c r="T361" s="71"/>
      <c r="U361" s="71"/>
      <c r="V361" s="71"/>
      <c r="W361" s="71"/>
      <c r="X361" s="71"/>
    </row>
    <row r="362" spans="18:24" ht="12.75">
      <c r="R362" s="71"/>
      <c r="S362" s="71"/>
      <c r="T362" s="71"/>
      <c r="U362" s="71"/>
      <c r="V362" s="71"/>
      <c r="W362" s="71"/>
      <c r="X362" s="71"/>
    </row>
    <row r="363" spans="18:24" ht="12.75">
      <c r="R363" s="71"/>
      <c r="S363" s="71"/>
      <c r="T363" s="71"/>
      <c r="U363" s="71"/>
      <c r="V363" s="71"/>
      <c r="W363" s="71"/>
      <c r="X363" s="71"/>
    </row>
    <row r="364" spans="18:24" ht="12.75">
      <c r="R364" s="71"/>
      <c r="S364" s="71"/>
      <c r="T364" s="71"/>
      <c r="U364" s="71"/>
      <c r="V364" s="71"/>
      <c r="W364" s="71"/>
      <c r="X364" s="71"/>
    </row>
    <row r="365" spans="18:24" ht="12.75">
      <c r="R365" s="71"/>
      <c r="S365" s="71"/>
      <c r="T365" s="71"/>
      <c r="U365" s="71"/>
      <c r="V365" s="71"/>
      <c r="W365" s="71"/>
      <c r="X365" s="71"/>
    </row>
    <row r="366" spans="18:24" ht="12.75">
      <c r="R366" s="71"/>
      <c r="S366" s="71"/>
      <c r="T366" s="71"/>
      <c r="U366" s="71"/>
      <c r="V366" s="71"/>
      <c r="W366" s="71"/>
      <c r="X366" s="71"/>
    </row>
    <row r="367" spans="18:24" ht="12.75">
      <c r="R367" s="71"/>
      <c r="S367" s="71"/>
      <c r="T367" s="71"/>
      <c r="U367" s="71"/>
      <c r="V367" s="71"/>
      <c r="W367" s="71"/>
      <c r="X367" s="71"/>
    </row>
    <row r="368" spans="18:24" ht="12.75">
      <c r="R368" s="71"/>
      <c r="S368" s="71"/>
      <c r="T368" s="71"/>
      <c r="U368" s="71"/>
      <c r="V368" s="71"/>
      <c r="W368" s="71"/>
      <c r="X368" s="71"/>
    </row>
    <row r="369" spans="18:24" ht="12.75">
      <c r="R369" s="71"/>
      <c r="S369" s="71"/>
      <c r="T369" s="71"/>
      <c r="U369" s="71"/>
      <c r="V369" s="71"/>
      <c r="W369" s="71"/>
      <c r="X369" s="71"/>
    </row>
    <row r="370" spans="18:24" ht="12.75">
      <c r="R370" s="71"/>
      <c r="S370" s="71"/>
      <c r="T370" s="71"/>
      <c r="U370" s="71"/>
      <c r="V370" s="71"/>
      <c r="W370" s="71"/>
      <c r="X370" s="71"/>
    </row>
    <row r="371" spans="18:24" ht="12.75">
      <c r="R371" s="71"/>
      <c r="S371" s="71"/>
      <c r="T371" s="71"/>
      <c r="U371" s="71"/>
      <c r="V371" s="71"/>
      <c r="W371" s="71"/>
      <c r="X371" s="71"/>
    </row>
    <row r="372" spans="18:24" ht="12.75">
      <c r="R372" s="71"/>
      <c r="S372" s="71"/>
      <c r="T372" s="71"/>
      <c r="U372" s="71"/>
      <c r="V372" s="71"/>
      <c r="W372" s="71"/>
      <c r="X372" s="71"/>
    </row>
    <row r="373" spans="18:24" ht="12.75">
      <c r="R373" s="71"/>
      <c r="S373" s="71"/>
      <c r="T373" s="71"/>
      <c r="U373" s="71"/>
      <c r="V373" s="71"/>
      <c r="W373" s="71"/>
      <c r="X373" s="71"/>
    </row>
    <row r="374" spans="18:24" ht="12.75">
      <c r="R374" s="71"/>
      <c r="S374" s="71"/>
      <c r="T374" s="71"/>
      <c r="U374" s="71"/>
      <c r="V374" s="71"/>
      <c r="W374" s="71"/>
      <c r="X374" s="71"/>
    </row>
    <row r="375" spans="18:24" ht="12.75">
      <c r="R375" s="71"/>
      <c r="S375" s="71"/>
      <c r="T375" s="71"/>
      <c r="U375" s="71"/>
      <c r="V375" s="71"/>
      <c r="W375" s="71"/>
      <c r="X375" s="71"/>
    </row>
    <row r="376" spans="18:24" ht="12.75">
      <c r="R376" s="71"/>
      <c r="S376" s="71"/>
      <c r="T376" s="71"/>
      <c r="U376" s="71"/>
      <c r="V376" s="71"/>
      <c r="W376" s="71"/>
      <c r="X376" s="71"/>
    </row>
    <row r="377" spans="18:24" ht="12.75">
      <c r="R377" s="71"/>
      <c r="S377" s="71"/>
      <c r="T377" s="71"/>
      <c r="U377" s="71"/>
      <c r="V377" s="71"/>
      <c r="W377" s="71"/>
      <c r="X377" s="71"/>
    </row>
    <row r="378" spans="18:24" ht="12.75">
      <c r="R378" s="71"/>
      <c r="S378" s="71"/>
      <c r="T378" s="71"/>
      <c r="U378" s="71"/>
      <c r="V378" s="71"/>
      <c r="W378" s="71"/>
      <c r="X378" s="71"/>
    </row>
    <row r="379" spans="18:24" ht="12.75">
      <c r="R379" s="71"/>
      <c r="S379" s="71"/>
      <c r="T379" s="71"/>
      <c r="U379" s="71"/>
      <c r="V379" s="71"/>
      <c r="W379" s="71"/>
      <c r="X379" s="71"/>
    </row>
    <row r="380" spans="18:24" ht="12.75">
      <c r="R380" s="71"/>
      <c r="S380" s="71"/>
      <c r="T380" s="71"/>
      <c r="U380" s="71"/>
      <c r="V380" s="71"/>
      <c r="W380" s="71"/>
      <c r="X380" s="71"/>
    </row>
    <row r="381" spans="18:24" ht="12.75">
      <c r="R381" s="71"/>
      <c r="S381" s="71"/>
      <c r="T381" s="71"/>
      <c r="U381" s="71"/>
      <c r="V381" s="71"/>
      <c r="W381" s="71"/>
      <c r="X381" s="71"/>
    </row>
    <row r="382" spans="18:24" ht="12.75">
      <c r="R382" s="71"/>
      <c r="S382" s="71"/>
      <c r="T382" s="71"/>
      <c r="U382" s="71"/>
      <c r="V382" s="71"/>
      <c r="W382" s="71"/>
      <c r="X382" s="71"/>
    </row>
    <row r="383" spans="18:24" ht="12.75">
      <c r="R383" s="71"/>
      <c r="S383" s="71"/>
      <c r="T383" s="71"/>
      <c r="U383" s="71"/>
      <c r="V383" s="71"/>
      <c r="W383" s="71"/>
      <c r="X383" s="71"/>
    </row>
    <row r="384" spans="18:24" ht="12.75">
      <c r="R384" s="71"/>
      <c r="S384" s="71"/>
      <c r="T384" s="71"/>
      <c r="U384" s="71"/>
      <c r="V384" s="71"/>
      <c r="W384" s="71"/>
      <c r="X384" s="71"/>
    </row>
    <row r="385" spans="18:24" ht="12.75">
      <c r="R385" s="71"/>
      <c r="S385" s="71"/>
      <c r="T385" s="71"/>
      <c r="U385" s="71"/>
      <c r="V385" s="71"/>
      <c r="W385" s="71"/>
      <c r="X385" s="71"/>
    </row>
    <row r="386" spans="18:24" ht="12.75">
      <c r="R386" s="71"/>
      <c r="S386" s="71"/>
      <c r="T386" s="71"/>
      <c r="U386" s="71"/>
      <c r="V386" s="71"/>
      <c r="W386" s="71"/>
      <c r="X386" s="71"/>
    </row>
    <row r="387" spans="18:24" ht="12.75">
      <c r="R387" s="71"/>
      <c r="S387" s="71"/>
      <c r="T387" s="71"/>
      <c r="U387" s="71"/>
      <c r="V387" s="71"/>
      <c r="W387" s="71"/>
      <c r="X387" s="71"/>
    </row>
    <row r="388" spans="18:24" ht="12.75">
      <c r="R388" s="71"/>
      <c r="S388" s="71"/>
      <c r="T388" s="71"/>
      <c r="U388" s="71"/>
      <c r="V388" s="71"/>
      <c r="W388" s="71"/>
      <c r="X388" s="71"/>
    </row>
    <row r="389" spans="18:24" ht="12.75">
      <c r="R389" s="71"/>
      <c r="S389" s="71"/>
      <c r="T389" s="71"/>
      <c r="U389" s="71"/>
      <c r="V389" s="71"/>
      <c r="W389" s="71"/>
      <c r="X389" s="71"/>
    </row>
    <row r="390" spans="18:24" ht="12.75">
      <c r="R390" s="71"/>
      <c r="S390" s="71"/>
      <c r="T390" s="71"/>
      <c r="U390" s="71"/>
      <c r="V390" s="71"/>
      <c r="W390" s="71"/>
      <c r="X390" s="71"/>
    </row>
    <row r="391" spans="18:24" ht="12.75">
      <c r="R391" s="71"/>
      <c r="S391" s="71"/>
      <c r="T391" s="71"/>
      <c r="U391" s="71"/>
      <c r="V391" s="71"/>
      <c r="W391" s="71"/>
      <c r="X391" s="71"/>
    </row>
    <row r="392" spans="18:24" ht="12.75">
      <c r="R392" s="71"/>
      <c r="S392" s="71"/>
      <c r="T392" s="71"/>
      <c r="U392" s="71"/>
      <c r="V392" s="71"/>
      <c r="W392" s="71"/>
      <c r="X392" s="71"/>
    </row>
    <row r="393" spans="18:24" ht="12.75">
      <c r="R393" s="71"/>
      <c r="S393" s="71"/>
      <c r="T393" s="71"/>
      <c r="U393" s="71"/>
      <c r="V393" s="71"/>
      <c r="W393" s="71"/>
      <c r="X393" s="71"/>
    </row>
    <row r="394" spans="18:24" ht="12.75">
      <c r="R394" s="71"/>
      <c r="S394" s="71"/>
      <c r="T394" s="71"/>
      <c r="U394" s="71"/>
      <c r="V394" s="71"/>
      <c r="W394" s="71"/>
      <c r="X394" s="71"/>
    </row>
    <row r="395" spans="18:24" ht="12.75">
      <c r="R395" s="71"/>
      <c r="S395" s="71"/>
      <c r="T395" s="71"/>
      <c r="U395" s="71"/>
      <c r="V395" s="71"/>
      <c r="W395" s="71"/>
      <c r="X395" s="71"/>
    </row>
    <row r="396" spans="18:24" ht="12.75">
      <c r="R396" s="71"/>
      <c r="S396" s="71"/>
      <c r="T396" s="71"/>
      <c r="U396" s="71"/>
      <c r="V396" s="71"/>
      <c r="W396" s="71"/>
      <c r="X396" s="71"/>
    </row>
    <row r="397" spans="18:24" ht="12.75">
      <c r="R397" s="71"/>
      <c r="S397" s="71"/>
      <c r="T397" s="71"/>
      <c r="U397" s="71"/>
      <c r="V397" s="71"/>
      <c r="W397" s="71"/>
      <c r="X397" s="71"/>
    </row>
    <row r="398" spans="18:24" ht="12.75">
      <c r="R398" s="71"/>
      <c r="S398" s="71"/>
      <c r="T398" s="71"/>
      <c r="U398" s="71"/>
      <c r="V398" s="71"/>
      <c r="W398" s="71"/>
      <c r="X398" s="71"/>
    </row>
    <row r="399" spans="18:24" ht="12.75">
      <c r="R399" s="71"/>
      <c r="S399" s="71"/>
      <c r="T399" s="71"/>
      <c r="U399" s="71"/>
      <c r="V399" s="71"/>
      <c r="W399" s="71"/>
      <c r="X399" s="71"/>
    </row>
    <row r="400" spans="18:24" ht="12.75">
      <c r="R400" s="71"/>
      <c r="S400" s="71"/>
      <c r="T400" s="71"/>
      <c r="U400" s="71"/>
      <c r="V400" s="71"/>
      <c r="W400" s="71"/>
      <c r="X400" s="71"/>
    </row>
    <row r="401" spans="18:24" ht="12.75">
      <c r="R401" s="71"/>
      <c r="S401" s="71"/>
      <c r="T401" s="71"/>
      <c r="U401" s="71"/>
      <c r="V401" s="71"/>
      <c r="W401" s="71"/>
      <c r="X401" s="71"/>
    </row>
    <row r="402" spans="18:24" ht="12.75">
      <c r="R402" s="71"/>
      <c r="S402" s="71"/>
      <c r="T402" s="71"/>
      <c r="U402" s="71"/>
      <c r="V402" s="71"/>
      <c r="W402" s="71"/>
      <c r="X402" s="71"/>
    </row>
    <row r="403" spans="18:24" ht="12.75">
      <c r="R403" s="71"/>
      <c r="S403" s="71"/>
      <c r="T403" s="71"/>
      <c r="U403" s="71"/>
      <c r="V403" s="71"/>
      <c r="W403" s="71"/>
      <c r="X403" s="71"/>
    </row>
    <row r="404" spans="18:24" ht="12.75">
      <c r="R404" s="71"/>
      <c r="S404" s="71"/>
      <c r="T404" s="71"/>
      <c r="U404" s="71"/>
      <c r="V404" s="71"/>
      <c r="W404" s="71"/>
      <c r="X404" s="71"/>
    </row>
    <row r="405" spans="18:24" ht="12.75">
      <c r="R405" s="71"/>
      <c r="S405" s="71"/>
      <c r="T405" s="71"/>
      <c r="U405" s="71"/>
      <c r="V405" s="71"/>
      <c r="W405" s="71"/>
      <c r="X405" s="71"/>
    </row>
    <row r="406" spans="18:24" ht="12.75">
      <c r="R406" s="71"/>
      <c r="S406" s="71"/>
      <c r="T406" s="71"/>
      <c r="U406" s="71"/>
      <c r="V406" s="71"/>
      <c r="W406" s="71"/>
      <c r="X406" s="71"/>
    </row>
    <row r="407" spans="18:24" ht="12.75">
      <c r="R407" s="71"/>
      <c r="S407" s="71"/>
      <c r="T407" s="71"/>
      <c r="U407" s="71"/>
      <c r="V407" s="71"/>
      <c r="W407" s="71"/>
      <c r="X407" s="71"/>
    </row>
    <row r="408" spans="18:24" ht="12.75">
      <c r="R408" s="71"/>
      <c r="S408" s="71"/>
      <c r="T408" s="71"/>
      <c r="U408" s="71"/>
      <c r="V408" s="71"/>
      <c r="W408" s="71"/>
      <c r="X408" s="71"/>
    </row>
    <row r="409" spans="18:24" ht="12.75">
      <c r="R409" s="71"/>
      <c r="S409" s="71"/>
      <c r="T409" s="71"/>
      <c r="U409" s="71"/>
      <c r="V409" s="71"/>
      <c r="W409" s="71"/>
      <c r="X409" s="71"/>
    </row>
    <row r="410" spans="18:24" ht="12.75">
      <c r="R410" s="71"/>
      <c r="S410" s="71"/>
      <c r="T410" s="71"/>
      <c r="U410" s="71"/>
      <c r="V410" s="71"/>
      <c r="W410" s="71"/>
      <c r="X410" s="71"/>
    </row>
    <row r="411" spans="18:24" ht="12.75">
      <c r="R411" s="71"/>
      <c r="S411" s="71"/>
      <c r="T411" s="71"/>
      <c r="U411" s="71"/>
      <c r="V411" s="71"/>
      <c r="W411" s="71"/>
      <c r="X411" s="71"/>
    </row>
    <row r="412" spans="18:24" ht="12.75">
      <c r="R412" s="71"/>
      <c r="S412" s="71"/>
      <c r="T412" s="71"/>
      <c r="U412" s="71"/>
      <c r="V412" s="71"/>
      <c r="W412" s="71"/>
      <c r="X412" s="71"/>
    </row>
    <row r="413" spans="18:24" ht="12.75">
      <c r="R413" s="71"/>
      <c r="S413" s="71"/>
      <c r="T413" s="71"/>
      <c r="U413" s="71"/>
      <c r="V413" s="71"/>
      <c r="W413" s="71"/>
      <c r="X413" s="71"/>
    </row>
    <row r="414" spans="18:24" ht="12.75">
      <c r="R414" s="71"/>
      <c r="S414" s="71"/>
      <c r="T414" s="71"/>
      <c r="U414" s="71"/>
      <c r="V414" s="71"/>
      <c r="W414" s="71"/>
      <c r="X414" s="71"/>
    </row>
    <row r="415" spans="18:24" ht="12.75">
      <c r="R415" s="71"/>
      <c r="S415" s="71"/>
      <c r="T415" s="71"/>
      <c r="U415" s="71"/>
      <c r="V415" s="71"/>
      <c r="W415" s="71"/>
      <c r="X415" s="71"/>
    </row>
    <row r="416" spans="18:24" ht="12.75">
      <c r="R416" s="71"/>
      <c r="S416" s="71"/>
      <c r="T416" s="71"/>
      <c r="U416" s="71"/>
      <c r="V416" s="71"/>
      <c r="W416" s="71"/>
      <c r="X416" s="71"/>
    </row>
    <row r="417" spans="18:24" ht="12.75">
      <c r="R417" s="71"/>
      <c r="S417" s="71"/>
      <c r="T417" s="71"/>
      <c r="U417" s="71"/>
      <c r="V417" s="71"/>
      <c r="W417" s="71"/>
      <c r="X417" s="71"/>
    </row>
    <row r="418" spans="18:24" ht="12.75">
      <c r="R418" s="71"/>
      <c r="S418" s="71"/>
      <c r="T418" s="71"/>
      <c r="U418" s="71"/>
      <c r="V418" s="71"/>
      <c r="W418" s="71"/>
      <c r="X418" s="71"/>
    </row>
    <row r="419" spans="18:24" ht="12.75">
      <c r="R419" s="71"/>
      <c r="S419" s="71"/>
      <c r="T419" s="71"/>
      <c r="U419" s="71"/>
      <c r="V419" s="71"/>
      <c r="W419" s="71"/>
      <c r="X419" s="71"/>
    </row>
    <row r="420" spans="18:24" ht="12.75">
      <c r="R420" s="71"/>
      <c r="S420" s="71"/>
      <c r="T420" s="71"/>
      <c r="U420" s="71"/>
      <c r="V420" s="71"/>
      <c r="W420" s="71"/>
      <c r="X420" s="71"/>
    </row>
    <row r="421" spans="18:24" ht="12.75">
      <c r="R421" s="71"/>
      <c r="S421" s="71"/>
      <c r="T421" s="71"/>
      <c r="U421" s="71"/>
      <c r="V421" s="71"/>
      <c r="W421" s="71"/>
      <c r="X421" s="71"/>
    </row>
    <row r="422" spans="18:24" ht="12.75">
      <c r="R422" s="71"/>
      <c r="S422" s="71"/>
      <c r="T422" s="71"/>
      <c r="U422" s="71"/>
      <c r="V422" s="71"/>
      <c r="W422" s="71"/>
      <c r="X422" s="71"/>
    </row>
    <row r="423" spans="18:24" ht="12.75">
      <c r="R423" s="71"/>
      <c r="S423" s="71"/>
      <c r="T423" s="71"/>
      <c r="U423" s="71"/>
      <c r="V423" s="71"/>
      <c r="W423" s="71"/>
      <c r="X423" s="71"/>
    </row>
    <row r="424" spans="18:24" ht="12.75">
      <c r="R424" s="71"/>
      <c r="S424" s="71"/>
      <c r="T424" s="71"/>
      <c r="U424" s="71"/>
      <c r="V424" s="71"/>
      <c r="W424" s="71"/>
      <c r="X424" s="71"/>
    </row>
    <row r="425" spans="18:24" ht="12.75">
      <c r="R425" s="71"/>
      <c r="S425" s="71"/>
      <c r="T425" s="71"/>
      <c r="U425" s="71"/>
      <c r="V425" s="71"/>
      <c r="W425" s="71"/>
      <c r="X425" s="71"/>
    </row>
    <row r="426" spans="18:24" ht="12.75">
      <c r="R426" s="71"/>
      <c r="S426" s="71"/>
      <c r="T426" s="71"/>
      <c r="U426" s="71"/>
      <c r="V426" s="71"/>
      <c r="W426" s="71"/>
      <c r="X426" s="71"/>
    </row>
    <row r="427" spans="18:24" ht="12.75">
      <c r="R427" s="71"/>
      <c r="S427" s="71"/>
      <c r="T427" s="71"/>
      <c r="U427" s="71"/>
      <c r="V427" s="71"/>
      <c r="W427" s="71"/>
      <c r="X427" s="71"/>
    </row>
    <row r="428" spans="18:24" ht="12.75">
      <c r="R428" s="71"/>
      <c r="S428" s="71"/>
      <c r="T428" s="71"/>
      <c r="U428" s="71"/>
      <c r="V428" s="71"/>
      <c r="W428" s="71"/>
      <c r="X428" s="71"/>
    </row>
    <row r="429" spans="18:24" ht="12.75">
      <c r="R429" s="71"/>
      <c r="S429" s="71"/>
      <c r="T429" s="71"/>
      <c r="U429" s="71"/>
      <c r="V429" s="71"/>
      <c r="W429" s="71"/>
      <c r="X429" s="71"/>
    </row>
    <row r="430" spans="18:24" ht="12.75">
      <c r="R430" s="71"/>
      <c r="S430" s="71"/>
      <c r="T430" s="71"/>
      <c r="U430" s="71"/>
      <c r="V430" s="71"/>
      <c r="W430" s="71"/>
      <c r="X430" s="71"/>
    </row>
    <row r="431" spans="18:24" ht="12.75">
      <c r="R431" s="71"/>
      <c r="S431" s="71"/>
      <c r="T431" s="71"/>
      <c r="U431" s="71"/>
      <c r="V431" s="71"/>
      <c r="W431" s="71"/>
      <c r="X431" s="71"/>
    </row>
    <row r="432" spans="18:24" ht="12.75">
      <c r="R432" s="71"/>
      <c r="S432" s="71"/>
      <c r="T432" s="71"/>
      <c r="U432" s="71"/>
      <c r="V432" s="71"/>
      <c r="W432" s="71"/>
      <c r="X432" s="71"/>
    </row>
    <row r="433" spans="18:24" ht="12.75">
      <c r="R433" s="71"/>
      <c r="S433" s="71"/>
      <c r="T433" s="71"/>
      <c r="U433" s="71"/>
      <c r="V433" s="71"/>
      <c r="W433" s="71"/>
      <c r="X433" s="71"/>
    </row>
    <row r="434" spans="18:24" ht="12.75">
      <c r="R434" s="71"/>
      <c r="S434" s="71"/>
      <c r="T434" s="71"/>
      <c r="U434" s="71"/>
      <c r="V434" s="71"/>
      <c r="W434" s="71"/>
      <c r="X434" s="71"/>
    </row>
    <row r="435" spans="18:24" ht="12.75">
      <c r="R435" s="71"/>
      <c r="S435" s="71"/>
      <c r="T435" s="71"/>
      <c r="U435" s="71"/>
      <c r="V435" s="71"/>
      <c r="W435" s="71"/>
      <c r="X435" s="71"/>
    </row>
    <row r="436" spans="18:24" ht="12.75">
      <c r="R436" s="71"/>
      <c r="S436" s="71"/>
      <c r="T436" s="71"/>
      <c r="U436" s="71"/>
      <c r="V436" s="71"/>
      <c r="W436" s="71"/>
      <c r="X436" s="71"/>
    </row>
    <row r="437" spans="18:24" ht="12.75">
      <c r="R437" s="71"/>
      <c r="S437" s="71"/>
      <c r="T437" s="71"/>
      <c r="U437" s="71"/>
      <c r="V437" s="71"/>
      <c r="W437" s="71"/>
      <c r="X437" s="71"/>
    </row>
    <row r="438" spans="18:24" ht="12.75">
      <c r="R438" s="71"/>
      <c r="S438" s="71"/>
      <c r="T438" s="71"/>
      <c r="U438" s="71"/>
      <c r="V438" s="71"/>
      <c r="W438" s="71"/>
      <c r="X438" s="71"/>
    </row>
    <row r="439" spans="18:24" ht="12.75">
      <c r="R439" s="71"/>
      <c r="S439" s="71"/>
      <c r="T439" s="71"/>
      <c r="U439" s="71"/>
      <c r="V439" s="71"/>
      <c r="W439" s="71"/>
      <c r="X439" s="71"/>
    </row>
    <row r="440" spans="18:24" ht="12.75">
      <c r="R440" s="71"/>
      <c r="S440" s="71"/>
      <c r="T440" s="71"/>
      <c r="U440" s="71"/>
      <c r="V440" s="71"/>
      <c r="W440" s="71"/>
      <c r="X440" s="71"/>
    </row>
    <row r="441" spans="18:24" ht="12.75">
      <c r="R441" s="71"/>
      <c r="S441" s="71"/>
      <c r="T441" s="71"/>
      <c r="U441" s="71"/>
      <c r="V441" s="71"/>
      <c r="W441" s="71"/>
      <c r="X441" s="71"/>
    </row>
    <row r="442" spans="18:24" ht="12.75">
      <c r="R442" s="71"/>
      <c r="S442" s="71"/>
      <c r="T442" s="71"/>
      <c r="U442" s="71"/>
      <c r="V442" s="71"/>
      <c r="W442" s="71"/>
      <c r="X442" s="71"/>
    </row>
    <row r="443" spans="18:24" ht="12.75">
      <c r="R443" s="71"/>
      <c r="S443" s="71"/>
      <c r="T443" s="71"/>
      <c r="U443" s="71"/>
      <c r="V443" s="71"/>
      <c r="W443" s="71"/>
      <c r="X443" s="71"/>
    </row>
    <row r="444" spans="18:24" ht="12.75">
      <c r="R444" s="71"/>
      <c r="S444" s="71"/>
      <c r="T444" s="71"/>
      <c r="U444" s="71"/>
      <c r="V444" s="71"/>
      <c r="W444" s="71"/>
      <c r="X444" s="71"/>
    </row>
    <row r="445" spans="18:24" ht="12.75">
      <c r="R445" s="71"/>
      <c r="S445" s="71"/>
      <c r="T445" s="71"/>
      <c r="U445" s="71"/>
      <c r="V445" s="71"/>
      <c r="W445" s="71"/>
      <c r="X445" s="71"/>
    </row>
    <row r="446" spans="18:24" ht="12.75">
      <c r="R446" s="71"/>
      <c r="S446" s="71"/>
      <c r="T446" s="71"/>
      <c r="U446" s="71"/>
      <c r="V446" s="71"/>
      <c r="W446" s="71"/>
      <c r="X446" s="71"/>
    </row>
    <row r="447" spans="18:24" ht="12.75">
      <c r="R447" s="71"/>
      <c r="S447" s="71"/>
      <c r="T447" s="71"/>
      <c r="U447" s="71"/>
      <c r="V447" s="71"/>
      <c r="W447" s="71"/>
      <c r="X447" s="71"/>
    </row>
    <row r="448" spans="18:24" ht="12.75">
      <c r="R448" s="71"/>
      <c r="S448" s="71"/>
      <c r="T448" s="71"/>
      <c r="U448" s="71"/>
      <c r="V448" s="71"/>
      <c r="W448" s="71"/>
      <c r="X448" s="71"/>
    </row>
    <row r="449" spans="18:24" ht="12.75">
      <c r="R449" s="71"/>
      <c r="S449" s="71"/>
      <c r="T449" s="71"/>
      <c r="U449" s="71"/>
      <c r="V449" s="71"/>
      <c r="W449" s="71"/>
      <c r="X449" s="71"/>
    </row>
    <row r="450" spans="18:24" ht="12.75">
      <c r="R450" s="71"/>
      <c r="S450" s="71"/>
      <c r="T450" s="71"/>
      <c r="U450" s="71"/>
      <c r="V450" s="71"/>
      <c r="W450" s="71"/>
      <c r="X450" s="71"/>
    </row>
    <row r="451" spans="18:24" ht="12.75">
      <c r="R451" s="71"/>
      <c r="S451" s="71"/>
      <c r="T451" s="71"/>
      <c r="U451" s="71"/>
      <c r="V451" s="71"/>
      <c r="W451" s="71"/>
      <c r="X451" s="71"/>
    </row>
    <row r="452" spans="18:24" ht="12.75">
      <c r="R452" s="71"/>
      <c r="S452" s="71"/>
      <c r="T452" s="71"/>
      <c r="U452" s="71"/>
      <c r="V452" s="71"/>
      <c r="W452" s="71"/>
      <c r="X452" s="71"/>
    </row>
    <row r="453" spans="18:24" ht="12.75">
      <c r="R453" s="71"/>
      <c r="S453" s="71"/>
      <c r="T453" s="71"/>
      <c r="U453" s="71"/>
      <c r="V453" s="71"/>
      <c r="W453" s="71"/>
      <c r="X453" s="71"/>
    </row>
    <row r="454" spans="18:24" ht="12.75">
      <c r="R454" s="71"/>
      <c r="S454" s="71"/>
      <c r="T454" s="71"/>
      <c r="U454" s="71"/>
      <c r="V454" s="71"/>
      <c r="W454" s="71"/>
      <c r="X454" s="71"/>
    </row>
    <row r="455" spans="18:24" ht="12.75">
      <c r="R455" s="71"/>
      <c r="S455" s="71"/>
      <c r="T455" s="71"/>
      <c r="U455" s="71"/>
      <c r="V455" s="71"/>
      <c r="W455" s="71"/>
      <c r="X455" s="71"/>
    </row>
    <row r="456" spans="18:24" ht="12.75">
      <c r="R456" s="71"/>
      <c r="S456" s="71"/>
      <c r="T456" s="71"/>
      <c r="U456" s="71"/>
      <c r="V456" s="71"/>
      <c r="W456" s="71"/>
      <c r="X456" s="71"/>
    </row>
    <row r="457" spans="18:24" ht="12.75">
      <c r="R457" s="71"/>
      <c r="S457" s="71"/>
      <c r="T457" s="71"/>
      <c r="U457" s="71"/>
      <c r="V457" s="71"/>
      <c r="W457" s="71"/>
      <c r="X457" s="71"/>
    </row>
    <row r="458" spans="18:24" ht="12.75">
      <c r="R458" s="71"/>
      <c r="S458" s="71"/>
      <c r="T458" s="71"/>
      <c r="U458" s="71"/>
      <c r="V458" s="71"/>
      <c r="W458" s="71"/>
      <c r="X458" s="71"/>
    </row>
    <row r="459" spans="18:24" ht="12.75">
      <c r="R459" s="71"/>
      <c r="S459" s="71"/>
      <c r="T459" s="71"/>
      <c r="U459" s="71"/>
      <c r="V459" s="71"/>
      <c r="W459" s="71"/>
      <c r="X459" s="71"/>
    </row>
    <row r="460" spans="18:24" ht="12.75">
      <c r="R460" s="71"/>
      <c r="S460" s="71"/>
      <c r="T460" s="71"/>
      <c r="U460" s="71"/>
      <c r="V460" s="71"/>
      <c r="W460" s="71"/>
      <c r="X460" s="71"/>
    </row>
    <row r="461" spans="18:24" ht="12.75">
      <c r="R461" s="71"/>
      <c r="S461" s="71"/>
      <c r="T461" s="71"/>
      <c r="U461" s="71"/>
      <c r="V461" s="71"/>
      <c r="W461" s="71"/>
      <c r="X461" s="71"/>
    </row>
    <row r="462" spans="18:24" ht="12.75">
      <c r="R462" s="71"/>
      <c r="S462" s="71"/>
      <c r="T462" s="71"/>
      <c r="U462" s="71"/>
      <c r="V462" s="71"/>
      <c r="W462" s="71"/>
      <c r="X462" s="71"/>
    </row>
    <row r="463" spans="18:24" ht="12.75">
      <c r="R463" s="71"/>
      <c r="S463" s="71"/>
      <c r="T463" s="71"/>
      <c r="U463" s="71"/>
      <c r="V463" s="71"/>
      <c r="W463" s="71"/>
      <c r="X463" s="71"/>
    </row>
    <row r="464" spans="18:24" ht="12.75">
      <c r="R464" s="71"/>
      <c r="S464" s="71"/>
      <c r="T464" s="71"/>
      <c r="U464" s="71"/>
      <c r="V464" s="71"/>
      <c r="W464" s="71"/>
      <c r="X464" s="71"/>
    </row>
    <row r="465" spans="18:24" ht="12.75">
      <c r="R465" s="71"/>
      <c r="S465" s="71"/>
      <c r="T465" s="71"/>
      <c r="U465" s="71"/>
      <c r="V465" s="71"/>
      <c r="W465" s="71"/>
      <c r="X465" s="71"/>
    </row>
    <row r="466" spans="18:24" ht="12.75">
      <c r="R466" s="71"/>
      <c r="S466" s="71"/>
      <c r="T466" s="71"/>
      <c r="U466" s="71"/>
      <c r="V466" s="71"/>
      <c r="W466" s="71"/>
      <c r="X466" s="71"/>
    </row>
    <row r="467" spans="18:24" ht="12.75">
      <c r="R467" s="71"/>
      <c r="S467" s="71"/>
      <c r="T467" s="71"/>
      <c r="U467" s="71"/>
      <c r="V467" s="71"/>
      <c r="W467" s="71"/>
      <c r="X467" s="71"/>
    </row>
    <row r="468" spans="18:24" ht="12.75">
      <c r="R468" s="71"/>
      <c r="S468" s="71"/>
      <c r="T468" s="71"/>
      <c r="U468" s="71"/>
      <c r="V468" s="71"/>
      <c r="W468" s="71"/>
      <c r="X468" s="71"/>
    </row>
    <row r="469" spans="18:24" ht="12.75">
      <c r="R469" s="71"/>
      <c r="S469" s="71"/>
      <c r="T469" s="71"/>
      <c r="U469" s="71"/>
      <c r="V469" s="71"/>
      <c r="W469" s="71"/>
      <c r="X469" s="71"/>
    </row>
    <row r="470" spans="18:24" ht="12.75">
      <c r="R470" s="71"/>
      <c r="S470" s="71"/>
      <c r="T470" s="71"/>
      <c r="U470" s="71"/>
      <c r="V470" s="71"/>
      <c r="W470" s="71"/>
      <c r="X470" s="71"/>
    </row>
    <row r="471" spans="18:24" ht="12.75">
      <c r="R471" s="71"/>
      <c r="S471" s="71"/>
      <c r="T471" s="71"/>
      <c r="U471" s="71"/>
      <c r="V471" s="71"/>
      <c r="W471" s="71"/>
      <c r="X471" s="71"/>
    </row>
    <row r="472" spans="18:24" ht="12.75">
      <c r="R472" s="71"/>
      <c r="S472" s="71"/>
      <c r="T472" s="71"/>
      <c r="U472" s="71"/>
      <c r="V472" s="71"/>
      <c r="W472" s="71"/>
      <c r="X472" s="71"/>
    </row>
    <row r="473" spans="18:24" ht="12.75">
      <c r="R473" s="71"/>
      <c r="S473" s="71"/>
      <c r="T473" s="71"/>
      <c r="U473" s="71"/>
      <c r="V473" s="71"/>
      <c r="W473" s="71"/>
      <c r="X473" s="71"/>
    </row>
    <row r="474" spans="18:24" ht="12.75">
      <c r="R474" s="71"/>
      <c r="S474" s="71"/>
      <c r="T474" s="71"/>
      <c r="U474" s="71"/>
      <c r="V474" s="71"/>
      <c r="W474" s="71"/>
      <c r="X474" s="71"/>
    </row>
    <row r="475" spans="18:24" ht="12.75">
      <c r="R475" s="71"/>
      <c r="S475" s="71"/>
      <c r="T475" s="71"/>
      <c r="U475" s="71"/>
      <c r="V475" s="71"/>
      <c r="W475" s="71"/>
      <c r="X475" s="71"/>
    </row>
    <row r="476" spans="18:24" ht="12.75">
      <c r="R476" s="71"/>
      <c r="S476" s="71"/>
      <c r="T476" s="71"/>
      <c r="U476" s="71"/>
      <c r="V476" s="71"/>
      <c r="W476" s="71"/>
      <c r="X476" s="71"/>
    </row>
    <row r="477" spans="18:24" ht="12.75">
      <c r="R477" s="71"/>
      <c r="S477" s="71"/>
      <c r="T477" s="71"/>
      <c r="U477" s="71"/>
      <c r="V477" s="71"/>
      <c r="W477" s="71"/>
      <c r="X477" s="71"/>
    </row>
    <row r="478" spans="18:24" ht="12.75">
      <c r="R478" s="71"/>
      <c r="S478" s="71"/>
      <c r="T478" s="71"/>
      <c r="U478" s="71"/>
      <c r="V478" s="71"/>
      <c r="W478" s="71"/>
      <c r="X478" s="71"/>
    </row>
    <row r="479" spans="18:24" ht="12.75">
      <c r="R479" s="71"/>
      <c r="S479" s="71"/>
      <c r="T479" s="71"/>
      <c r="U479" s="71"/>
      <c r="V479" s="71"/>
      <c r="W479" s="71"/>
      <c r="X479" s="71"/>
    </row>
    <row r="480" spans="18:24" ht="12.75">
      <c r="R480" s="71"/>
      <c r="S480" s="71"/>
      <c r="T480" s="71"/>
      <c r="U480" s="71"/>
      <c r="V480" s="71"/>
      <c r="W480" s="71"/>
      <c r="X480" s="71"/>
    </row>
    <row r="481" spans="18:24" ht="12.75">
      <c r="R481" s="71"/>
      <c r="S481" s="71"/>
      <c r="T481" s="71"/>
      <c r="U481" s="71"/>
      <c r="V481" s="71"/>
      <c r="W481" s="71"/>
      <c r="X481" s="71"/>
    </row>
    <row r="482" spans="18:24" ht="12.75">
      <c r="R482" s="71"/>
      <c r="S482" s="71"/>
      <c r="T482" s="71"/>
      <c r="U482" s="71"/>
      <c r="V482" s="71"/>
      <c r="W482" s="71"/>
      <c r="X482" s="71"/>
    </row>
    <row r="483" spans="18:24" ht="12.75">
      <c r="R483" s="71"/>
      <c r="S483" s="71"/>
      <c r="T483" s="71"/>
      <c r="U483" s="71"/>
      <c r="V483" s="71"/>
      <c r="W483" s="71"/>
      <c r="X483" s="71"/>
    </row>
    <row r="484" spans="18:24" ht="12.75">
      <c r="R484" s="71"/>
      <c r="S484" s="71"/>
      <c r="T484" s="71"/>
      <c r="U484" s="71"/>
      <c r="V484" s="71"/>
      <c r="W484" s="71"/>
      <c r="X484" s="71"/>
    </row>
    <row r="485" spans="18:24" ht="12.75">
      <c r="R485" s="71"/>
      <c r="S485" s="71"/>
      <c r="T485" s="71"/>
      <c r="U485" s="71"/>
      <c r="V485" s="71"/>
      <c r="W485" s="71"/>
      <c r="X485" s="71"/>
    </row>
    <row r="486" spans="18:24" ht="12.75">
      <c r="R486" s="71"/>
      <c r="S486" s="71"/>
      <c r="T486" s="71"/>
      <c r="U486" s="71"/>
      <c r="V486" s="71"/>
      <c r="W486" s="71"/>
      <c r="X486" s="71"/>
    </row>
    <row r="487" spans="18:24" ht="12.75">
      <c r="R487" s="71"/>
      <c r="S487" s="71"/>
      <c r="T487" s="71"/>
      <c r="U487" s="71"/>
      <c r="V487" s="71"/>
      <c r="W487" s="71"/>
      <c r="X487" s="71"/>
    </row>
    <row r="488" spans="18:24" ht="12.75">
      <c r="R488" s="71"/>
      <c r="S488" s="71"/>
      <c r="T488" s="71"/>
      <c r="U488" s="71"/>
      <c r="V488" s="71"/>
      <c r="W488" s="71"/>
      <c r="X488" s="71"/>
    </row>
    <row r="489" spans="18:24" ht="12.75">
      <c r="R489" s="71"/>
      <c r="S489" s="71"/>
      <c r="T489" s="71"/>
      <c r="U489" s="71"/>
      <c r="V489" s="71"/>
      <c r="W489" s="71"/>
      <c r="X489" s="71"/>
    </row>
    <row r="490" spans="18:24" ht="12.75">
      <c r="R490" s="71"/>
      <c r="S490" s="71"/>
      <c r="T490" s="71"/>
      <c r="U490" s="71"/>
      <c r="V490" s="71"/>
      <c r="W490" s="71"/>
      <c r="X490" s="71"/>
    </row>
    <row r="491" spans="18:24" ht="12.75">
      <c r="R491" s="71"/>
      <c r="S491" s="71"/>
      <c r="T491" s="71"/>
      <c r="U491" s="71"/>
      <c r="V491" s="71"/>
      <c r="W491" s="71"/>
      <c r="X491" s="71"/>
    </row>
    <row r="492" spans="18:24" ht="12.75">
      <c r="R492" s="71"/>
      <c r="S492" s="71"/>
      <c r="T492" s="71"/>
      <c r="U492" s="71"/>
      <c r="V492" s="71"/>
      <c r="W492" s="71"/>
      <c r="X492" s="71"/>
    </row>
    <row r="493" spans="18:24" ht="12.75">
      <c r="R493" s="71"/>
      <c r="S493" s="71"/>
      <c r="T493" s="71"/>
      <c r="U493" s="71"/>
      <c r="V493" s="71"/>
      <c r="W493" s="71"/>
      <c r="X493" s="71"/>
    </row>
    <row r="494" spans="18:24" ht="12.75">
      <c r="R494" s="71"/>
      <c r="S494" s="71"/>
      <c r="T494" s="71"/>
      <c r="U494" s="71"/>
      <c r="V494" s="71"/>
      <c r="W494" s="71"/>
      <c r="X494" s="71"/>
    </row>
    <row r="495" spans="18:24" ht="12.75">
      <c r="R495" s="71"/>
      <c r="S495" s="71"/>
      <c r="T495" s="71"/>
      <c r="U495" s="71"/>
      <c r="V495" s="71"/>
      <c r="W495" s="71"/>
      <c r="X495" s="71"/>
    </row>
    <row r="496" spans="18:24" ht="12.75">
      <c r="R496" s="71"/>
      <c r="S496" s="71"/>
      <c r="T496" s="71"/>
      <c r="U496" s="71"/>
      <c r="V496" s="71"/>
      <c r="W496" s="71"/>
      <c r="X496" s="71"/>
    </row>
    <row r="497" spans="18:24" ht="12.75">
      <c r="R497" s="71"/>
      <c r="S497" s="71"/>
      <c r="T497" s="71"/>
      <c r="U497" s="71"/>
      <c r="V497" s="71"/>
      <c r="W497" s="71"/>
      <c r="X497" s="71"/>
    </row>
    <row r="498" spans="18:24" ht="12.75">
      <c r="R498" s="71"/>
      <c r="S498" s="71"/>
      <c r="T498" s="71"/>
      <c r="U498" s="71"/>
      <c r="V498" s="71"/>
      <c r="W498" s="71"/>
      <c r="X498" s="71"/>
    </row>
    <row r="499" spans="18:24" ht="12.75">
      <c r="R499" s="71"/>
      <c r="S499" s="71"/>
      <c r="T499" s="71"/>
      <c r="U499" s="71"/>
      <c r="V499" s="71"/>
      <c r="W499" s="71"/>
      <c r="X499" s="71"/>
    </row>
    <row r="500" spans="18:24" ht="12.75">
      <c r="R500" s="71"/>
      <c r="S500" s="71"/>
      <c r="T500" s="71"/>
      <c r="U500" s="71"/>
      <c r="V500" s="71"/>
      <c r="W500" s="71"/>
      <c r="X500" s="71"/>
    </row>
    <row r="501" spans="18:24" ht="12.75">
      <c r="R501" s="71"/>
      <c r="S501" s="71"/>
      <c r="T501" s="71"/>
      <c r="U501" s="71"/>
      <c r="V501" s="71"/>
      <c r="W501" s="71"/>
      <c r="X501" s="71"/>
    </row>
    <row r="502" spans="18:24" ht="12.75">
      <c r="R502" s="71"/>
      <c r="S502" s="71"/>
      <c r="T502" s="71"/>
      <c r="U502" s="71"/>
      <c r="V502" s="71"/>
      <c r="W502" s="71"/>
      <c r="X502" s="71"/>
    </row>
    <row r="503" spans="18:24" ht="12.75">
      <c r="R503" s="71"/>
      <c r="S503" s="71"/>
      <c r="T503" s="71"/>
      <c r="U503" s="71"/>
      <c r="V503" s="71"/>
      <c r="W503" s="71"/>
      <c r="X503" s="71"/>
    </row>
    <row r="504" spans="18:24" ht="12.75">
      <c r="R504" s="71"/>
      <c r="S504" s="71"/>
      <c r="T504" s="71"/>
      <c r="U504" s="71"/>
      <c r="V504" s="71"/>
      <c r="W504" s="71"/>
      <c r="X504" s="71"/>
    </row>
    <row r="505" spans="18:24" ht="12.75">
      <c r="R505" s="71"/>
      <c r="S505" s="71"/>
      <c r="T505" s="71"/>
      <c r="U505" s="71"/>
      <c r="V505" s="71"/>
      <c r="W505" s="71"/>
      <c r="X505" s="71"/>
    </row>
    <row r="506" spans="18:24" ht="12.75">
      <c r="R506" s="71"/>
      <c r="S506" s="71"/>
      <c r="T506" s="71"/>
      <c r="U506" s="71"/>
      <c r="V506" s="71"/>
      <c r="W506" s="71"/>
      <c r="X506" s="71"/>
    </row>
    <row r="507" spans="18:24" ht="12.75">
      <c r="R507" s="71"/>
      <c r="S507" s="71"/>
      <c r="T507" s="71"/>
      <c r="U507" s="71"/>
      <c r="V507" s="71"/>
      <c r="W507" s="71"/>
      <c r="X507" s="71"/>
    </row>
    <row r="508" spans="18:24" ht="12.75">
      <c r="R508" s="71"/>
      <c r="S508" s="71"/>
      <c r="T508" s="71"/>
      <c r="U508" s="71"/>
      <c r="V508" s="71"/>
      <c r="W508" s="71"/>
      <c r="X508" s="71"/>
    </row>
    <row r="509" spans="18:24" ht="12.75">
      <c r="R509" s="71"/>
      <c r="S509" s="71"/>
      <c r="T509" s="71"/>
      <c r="U509" s="71"/>
      <c r="V509" s="71"/>
      <c r="W509" s="71"/>
      <c r="X509" s="71"/>
    </row>
    <row r="510" spans="18:24" ht="12.75">
      <c r="R510" s="71"/>
      <c r="S510" s="71"/>
      <c r="T510" s="71"/>
      <c r="U510" s="71"/>
      <c r="V510" s="71"/>
      <c r="W510" s="71"/>
      <c r="X510" s="71"/>
    </row>
    <row r="511" spans="18:24" ht="12.75">
      <c r="R511" s="71"/>
      <c r="S511" s="71"/>
      <c r="T511" s="71"/>
      <c r="U511" s="71"/>
      <c r="V511" s="71"/>
      <c r="W511" s="71"/>
      <c r="X511" s="71"/>
    </row>
    <row r="512" spans="18:24" ht="12.75">
      <c r="R512" s="71"/>
      <c r="S512" s="71"/>
      <c r="T512" s="71"/>
      <c r="U512" s="71"/>
      <c r="V512" s="71"/>
      <c r="W512" s="71"/>
      <c r="X512" s="71"/>
    </row>
    <row r="513" spans="18:24" ht="12.75">
      <c r="R513" s="71"/>
      <c r="S513" s="71"/>
      <c r="T513" s="71"/>
      <c r="U513" s="71"/>
      <c r="V513" s="71"/>
      <c r="W513" s="71"/>
      <c r="X513" s="71"/>
    </row>
    <row r="514" spans="18:24" ht="12.75">
      <c r="R514" s="71"/>
      <c r="S514" s="71"/>
      <c r="T514" s="71"/>
      <c r="U514" s="71"/>
      <c r="V514" s="71"/>
      <c r="W514" s="71"/>
      <c r="X514" s="71"/>
    </row>
    <row r="515" spans="18:24" ht="12.75">
      <c r="R515" s="71"/>
      <c r="S515" s="71"/>
      <c r="T515" s="71"/>
      <c r="U515" s="71"/>
      <c r="V515" s="71"/>
      <c r="W515" s="71"/>
      <c r="X515" s="71"/>
    </row>
    <row r="516" spans="18:24" ht="12.75">
      <c r="R516" s="71"/>
      <c r="S516" s="71"/>
      <c r="T516" s="71"/>
      <c r="U516" s="71"/>
      <c r="V516" s="71"/>
      <c r="W516" s="71"/>
      <c r="X516" s="71"/>
    </row>
    <row r="517" spans="18:24" ht="12.75">
      <c r="R517" s="71"/>
      <c r="S517" s="71"/>
      <c r="T517" s="71"/>
      <c r="U517" s="71"/>
      <c r="V517" s="71"/>
      <c r="W517" s="71"/>
      <c r="X517" s="71"/>
    </row>
    <row r="518" spans="18:24" ht="12.75">
      <c r="R518" s="71"/>
      <c r="S518" s="71"/>
      <c r="T518" s="71"/>
      <c r="U518" s="71"/>
      <c r="V518" s="71"/>
      <c r="W518" s="71"/>
      <c r="X518" s="71"/>
    </row>
    <row r="519" spans="18:24" ht="12.75">
      <c r="R519" s="71"/>
      <c r="S519" s="71"/>
      <c r="T519" s="71"/>
      <c r="U519" s="71"/>
      <c r="V519" s="71"/>
      <c r="W519" s="71"/>
      <c r="X519" s="71"/>
    </row>
    <row r="520" spans="18:24" ht="12.75">
      <c r="R520" s="71"/>
      <c r="S520" s="71"/>
      <c r="T520" s="71"/>
      <c r="U520" s="71"/>
      <c r="V520" s="71"/>
      <c r="W520" s="71"/>
      <c r="X520" s="71"/>
    </row>
    <row r="521" spans="18:24" ht="12.75">
      <c r="R521" s="71"/>
      <c r="S521" s="71"/>
      <c r="T521" s="71"/>
      <c r="U521" s="71"/>
      <c r="V521" s="71"/>
      <c r="W521" s="71"/>
      <c r="X521" s="71"/>
    </row>
    <row r="522" spans="18:24" ht="12.75">
      <c r="R522" s="71"/>
      <c r="S522" s="71"/>
      <c r="T522" s="71"/>
      <c r="U522" s="71"/>
      <c r="V522" s="71"/>
      <c r="W522" s="71"/>
      <c r="X522" s="71"/>
    </row>
    <row r="523" spans="18:24" ht="12.75">
      <c r="R523" s="71"/>
      <c r="S523" s="71"/>
      <c r="T523" s="71"/>
      <c r="U523" s="71"/>
      <c r="V523" s="71"/>
      <c r="W523" s="71"/>
      <c r="X523" s="71"/>
    </row>
    <row r="524" spans="18:24" ht="12.75">
      <c r="R524" s="71"/>
      <c r="S524" s="71"/>
      <c r="T524" s="71"/>
      <c r="U524" s="71"/>
      <c r="V524" s="71"/>
      <c r="W524" s="71"/>
      <c r="X524" s="71"/>
    </row>
    <row r="525" spans="18:24" ht="12.75">
      <c r="R525" s="71"/>
      <c r="S525" s="71"/>
      <c r="T525" s="71"/>
      <c r="U525" s="71"/>
      <c r="V525" s="71"/>
      <c r="W525" s="71"/>
      <c r="X525" s="71"/>
    </row>
    <row r="526" spans="18:24" ht="12.75">
      <c r="R526" s="71"/>
      <c r="S526" s="71"/>
      <c r="T526" s="71"/>
      <c r="U526" s="71"/>
      <c r="V526" s="71"/>
      <c r="W526" s="71"/>
      <c r="X526" s="71"/>
    </row>
    <row r="527" spans="18:24" ht="12.75">
      <c r="R527" s="71"/>
      <c r="S527" s="71"/>
      <c r="T527" s="71"/>
      <c r="U527" s="71"/>
      <c r="V527" s="71"/>
      <c r="W527" s="71"/>
      <c r="X527" s="71"/>
    </row>
    <row r="528" spans="18:24" ht="12.75">
      <c r="R528" s="71"/>
      <c r="S528" s="71"/>
      <c r="T528" s="71"/>
      <c r="U528" s="71"/>
      <c r="V528" s="71"/>
      <c r="W528" s="71"/>
      <c r="X528" s="71"/>
    </row>
    <row r="529" spans="18:24" ht="12.75">
      <c r="R529" s="71"/>
      <c r="S529" s="71"/>
      <c r="T529" s="71"/>
      <c r="U529" s="71"/>
      <c r="V529" s="71"/>
      <c r="W529" s="71"/>
      <c r="X529" s="71"/>
    </row>
    <row r="530" spans="18:24" ht="12.75">
      <c r="R530" s="71"/>
      <c r="S530" s="71"/>
      <c r="T530" s="71"/>
      <c r="U530" s="71"/>
      <c r="V530" s="71"/>
      <c r="W530" s="71"/>
      <c r="X530" s="71"/>
    </row>
    <row r="531" spans="18:24" ht="12.75">
      <c r="R531" s="71"/>
      <c r="S531" s="71"/>
      <c r="T531" s="71"/>
      <c r="U531" s="71"/>
      <c r="V531" s="71"/>
      <c r="W531" s="71"/>
      <c r="X531" s="71"/>
    </row>
    <row r="532" spans="18:24" ht="12.75">
      <c r="R532" s="71"/>
      <c r="S532" s="71"/>
      <c r="T532" s="71"/>
      <c r="U532" s="71"/>
      <c r="V532" s="71"/>
      <c r="W532" s="71"/>
      <c r="X532" s="71"/>
    </row>
    <row r="533" spans="18:24" ht="12.75">
      <c r="R533" s="71"/>
      <c r="S533" s="71"/>
      <c r="T533" s="71"/>
      <c r="U533" s="71"/>
      <c r="V533" s="71"/>
      <c r="W533" s="71"/>
      <c r="X533" s="71"/>
    </row>
    <row r="534" spans="18:24" ht="12.75">
      <c r="R534" s="71"/>
      <c r="S534" s="71"/>
      <c r="T534" s="71"/>
      <c r="U534" s="71"/>
      <c r="V534" s="71"/>
      <c r="W534" s="71"/>
      <c r="X534" s="71"/>
    </row>
    <row r="535" spans="18:24" ht="12.75">
      <c r="R535" s="71"/>
      <c r="S535" s="71"/>
      <c r="T535" s="71"/>
      <c r="U535" s="71"/>
      <c r="V535" s="71"/>
      <c r="W535" s="71"/>
      <c r="X535" s="71"/>
    </row>
    <row r="536" spans="18:24" ht="12.75">
      <c r="R536" s="71"/>
      <c r="S536" s="71"/>
      <c r="T536" s="71"/>
      <c r="U536" s="71"/>
      <c r="V536" s="71"/>
      <c r="W536" s="71"/>
      <c r="X536" s="71"/>
    </row>
    <row r="537" spans="18:24" ht="12.75">
      <c r="R537" s="71"/>
      <c r="S537" s="71"/>
      <c r="T537" s="71"/>
      <c r="U537" s="71"/>
      <c r="V537" s="71"/>
      <c r="W537" s="71"/>
      <c r="X537" s="71"/>
    </row>
    <row r="538" spans="18:24" ht="12.75">
      <c r="R538" s="71"/>
      <c r="S538" s="71"/>
      <c r="T538" s="71"/>
      <c r="U538" s="71"/>
      <c r="V538" s="71"/>
      <c r="W538" s="71"/>
      <c r="X538" s="71"/>
    </row>
    <row r="539" spans="18:24" ht="12.75">
      <c r="R539" s="71"/>
      <c r="S539" s="71"/>
      <c r="T539" s="71"/>
      <c r="U539" s="71"/>
      <c r="V539" s="71"/>
      <c r="W539" s="71"/>
      <c r="X539" s="71"/>
    </row>
    <row r="540" spans="18:24" ht="12.75">
      <c r="R540" s="71"/>
      <c r="S540" s="71"/>
      <c r="T540" s="71"/>
      <c r="U540" s="71"/>
      <c r="V540" s="71"/>
      <c r="W540" s="71"/>
      <c r="X540" s="71"/>
    </row>
    <row r="541" spans="18:24" ht="12.75">
      <c r="R541" s="71"/>
      <c r="S541" s="71"/>
      <c r="T541" s="71"/>
      <c r="U541" s="71"/>
      <c r="V541" s="71"/>
      <c r="W541" s="71"/>
      <c r="X541" s="71"/>
    </row>
    <row r="542" spans="18:24" ht="12.75">
      <c r="R542" s="71"/>
      <c r="S542" s="71"/>
      <c r="T542" s="71"/>
      <c r="U542" s="71"/>
      <c r="V542" s="71"/>
      <c r="W542" s="71"/>
      <c r="X542" s="71"/>
    </row>
    <row r="543" spans="18:24" ht="12.75">
      <c r="R543" s="71"/>
      <c r="S543" s="71"/>
      <c r="T543" s="71"/>
      <c r="U543" s="71"/>
      <c r="V543" s="71"/>
      <c r="W543" s="71"/>
      <c r="X543" s="71"/>
    </row>
    <row r="544" spans="18:24" ht="12.75">
      <c r="R544" s="71"/>
      <c r="S544" s="71"/>
      <c r="T544" s="71"/>
      <c r="U544" s="71"/>
      <c r="V544" s="71"/>
      <c r="W544" s="71"/>
      <c r="X544" s="71"/>
    </row>
    <row r="545" spans="18:24" ht="12.75">
      <c r="R545" s="71"/>
      <c r="S545" s="71"/>
      <c r="T545" s="71"/>
      <c r="U545" s="71"/>
      <c r="V545" s="71"/>
      <c r="W545" s="71"/>
      <c r="X545" s="71"/>
    </row>
    <row r="546" spans="18:24" ht="12.75">
      <c r="R546" s="71"/>
      <c r="S546" s="71"/>
      <c r="T546" s="71"/>
      <c r="U546" s="71"/>
      <c r="V546" s="71"/>
      <c r="W546" s="71"/>
      <c r="X546" s="71"/>
    </row>
    <row r="547" spans="18:24" ht="12.75">
      <c r="R547" s="71"/>
      <c r="S547" s="71"/>
      <c r="T547" s="71"/>
      <c r="U547" s="71"/>
      <c r="V547" s="71"/>
      <c r="W547" s="71"/>
      <c r="X547" s="71"/>
    </row>
    <row r="548" spans="18:24" ht="12.75">
      <c r="R548" s="71"/>
      <c r="S548" s="71"/>
      <c r="T548" s="71"/>
      <c r="U548" s="71"/>
      <c r="V548" s="71"/>
      <c r="W548" s="71"/>
      <c r="X548" s="71"/>
    </row>
    <row r="549" spans="18:24" ht="12.75">
      <c r="R549" s="71"/>
      <c r="S549" s="71"/>
      <c r="T549" s="71"/>
      <c r="U549" s="71"/>
      <c r="V549" s="71"/>
      <c r="W549" s="71"/>
      <c r="X549" s="71"/>
    </row>
    <row r="550" spans="18:24" ht="12.75">
      <c r="R550" s="71"/>
      <c r="S550" s="71"/>
      <c r="T550" s="71"/>
      <c r="U550" s="71"/>
      <c r="V550" s="71"/>
      <c r="W550" s="71"/>
      <c r="X550" s="71"/>
    </row>
    <row r="551" spans="18:24" ht="12.75">
      <c r="R551" s="71"/>
      <c r="S551" s="71"/>
      <c r="T551" s="71"/>
      <c r="U551" s="71"/>
      <c r="V551" s="71"/>
      <c r="W551" s="71"/>
      <c r="X551" s="71"/>
    </row>
    <row r="552" spans="18:24" ht="12.75">
      <c r="R552" s="71"/>
      <c r="S552" s="71"/>
      <c r="T552" s="71"/>
      <c r="U552" s="71"/>
      <c r="V552" s="71"/>
      <c r="W552" s="71"/>
      <c r="X552" s="71"/>
    </row>
    <row r="553" spans="18:24" ht="12.75">
      <c r="R553" s="71"/>
      <c r="S553" s="71"/>
      <c r="T553" s="71"/>
      <c r="U553" s="71"/>
      <c r="V553" s="71"/>
      <c r="W553" s="71"/>
      <c r="X553" s="71"/>
    </row>
    <row r="554" spans="18:24" ht="12.75">
      <c r="R554" s="71"/>
      <c r="S554" s="71"/>
      <c r="T554" s="71"/>
      <c r="U554" s="71"/>
      <c r="V554" s="71"/>
      <c r="W554" s="71"/>
      <c r="X554" s="71"/>
    </row>
    <row r="555" spans="18:24" ht="12.75">
      <c r="R555" s="71"/>
      <c r="S555" s="71"/>
      <c r="T555" s="71"/>
      <c r="U555" s="71"/>
      <c r="V555" s="71"/>
      <c r="W555" s="71"/>
      <c r="X555" s="71"/>
    </row>
    <row r="556" spans="18:24" ht="12.75">
      <c r="R556" s="71"/>
      <c r="S556" s="71"/>
      <c r="T556" s="71"/>
      <c r="U556" s="71"/>
      <c r="V556" s="71"/>
      <c r="W556" s="71"/>
      <c r="X556" s="71"/>
    </row>
    <row r="557" spans="18:24" ht="12.75">
      <c r="R557" s="71"/>
      <c r="S557" s="71"/>
      <c r="T557" s="71"/>
      <c r="U557" s="71"/>
      <c r="V557" s="71"/>
      <c r="W557" s="71"/>
      <c r="X557" s="71"/>
    </row>
    <row r="558" spans="18:24" ht="12.75">
      <c r="R558" s="71"/>
      <c r="S558" s="71"/>
      <c r="T558" s="71"/>
      <c r="U558" s="71"/>
      <c r="V558" s="71"/>
      <c r="W558" s="71"/>
      <c r="X558" s="71"/>
    </row>
    <row r="559" spans="18:24" ht="12.75">
      <c r="R559" s="71"/>
      <c r="S559" s="71"/>
      <c r="T559" s="71"/>
      <c r="U559" s="71"/>
      <c r="V559" s="71"/>
      <c r="W559" s="71"/>
      <c r="X559" s="71"/>
    </row>
    <row r="560" spans="18:24" ht="12.75">
      <c r="R560" s="71"/>
      <c r="S560" s="71"/>
      <c r="T560" s="71"/>
      <c r="U560" s="71"/>
      <c r="V560" s="71"/>
      <c r="W560" s="71"/>
      <c r="X560" s="71"/>
    </row>
    <row r="561" spans="18:24" ht="12.75">
      <c r="R561" s="71"/>
      <c r="S561" s="71"/>
      <c r="T561" s="71"/>
      <c r="U561" s="71"/>
      <c r="V561" s="71"/>
      <c r="W561" s="71"/>
      <c r="X561" s="71"/>
    </row>
    <row r="562" spans="18:24" ht="12.75">
      <c r="R562" s="71"/>
      <c r="S562" s="71"/>
      <c r="T562" s="71"/>
      <c r="U562" s="71"/>
      <c r="V562" s="71"/>
      <c r="W562" s="71"/>
      <c r="X562" s="71"/>
    </row>
    <row r="563" spans="18:24" ht="12.75">
      <c r="R563" s="71"/>
      <c r="S563" s="71"/>
      <c r="T563" s="71"/>
      <c r="U563" s="71"/>
      <c r="V563" s="71"/>
      <c r="W563" s="71"/>
      <c r="X563" s="71"/>
    </row>
    <row r="564" spans="18:24" ht="12.75">
      <c r="R564" s="71"/>
      <c r="S564" s="71"/>
      <c r="T564" s="71"/>
      <c r="U564" s="71"/>
      <c r="V564" s="71"/>
      <c r="W564" s="71"/>
      <c r="X564" s="71"/>
    </row>
    <row r="565" spans="18:24" ht="12.75">
      <c r="R565" s="71"/>
      <c r="S565" s="71"/>
      <c r="T565" s="71"/>
      <c r="U565" s="71"/>
      <c r="V565" s="71"/>
      <c r="W565" s="71"/>
      <c r="X565" s="71"/>
    </row>
    <row r="566" spans="18:24" ht="12.75">
      <c r="R566" s="71"/>
      <c r="S566" s="71"/>
      <c r="T566" s="71"/>
      <c r="U566" s="71"/>
      <c r="V566" s="71"/>
      <c r="W566" s="71"/>
      <c r="X566" s="71"/>
    </row>
    <row r="567" spans="18:24" ht="12.75">
      <c r="R567" s="71"/>
      <c r="S567" s="71"/>
      <c r="T567" s="71"/>
      <c r="U567" s="71"/>
      <c r="V567" s="71"/>
      <c r="W567" s="71"/>
      <c r="X567" s="71"/>
    </row>
    <row r="568" spans="18:24" ht="12.75">
      <c r="R568" s="71"/>
      <c r="S568" s="71"/>
      <c r="T568" s="71"/>
      <c r="U568" s="71"/>
      <c r="V568" s="71"/>
      <c r="W568" s="71"/>
      <c r="X568" s="71"/>
    </row>
    <row r="569" spans="18:24" ht="12.75">
      <c r="R569" s="71"/>
      <c r="S569" s="71"/>
      <c r="T569" s="71"/>
      <c r="U569" s="71"/>
      <c r="V569" s="71"/>
      <c r="W569" s="71"/>
      <c r="X569" s="71"/>
    </row>
    <row r="570" spans="18:24" ht="12.75">
      <c r="R570" s="71"/>
      <c r="S570" s="71"/>
      <c r="T570" s="71"/>
      <c r="U570" s="71"/>
      <c r="V570" s="71"/>
      <c r="W570" s="71"/>
      <c r="X570" s="71"/>
    </row>
    <row r="571" spans="18:24" ht="12.75">
      <c r="R571" s="71"/>
      <c r="S571" s="71"/>
      <c r="T571" s="71"/>
      <c r="U571" s="71"/>
      <c r="V571" s="71"/>
      <c r="W571" s="71"/>
      <c r="X571" s="71"/>
    </row>
    <row r="572" spans="18:24" ht="12.75">
      <c r="R572" s="71"/>
      <c r="S572" s="71"/>
      <c r="T572" s="71"/>
      <c r="U572" s="71"/>
      <c r="V572" s="71"/>
      <c r="W572" s="71"/>
      <c r="X572" s="71"/>
    </row>
    <row r="573" spans="18:24" ht="12.75">
      <c r="R573" s="71"/>
      <c r="S573" s="71"/>
      <c r="T573" s="71"/>
      <c r="U573" s="71"/>
      <c r="V573" s="71"/>
      <c r="W573" s="71"/>
      <c r="X573" s="71"/>
    </row>
    <row r="574" spans="18:24" ht="12.75">
      <c r="R574" s="71"/>
      <c r="S574" s="71"/>
      <c r="T574" s="71"/>
      <c r="U574" s="71"/>
      <c r="V574" s="71"/>
      <c r="W574" s="71"/>
      <c r="X574" s="71"/>
    </row>
    <row r="575" spans="18:24" ht="12.75">
      <c r="R575" s="71"/>
      <c r="S575" s="71"/>
      <c r="T575" s="71"/>
      <c r="U575" s="71"/>
      <c r="V575" s="71"/>
      <c r="W575" s="71"/>
      <c r="X575" s="71"/>
    </row>
    <row r="576" spans="18:24" ht="12.75">
      <c r="R576" s="71"/>
      <c r="S576" s="71"/>
      <c r="T576" s="71"/>
      <c r="U576" s="71"/>
      <c r="V576" s="71"/>
      <c r="W576" s="71"/>
      <c r="X576" s="71"/>
    </row>
    <row r="577" spans="18:24" ht="12.75">
      <c r="R577" s="71"/>
      <c r="S577" s="71"/>
      <c r="T577" s="71"/>
      <c r="U577" s="71"/>
      <c r="V577" s="71"/>
      <c r="W577" s="71"/>
      <c r="X577" s="71"/>
    </row>
    <row r="578" spans="18:24" ht="12.75">
      <c r="R578" s="71"/>
      <c r="S578" s="71"/>
      <c r="T578" s="71"/>
      <c r="U578" s="71"/>
      <c r="V578" s="71"/>
      <c r="W578" s="71"/>
      <c r="X578" s="71"/>
    </row>
    <row r="579" spans="18:24" ht="12.75">
      <c r="R579" s="71"/>
      <c r="S579" s="71"/>
      <c r="T579" s="71"/>
      <c r="U579" s="71"/>
      <c r="V579" s="71"/>
      <c r="W579" s="71"/>
      <c r="X579" s="71"/>
    </row>
    <row r="580" spans="18:24" ht="12.75">
      <c r="R580" s="71"/>
      <c r="S580" s="71"/>
      <c r="T580" s="71"/>
      <c r="U580" s="71"/>
      <c r="V580" s="71"/>
      <c r="W580" s="71"/>
      <c r="X580" s="71"/>
    </row>
    <row r="581" spans="18:24" ht="12.75">
      <c r="R581" s="71"/>
      <c r="S581" s="71"/>
      <c r="T581" s="71"/>
      <c r="U581" s="71"/>
      <c r="V581" s="71"/>
      <c r="W581" s="71"/>
      <c r="X581" s="71"/>
    </row>
    <row r="582" spans="18:24" ht="12.75">
      <c r="R582" s="71"/>
      <c r="S582" s="71"/>
      <c r="T582" s="71"/>
      <c r="U582" s="71"/>
      <c r="V582" s="71"/>
      <c r="W582" s="71"/>
      <c r="X582" s="71"/>
    </row>
    <row r="583" spans="18:24" ht="12.75">
      <c r="R583" s="71"/>
      <c r="S583" s="71"/>
      <c r="T583" s="71"/>
      <c r="U583" s="71"/>
      <c r="V583" s="71"/>
      <c r="W583" s="71"/>
      <c r="X583" s="71"/>
    </row>
    <row r="584" spans="18:24" ht="12.75">
      <c r="R584" s="71"/>
      <c r="S584" s="71"/>
      <c r="T584" s="71"/>
      <c r="U584" s="71"/>
      <c r="V584" s="71"/>
      <c r="W584" s="71"/>
      <c r="X584" s="71"/>
    </row>
    <row r="585" spans="18:24" ht="12.75">
      <c r="R585" s="71"/>
      <c r="S585" s="71"/>
      <c r="T585" s="71"/>
      <c r="U585" s="71"/>
      <c r="V585" s="71"/>
      <c r="W585" s="71"/>
      <c r="X585" s="71"/>
    </row>
    <row r="586" spans="18:24" ht="12.75">
      <c r="R586" s="71"/>
      <c r="S586" s="71"/>
      <c r="T586" s="71"/>
      <c r="U586" s="71"/>
      <c r="V586" s="71"/>
      <c r="W586" s="71"/>
      <c r="X586" s="71"/>
    </row>
    <row r="587" spans="18:24" ht="12.75">
      <c r="R587" s="71"/>
      <c r="S587" s="71"/>
      <c r="T587" s="71"/>
      <c r="U587" s="71"/>
      <c r="V587" s="71"/>
      <c r="W587" s="71"/>
      <c r="X587" s="71"/>
    </row>
    <row r="588" spans="18:24" ht="12.75">
      <c r="R588" s="71"/>
      <c r="S588" s="71"/>
      <c r="T588" s="71"/>
      <c r="U588" s="71"/>
      <c r="V588" s="71"/>
      <c r="W588" s="71"/>
      <c r="X588" s="71"/>
    </row>
    <row r="589" spans="18:24" ht="12.75">
      <c r="R589" s="71"/>
      <c r="S589" s="71"/>
      <c r="T589" s="71"/>
      <c r="U589" s="71"/>
      <c r="V589" s="71"/>
      <c r="W589" s="71"/>
      <c r="X589" s="71"/>
    </row>
    <row r="590" spans="18:24" ht="12.75">
      <c r="R590" s="71"/>
      <c r="S590" s="71"/>
      <c r="T590" s="71"/>
      <c r="U590" s="71"/>
      <c r="V590" s="71"/>
      <c r="W590" s="71"/>
      <c r="X590" s="71"/>
    </row>
    <row r="591" spans="18:24" ht="12.75">
      <c r="R591" s="71"/>
      <c r="S591" s="71"/>
      <c r="T591" s="71"/>
      <c r="U591" s="71"/>
      <c r="V591" s="71"/>
      <c r="W591" s="71"/>
      <c r="X591" s="71"/>
    </row>
    <row r="592" spans="18:24" ht="12.75">
      <c r="R592" s="71"/>
      <c r="S592" s="71"/>
      <c r="T592" s="71"/>
      <c r="U592" s="71"/>
      <c r="V592" s="71"/>
      <c r="W592" s="71"/>
      <c r="X592" s="71"/>
    </row>
    <row r="593" spans="18:24" ht="12.75">
      <c r="R593" s="71"/>
      <c r="S593" s="71"/>
      <c r="T593" s="71"/>
      <c r="U593" s="71"/>
      <c r="V593" s="71"/>
      <c r="W593" s="71"/>
      <c r="X593" s="71"/>
    </row>
    <row r="594" spans="18:24" ht="12.75">
      <c r="R594" s="71"/>
      <c r="S594" s="71"/>
      <c r="T594" s="71"/>
      <c r="U594" s="71"/>
      <c r="V594" s="71"/>
      <c r="W594" s="71"/>
      <c r="X594" s="71"/>
    </row>
    <row r="595" spans="18:24" ht="12.75">
      <c r="R595" s="71"/>
      <c r="S595" s="71"/>
      <c r="T595" s="71"/>
      <c r="U595" s="71"/>
      <c r="V595" s="71"/>
      <c r="W595" s="71"/>
      <c r="X595" s="71"/>
    </row>
    <row r="596" spans="18:24" ht="12.75">
      <c r="R596" s="71"/>
      <c r="S596" s="71"/>
      <c r="T596" s="71"/>
      <c r="U596" s="71"/>
      <c r="V596" s="71"/>
      <c r="W596" s="71"/>
      <c r="X596" s="71"/>
    </row>
    <row r="597" spans="18:24" ht="12.75">
      <c r="R597" s="71"/>
      <c r="S597" s="71"/>
      <c r="T597" s="71"/>
      <c r="U597" s="71"/>
      <c r="V597" s="71"/>
      <c r="W597" s="71"/>
      <c r="X597" s="71"/>
    </row>
    <row r="598" spans="18:24" ht="12.75">
      <c r="R598" s="71"/>
      <c r="S598" s="71"/>
      <c r="T598" s="71"/>
      <c r="U598" s="71"/>
      <c r="V598" s="71"/>
      <c r="W598" s="71"/>
      <c r="X598" s="71"/>
    </row>
    <row r="599" spans="18:24" ht="12.75">
      <c r="R599" s="71"/>
      <c r="S599" s="71"/>
      <c r="T599" s="71"/>
      <c r="U599" s="71"/>
      <c r="V599" s="71"/>
      <c r="W599" s="71"/>
      <c r="X599" s="71"/>
    </row>
    <row r="600" spans="18:24" ht="12.75">
      <c r="R600" s="71"/>
      <c r="S600" s="71"/>
      <c r="T600" s="71"/>
      <c r="U600" s="71"/>
      <c r="V600" s="71"/>
      <c r="W600" s="71"/>
      <c r="X600" s="71"/>
    </row>
    <row r="601" spans="18:24" ht="12.75">
      <c r="R601" s="71"/>
      <c r="S601" s="71"/>
      <c r="T601" s="71"/>
      <c r="U601" s="71"/>
      <c r="V601" s="71"/>
      <c r="W601" s="71"/>
      <c r="X601" s="71"/>
    </row>
    <row r="602" spans="18:24" ht="12.75">
      <c r="R602" s="71"/>
      <c r="S602" s="71"/>
      <c r="T602" s="71"/>
      <c r="U602" s="71"/>
      <c r="V602" s="71"/>
      <c r="W602" s="71"/>
      <c r="X602" s="71"/>
    </row>
    <row r="603" spans="18:24" ht="12.75">
      <c r="R603" s="71"/>
      <c r="S603" s="71"/>
      <c r="T603" s="71"/>
      <c r="U603" s="71"/>
      <c r="V603" s="71"/>
      <c r="W603" s="71"/>
      <c r="X603" s="71"/>
    </row>
    <row r="604" spans="18:24" ht="12.75">
      <c r="R604" s="71"/>
      <c r="S604" s="71"/>
      <c r="T604" s="71"/>
      <c r="U604" s="71"/>
      <c r="V604" s="71"/>
      <c r="W604" s="71"/>
      <c r="X604" s="71"/>
    </row>
    <row r="605" spans="18:24" ht="12.75">
      <c r="R605" s="71"/>
      <c r="S605" s="71"/>
      <c r="T605" s="71"/>
      <c r="U605" s="71"/>
      <c r="V605" s="71"/>
      <c r="W605" s="71"/>
      <c r="X605" s="71"/>
    </row>
    <row r="606" spans="18:24" ht="12.75">
      <c r="R606" s="71"/>
      <c r="S606" s="71"/>
      <c r="T606" s="71"/>
      <c r="U606" s="71"/>
      <c r="V606" s="71"/>
      <c r="W606" s="71"/>
      <c r="X606" s="71"/>
    </row>
    <row r="607" spans="18:24" ht="12.75">
      <c r="R607" s="71"/>
      <c r="S607" s="71"/>
      <c r="T607" s="71"/>
      <c r="U607" s="71"/>
      <c r="V607" s="71"/>
      <c r="W607" s="71"/>
      <c r="X607" s="71"/>
    </row>
    <row r="608" spans="18:24" ht="12.75">
      <c r="R608" s="71"/>
      <c r="S608" s="71"/>
      <c r="T608" s="71"/>
      <c r="U608" s="71"/>
      <c r="V608" s="71"/>
      <c r="W608" s="71"/>
      <c r="X608" s="71"/>
    </row>
    <row r="609" spans="18:24" ht="12.75">
      <c r="R609" s="71"/>
      <c r="S609" s="71"/>
      <c r="T609" s="71"/>
      <c r="U609" s="71"/>
      <c r="V609" s="71"/>
      <c r="W609" s="71"/>
      <c r="X609" s="71"/>
    </row>
    <row r="610" spans="18:24" ht="12.75">
      <c r="R610" s="71"/>
      <c r="S610" s="71"/>
      <c r="T610" s="71"/>
      <c r="U610" s="71"/>
      <c r="V610" s="71"/>
      <c r="W610" s="71"/>
      <c r="X610" s="71"/>
    </row>
    <row r="611" spans="18:24" ht="12.75">
      <c r="R611" s="71"/>
      <c r="S611" s="71"/>
      <c r="T611" s="71"/>
      <c r="U611" s="71"/>
      <c r="V611" s="71"/>
      <c r="W611" s="71"/>
      <c r="X611" s="71"/>
    </row>
    <row r="612" spans="18:24" ht="12.75">
      <c r="R612" s="71"/>
      <c r="S612" s="71"/>
      <c r="T612" s="71"/>
      <c r="U612" s="71"/>
      <c r="V612" s="71"/>
      <c r="W612" s="71"/>
      <c r="X612" s="71"/>
    </row>
    <row r="613" spans="18:24" ht="12.75">
      <c r="R613" s="71"/>
      <c r="S613" s="71"/>
      <c r="T613" s="71"/>
      <c r="U613" s="71"/>
      <c r="V613" s="71"/>
      <c r="W613" s="71"/>
      <c r="X613" s="71"/>
    </row>
    <row r="614" spans="18:24" ht="12.75">
      <c r="R614" s="71"/>
      <c r="S614" s="71"/>
      <c r="T614" s="71"/>
      <c r="U614" s="71"/>
      <c r="V614" s="71"/>
      <c r="W614" s="71"/>
      <c r="X614" s="71"/>
    </row>
    <row r="615" spans="18:24" ht="12.75">
      <c r="R615" s="71"/>
      <c r="S615" s="71"/>
      <c r="T615" s="71"/>
      <c r="U615" s="71"/>
      <c r="V615" s="71"/>
      <c r="W615" s="71"/>
      <c r="X615" s="71"/>
    </row>
    <row r="616" spans="18:24" ht="12.75">
      <c r="R616" s="71"/>
      <c r="S616" s="71"/>
      <c r="T616" s="71"/>
      <c r="U616" s="71"/>
      <c r="V616" s="71"/>
      <c r="W616" s="71"/>
      <c r="X616" s="71"/>
    </row>
    <row r="617" spans="18:24" ht="12.75">
      <c r="R617" s="71"/>
      <c r="S617" s="71"/>
      <c r="T617" s="71"/>
      <c r="U617" s="71"/>
      <c r="V617" s="71"/>
      <c r="W617" s="71"/>
      <c r="X617" s="71"/>
    </row>
    <row r="618" spans="18:24" ht="12.75">
      <c r="R618" s="71"/>
      <c r="S618" s="71"/>
      <c r="T618" s="71"/>
      <c r="U618" s="71"/>
      <c r="V618" s="71"/>
      <c r="W618" s="71"/>
      <c r="X618" s="71"/>
    </row>
    <row r="619" spans="18:24" ht="12.75">
      <c r="R619" s="71"/>
      <c r="S619" s="71"/>
      <c r="T619" s="71"/>
      <c r="U619" s="71"/>
      <c r="V619" s="71"/>
      <c r="W619" s="71"/>
      <c r="X619" s="71"/>
    </row>
    <row r="620" spans="18:24" ht="12.75">
      <c r="R620" s="71"/>
      <c r="S620" s="71"/>
      <c r="T620" s="71"/>
      <c r="U620" s="71"/>
      <c r="V620" s="71"/>
      <c r="W620" s="71"/>
      <c r="X620" s="71"/>
    </row>
    <row r="621" spans="18:24" ht="12.75">
      <c r="R621" s="71"/>
      <c r="S621" s="71"/>
      <c r="T621" s="71"/>
      <c r="U621" s="71"/>
      <c r="V621" s="71"/>
      <c r="W621" s="71"/>
      <c r="X621" s="71"/>
    </row>
    <row r="622" spans="18:24" ht="12.75">
      <c r="R622" s="71"/>
      <c r="S622" s="71"/>
      <c r="T622" s="71"/>
      <c r="U622" s="71"/>
      <c r="V622" s="71"/>
      <c r="W622" s="71"/>
      <c r="X622" s="71"/>
    </row>
    <row r="623" spans="18:24" ht="12.75">
      <c r="R623" s="71"/>
      <c r="S623" s="71"/>
      <c r="T623" s="71"/>
      <c r="U623" s="71"/>
      <c r="V623" s="71"/>
      <c r="W623" s="71"/>
      <c r="X623" s="71"/>
    </row>
    <row r="624" spans="18:24" ht="12.75">
      <c r="R624" s="71"/>
      <c r="S624" s="71"/>
      <c r="T624" s="71"/>
      <c r="U624" s="71"/>
      <c r="V624" s="71"/>
      <c r="W624" s="71"/>
      <c r="X624" s="71"/>
    </row>
    <row r="625" spans="18:24" ht="12.75">
      <c r="R625" s="71"/>
      <c r="S625" s="71"/>
      <c r="T625" s="71"/>
      <c r="U625" s="71"/>
      <c r="V625" s="71"/>
      <c r="W625" s="71"/>
      <c r="X625" s="71"/>
    </row>
    <row r="626" spans="18:24" ht="12.75">
      <c r="R626" s="71"/>
      <c r="S626" s="71"/>
      <c r="T626" s="71"/>
      <c r="U626" s="71"/>
      <c r="V626" s="71"/>
      <c r="W626" s="71"/>
      <c r="X626" s="71"/>
    </row>
    <row r="627" spans="18:24" ht="12.75">
      <c r="R627" s="71"/>
      <c r="S627" s="71"/>
      <c r="T627" s="71"/>
      <c r="U627" s="71"/>
      <c r="V627" s="71"/>
      <c r="W627" s="71"/>
      <c r="X627" s="71"/>
    </row>
    <row r="628" spans="18:24" ht="12.75">
      <c r="R628" s="71"/>
      <c r="S628" s="71"/>
      <c r="T628" s="71"/>
      <c r="U628" s="71"/>
      <c r="V628" s="71"/>
      <c r="W628" s="71"/>
      <c r="X628" s="71"/>
    </row>
    <row r="629" spans="18:24" ht="12.75">
      <c r="R629" s="71"/>
      <c r="S629" s="71"/>
      <c r="T629" s="71"/>
      <c r="U629" s="71"/>
      <c r="V629" s="71"/>
      <c r="W629" s="71"/>
      <c r="X629" s="71"/>
    </row>
    <row r="630" spans="18:24" ht="12.75">
      <c r="R630" s="71"/>
      <c r="S630" s="71"/>
      <c r="T630" s="71"/>
      <c r="U630" s="71"/>
      <c r="V630" s="71"/>
      <c r="W630" s="71"/>
      <c r="X630" s="71"/>
    </row>
    <row r="631" spans="18:24" ht="12.75">
      <c r="R631" s="71"/>
      <c r="S631" s="71"/>
      <c r="T631" s="71"/>
      <c r="U631" s="71"/>
      <c r="V631" s="71"/>
      <c r="W631" s="71"/>
      <c r="X631" s="71"/>
    </row>
    <row r="632" spans="18:24" ht="12.75">
      <c r="R632" s="71"/>
      <c r="S632" s="71"/>
      <c r="T632" s="71"/>
      <c r="U632" s="71"/>
      <c r="V632" s="71"/>
      <c r="W632" s="71"/>
      <c r="X632" s="71"/>
    </row>
    <row r="633" spans="18:24" ht="12.75">
      <c r="R633" s="71"/>
      <c r="S633" s="71"/>
      <c r="T633" s="71"/>
      <c r="U633" s="71"/>
      <c r="V633" s="71"/>
      <c r="W633" s="71"/>
      <c r="X633" s="71"/>
    </row>
    <row r="634" spans="18:24" ht="12.75">
      <c r="R634" s="71"/>
      <c r="S634" s="71"/>
      <c r="T634" s="71"/>
      <c r="U634" s="71"/>
      <c r="V634" s="71"/>
      <c r="W634" s="71"/>
      <c r="X634" s="71"/>
    </row>
    <row r="635" spans="18:24" ht="12.75">
      <c r="R635" s="71"/>
      <c r="S635" s="71"/>
      <c r="T635" s="71"/>
      <c r="U635" s="71"/>
      <c r="V635" s="71"/>
      <c r="W635" s="71"/>
      <c r="X635" s="71"/>
    </row>
    <row r="636" spans="18:24" ht="12.75">
      <c r="R636" s="71"/>
      <c r="S636" s="71"/>
      <c r="T636" s="71"/>
      <c r="U636" s="71"/>
      <c r="V636" s="71"/>
      <c r="W636" s="71"/>
      <c r="X636" s="71"/>
    </row>
    <row r="637" spans="18:24" ht="12.75">
      <c r="R637" s="71"/>
      <c r="S637" s="71"/>
      <c r="T637" s="71"/>
      <c r="U637" s="71"/>
      <c r="V637" s="71"/>
      <c r="W637" s="71"/>
      <c r="X637" s="71"/>
    </row>
    <row r="638" spans="18:24" ht="12.75">
      <c r="R638" s="71"/>
      <c r="S638" s="71"/>
      <c r="T638" s="71"/>
      <c r="U638" s="71"/>
      <c r="V638" s="71"/>
      <c r="W638" s="71"/>
      <c r="X638" s="71"/>
    </row>
    <row r="639" spans="18:24" ht="12.75">
      <c r="R639" s="71"/>
      <c r="S639" s="71"/>
      <c r="T639" s="71"/>
      <c r="U639" s="71"/>
      <c r="V639" s="71"/>
      <c r="W639" s="71"/>
      <c r="X639" s="71"/>
    </row>
    <row r="640" spans="18:24" ht="12.75">
      <c r="R640" s="71"/>
      <c r="S640" s="71"/>
      <c r="T640" s="71"/>
      <c r="U640" s="71"/>
      <c r="V640" s="71"/>
      <c r="W640" s="71"/>
      <c r="X640" s="71"/>
    </row>
    <row r="641" spans="18:24" ht="12.75">
      <c r="R641" s="71"/>
      <c r="S641" s="71"/>
      <c r="T641" s="71"/>
      <c r="U641" s="71"/>
      <c r="V641" s="71"/>
      <c r="W641" s="71"/>
      <c r="X641" s="71"/>
    </row>
    <row r="642" spans="18:24" ht="12.75">
      <c r="R642" s="71"/>
      <c r="S642" s="71"/>
      <c r="T642" s="71"/>
      <c r="U642" s="71"/>
      <c r="V642" s="71"/>
      <c r="W642" s="71"/>
      <c r="X642" s="71"/>
    </row>
    <row r="643" spans="18:24" ht="12.75">
      <c r="R643" s="71"/>
      <c r="S643" s="71"/>
      <c r="T643" s="71"/>
      <c r="U643" s="71"/>
      <c r="V643" s="71"/>
      <c r="W643" s="71"/>
      <c r="X643" s="71"/>
    </row>
    <row r="644" spans="18:24" ht="12.75">
      <c r="R644" s="71"/>
      <c r="S644" s="71"/>
      <c r="T644" s="71"/>
      <c r="U644" s="71"/>
      <c r="V644" s="71"/>
      <c r="W644" s="71"/>
      <c r="X644" s="71"/>
    </row>
    <row r="645" spans="18:24" ht="12.75">
      <c r="R645" s="71"/>
      <c r="S645" s="71"/>
      <c r="T645" s="71"/>
      <c r="U645" s="71"/>
      <c r="V645" s="71"/>
      <c r="W645" s="71"/>
      <c r="X645" s="71"/>
    </row>
    <row r="646" spans="18:24" ht="12.75">
      <c r="R646" s="71"/>
      <c r="S646" s="71"/>
      <c r="T646" s="71"/>
      <c r="U646" s="71"/>
      <c r="V646" s="71"/>
      <c r="W646" s="71"/>
      <c r="X646" s="71"/>
    </row>
    <row r="647" spans="18:24" ht="12.75">
      <c r="R647" s="71"/>
      <c r="S647" s="71"/>
      <c r="T647" s="71"/>
      <c r="U647" s="71"/>
      <c r="V647" s="71"/>
      <c r="W647" s="71"/>
      <c r="X647" s="71"/>
    </row>
    <row r="648" spans="18:24" ht="12.75">
      <c r="R648" s="71"/>
      <c r="S648" s="71"/>
      <c r="T648" s="71"/>
      <c r="U648" s="71"/>
      <c r="V648" s="71"/>
      <c r="W648" s="71"/>
      <c r="X648" s="71"/>
    </row>
    <row r="649" spans="18:24" ht="12.75">
      <c r="R649" s="71"/>
      <c r="S649" s="71"/>
      <c r="T649" s="71"/>
      <c r="U649" s="71"/>
      <c r="V649" s="71"/>
      <c r="W649" s="71"/>
      <c r="X649" s="71"/>
    </row>
    <row r="650" spans="18:24" ht="12.75">
      <c r="R650" s="71"/>
      <c r="S650" s="71"/>
      <c r="T650" s="71"/>
      <c r="U650" s="71"/>
      <c r="V650" s="71"/>
      <c r="W650" s="71"/>
      <c r="X650" s="71"/>
    </row>
    <row r="651" spans="18:24" ht="12.75">
      <c r="R651" s="71"/>
      <c r="S651" s="71"/>
      <c r="T651" s="71"/>
      <c r="U651" s="71"/>
      <c r="V651" s="71"/>
      <c r="W651" s="71"/>
      <c r="X651" s="71"/>
    </row>
    <row r="652" spans="18:24" ht="12.75">
      <c r="R652" s="71"/>
      <c r="S652" s="71"/>
      <c r="T652" s="71"/>
      <c r="U652" s="71"/>
      <c r="V652" s="71"/>
      <c r="W652" s="71"/>
      <c r="X652" s="71"/>
    </row>
    <row r="653" spans="18:24" ht="12.75">
      <c r="R653" s="71"/>
      <c r="S653" s="71"/>
      <c r="T653" s="71"/>
      <c r="U653" s="71"/>
      <c r="V653" s="71"/>
      <c r="W653" s="71"/>
      <c r="X653" s="71"/>
    </row>
    <row r="654" spans="18:24" ht="12.75">
      <c r="R654" s="71"/>
      <c r="S654" s="71"/>
      <c r="T654" s="71"/>
      <c r="U654" s="71"/>
      <c r="V654" s="71"/>
      <c r="W654" s="71"/>
      <c r="X654" s="71"/>
    </row>
    <row r="655" spans="18:24" ht="12.75">
      <c r="R655" s="71"/>
      <c r="S655" s="71"/>
      <c r="T655" s="71"/>
      <c r="U655" s="71"/>
      <c r="V655" s="71"/>
      <c r="W655" s="71"/>
      <c r="X655" s="71"/>
    </row>
    <row r="656" spans="18:24" ht="12.75">
      <c r="R656" s="71"/>
      <c r="S656" s="71"/>
      <c r="T656" s="71"/>
      <c r="U656" s="71"/>
      <c r="V656" s="71"/>
      <c r="W656" s="71"/>
      <c r="X656" s="71"/>
    </row>
    <row r="657" spans="18:24" ht="12.75">
      <c r="R657" s="71"/>
      <c r="S657" s="71"/>
      <c r="T657" s="71"/>
      <c r="U657" s="71"/>
      <c r="V657" s="71"/>
      <c r="W657" s="71"/>
      <c r="X657" s="71"/>
    </row>
    <row r="658" spans="18:24" ht="12.75">
      <c r="R658" s="71"/>
      <c r="S658" s="71"/>
      <c r="T658" s="71"/>
      <c r="U658" s="71"/>
      <c r="V658" s="71"/>
      <c r="W658" s="71"/>
      <c r="X658" s="71"/>
    </row>
    <row r="659" spans="18:24" ht="12.75">
      <c r="R659" s="71"/>
      <c r="S659" s="71"/>
      <c r="T659" s="71"/>
      <c r="U659" s="71"/>
      <c r="V659" s="71"/>
      <c r="W659" s="71"/>
      <c r="X659" s="71"/>
    </row>
    <row r="660" spans="18:24" ht="12.75">
      <c r="R660" s="71"/>
      <c r="S660" s="71"/>
      <c r="T660" s="71"/>
      <c r="U660" s="71"/>
      <c r="V660" s="71"/>
      <c r="W660" s="71"/>
      <c r="X660" s="71"/>
    </row>
    <row r="661" spans="18:24" ht="12.75">
      <c r="R661" s="71"/>
      <c r="S661" s="71"/>
      <c r="T661" s="71"/>
      <c r="U661" s="71"/>
      <c r="V661" s="71"/>
      <c r="W661" s="71"/>
      <c r="X661" s="71"/>
    </row>
    <row r="662" spans="18:24" ht="12.75">
      <c r="R662" s="71"/>
      <c r="S662" s="71"/>
      <c r="T662" s="71"/>
      <c r="U662" s="71"/>
      <c r="V662" s="71"/>
      <c r="W662" s="71"/>
      <c r="X662" s="71"/>
    </row>
    <row r="663" spans="18:24" ht="12.75">
      <c r="R663" s="71"/>
      <c r="S663" s="71"/>
      <c r="T663" s="71"/>
      <c r="U663" s="71"/>
      <c r="V663" s="71"/>
      <c r="W663" s="71"/>
      <c r="X663" s="71"/>
    </row>
    <row r="664" spans="18:24" ht="12.75">
      <c r="R664" s="71"/>
      <c r="S664" s="71"/>
      <c r="T664" s="71"/>
      <c r="U664" s="71"/>
      <c r="V664" s="71"/>
      <c r="W664" s="71"/>
      <c r="X664" s="71"/>
    </row>
    <row r="665" spans="18:24" ht="12.75">
      <c r="R665" s="71"/>
      <c r="S665" s="71"/>
      <c r="T665" s="71"/>
      <c r="U665" s="71"/>
      <c r="V665" s="71"/>
      <c r="W665" s="71"/>
      <c r="X665" s="71"/>
    </row>
    <row r="666" spans="18:24" ht="12.75">
      <c r="R666" s="71"/>
      <c r="S666" s="71"/>
      <c r="T666" s="71"/>
      <c r="U666" s="71"/>
      <c r="V666" s="71"/>
      <c r="W666" s="71"/>
      <c r="X666" s="71"/>
    </row>
    <row r="667" spans="18:24" ht="12.75">
      <c r="R667" s="71"/>
      <c r="S667" s="71"/>
      <c r="T667" s="71"/>
      <c r="U667" s="71"/>
      <c r="V667" s="71"/>
      <c r="W667" s="71"/>
      <c r="X667" s="71"/>
    </row>
    <row r="668" spans="18:24" ht="12.75">
      <c r="R668" s="71"/>
      <c r="S668" s="71"/>
      <c r="T668" s="71"/>
      <c r="U668" s="71"/>
      <c r="V668" s="71"/>
      <c r="W668" s="71"/>
      <c r="X668" s="71"/>
    </row>
    <row r="669" spans="18:24" ht="12.75">
      <c r="R669" s="71"/>
      <c r="S669" s="71"/>
      <c r="T669" s="71"/>
      <c r="U669" s="71"/>
      <c r="V669" s="71"/>
      <c r="W669" s="71"/>
      <c r="X669" s="71"/>
    </row>
    <row r="670" spans="18:24" ht="12.75">
      <c r="R670" s="71"/>
      <c r="S670" s="71"/>
      <c r="T670" s="71"/>
      <c r="U670" s="71"/>
      <c r="V670" s="71"/>
      <c r="W670" s="71"/>
      <c r="X670" s="71"/>
    </row>
    <row r="671" spans="18:24" ht="12.75">
      <c r="R671" s="71"/>
      <c r="S671" s="71"/>
      <c r="T671" s="71"/>
      <c r="U671" s="71"/>
      <c r="V671" s="71"/>
      <c r="W671" s="71"/>
      <c r="X671" s="71"/>
    </row>
    <row r="672" spans="18:24" ht="12.75">
      <c r="R672" s="71"/>
      <c r="S672" s="71"/>
      <c r="T672" s="71"/>
      <c r="U672" s="71"/>
      <c r="V672" s="71"/>
      <c r="W672" s="71"/>
      <c r="X672" s="71"/>
    </row>
    <row r="673" spans="18:24" ht="12.75">
      <c r="R673" s="71"/>
      <c r="S673" s="71"/>
      <c r="T673" s="71"/>
      <c r="U673" s="71"/>
      <c r="V673" s="71"/>
      <c r="W673" s="71"/>
      <c r="X673" s="71"/>
    </row>
    <row r="674" spans="18:24" ht="12.75">
      <c r="R674" s="71"/>
      <c r="S674" s="71"/>
      <c r="T674" s="71"/>
      <c r="U674" s="71"/>
      <c r="V674" s="71"/>
      <c r="W674" s="71"/>
      <c r="X674" s="71"/>
    </row>
    <row r="675" spans="18:24" ht="12.75">
      <c r="R675" s="71"/>
      <c r="S675" s="71"/>
      <c r="T675" s="71"/>
      <c r="U675" s="71"/>
      <c r="V675" s="71"/>
      <c r="W675" s="71"/>
      <c r="X675" s="71"/>
    </row>
    <row r="676" spans="18:24" ht="12.75">
      <c r="R676" s="71"/>
      <c r="S676" s="71"/>
      <c r="T676" s="71"/>
      <c r="U676" s="71"/>
      <c r="V676" s="71"/>
      <c r="W676" s="71"/>
      <c r="X676" s="71"/>
    </row>
    <row r="677" spans="18:24" ht="12.75">
      <c r="R677" s="71"/>
      <c r="S677" s="71"/>
      <c r="T677" s="71"/>
      <c r="U677" s="71"/>
      <c r="V677" s="71"/>
      <c r="W677" s="71"/>
      <c r="X677" s="71"/>
    </row>
    <row r="678" spans="18:24" ht="12.75">
      <c r="R678" s="71"/>
      <c r="S678" s="71"/>
      <c r="T678" s="71"/>
      <c r="U678" s="71"/>
      <c r="V678" s="71"/>
      <c r="W678" s="71"/>
      <c r="X678" s="71"/>
    </row>
    <row r="679" spans="18:24" ht="12.75">
      <c r="R679" s="71"/>
      <c r="S679" s="71"/>
      <c r="T679" s="71"/>
      <c r="U679" s="71"/>
      <c r="V679" s="71"/>
      <c r="W679" s="71"/>
      <c r="X679" s="71"/>
    </row>
    <row r="680" spans="18:24" ht="12.75">
      <c r="R680" s="71"/>
      <c r="S680" s="71"/>
      <c r="T680" s="71"/>
      <c r="U680" s="71"/>
      <c r="V680" s="71"/>
      <c r="W680" s="71"/>
      <c r="X680" s="71"/>
    </row>
    <row r="681" spans="18:24" ht="12.75">
      <c r="R681" s="71"/>
      <c r="S681" s="71"/>
      <c r="T681" s="71"/>
      <c r="U681" s="71"/>
      <c r="V681" s="71"/>
      <c r="W681" s="71"/>
      <c r="X681" s="71"/>
    </row>
    <row r="682" spans="18:24" ht="12.75">
      <c r="R682" s="71"/>
      <c r="S682" s="71"/>
      <c r="T682" s="71"/>
      <c r="U682" s="71"/>
      <c r="V682" s="71"/>
      <c r="W682" s="71"/>
      <c r="X682" s="71"/>
    </row>
    <row r="683" spans="18:24" ht="12.75">
      <c r="R683" s="71"/>
      <c r="S683" s="71"/>
      <c r="T683" s="71"/>
      <c r="U683" s="71"/>
      <c r="V683" s="71"/>
      <c r="W683" s="71"/>
      <c r="X683" s="71"/>
    </row>
    <row r="684" spans="18:24" ht="12.75">
      <c r="R684" s="71"/>
      <c r="S684" s="71"/>
      <c r="T684" s="71"/>
      <c r="U684" s="71"/>
      <c r="V684" s="71"/>
      <c r="W684" s="71"/>
      <c r="X684" s="71"/>
    </row>
    <row r="685" spans="18:24" ht="12.75">
      <c r="R685" s="71"/>
      <c r="S685" s="71"/>
      <c r="T685" s="71"/>
      <c r="U685" s="71"/>
      <c r="V685" s="71"/>
      <c r="W685" s="71"/>
      <c r="X685" s="71"/>
    </row>
    <row r="686" spans="18:24" ht="12.75">
      <c r="R686" s="71"/>
      <c r="S686" s="71"/>
      <c r="T686" s="71"/>
      <c r="U686" s="71"/>
      <c r="V686" s="71"/>
      <c r="W686" s="71"/>
      <c r="X686" s="71"/>
    </row>
    <row r="687" spans="18:24" ht="12.75">
      <c r="R687" s="71"/>
      <c r="S687" s="71"/>
      <c r="T687" s="71"/>
      <c r="U687" s="71"/>
      <c r="V687" s="71"/>
      <c r="W687" s="71"/>
      <c r="X687" s="71"/>
    </row>
    <row r="688" spans="18:24" ht="12.75">
      <c r="R688" s="71"/>
      <c r="S688" s="71"/>
      <c r="T688" s="71"/>
      <c r="U688" s="71"/>
      <c r="V688" s="71"/>
      <c r="W688" s="71"/>
      <c r="X688" s="71"/>
    </row>
    <row r="689" spans="18:24" ht="12.75">
      <c r="R689" s="71"/>
      <c r="S689" s="71"/>
      <c r="T689" s="71"/>
      <c r="U689" s="71"/>
      <c r="V689" s="71"/>
      <c r="W689" s="71"/>
      <c r="X689" s="71"/>
    </row>
    <row r="690" spans="18:24" ht="12.75">
      <c r="R690" s="71"/>
      <c r="S690" s="71"/>
      <c r="T690" s="71"/>
      <c r="U690" s="71"/>
      <c r="V690" s="71"/>
      <c r="W690" s="71"/>
      <c r="X690" s="71"/>
    </row>
    <row r="691" spans="18:24" ht="12.75">
      <c r="R691" s="71"/>
      <c r="S691" s="71"/>
      <c r="T691" s="71"/>
      <c r="U691" s="71"/>
      <c r="V691" s="71"/>
      <c r="W691" s="71"/>
      <c r="X691" s="71"/>
    </row>
    <row r="692" spans="18:24" ht="12.75">
      <c r="R692" s="71"/>
      <c r="S692" s="71"/>
      <c r="T692" s="71"/>
      <c r="U692" s="71"/>
      <c r="V692" s="71"/>
      <c r="W692" s="71"/>
      <c r="X692" s="71"/>
    </row>
    <row r="693" spans="18:24" ht="12.75">
      <c r="R693" s="71"/>
      <c r="S693" s="71"/>
      <c r="T693" s="71"/>
      <c r="U693" s="71"/>
      <c r="V693" s="71"/>
      <c r="W693" s="71"/>
      <c r="X693" s="71"/>
    </row>
    <row r="694" spans="18:24" ht="12.75">
      <c r="R694" s="71"/>
      <c r="S694" s="71"/>
      <c r="T694" s="71"/>
      <c r="U694" s="71"/>
      <c r="V694" s="71"/>
      <c r="W694" s="71"/>
      <c r="X694" s="71"/>
    </row>
    <row r="695" spans="18:24" ht="12.75">
      <c r="R695" s="71"/>
      <c r="S695" s="71"/>
      <c r="T695" s="71"/>
      <c r="U695" s="71"/>
      <c r="V695" s="71"/>
      <c r="W695" s="71"/>
      <c r="X695" s="71"/>
    </row>
    <row r="696" spans="18:24" ht="12.75">
      <c r="R696" s="71"/>
      <c r="S696" s="71"/>
      <c r="T696" s="71"/>
      <c r="U696" s="71"/>
      <c r="V696" s="71"/>
      <c r="W696" s="71"/>
      <c r="X696" s="71"/>
    </row>
    <row r="697" spans="18:24" ht="12.75">
      <c r="R697" s="71"/>
      <c r="S697" s="71"/>
      <c r="T697" s="71"/>
      <c r="U697" s="71"/>
      <c r="V697" s="71"/>
      <c r="W697" s="71"/>
      <c r="X697" s="71"/>
    </row>
    <row r="698" spans="18:24" ht="12.75">
      <c r="R698" s="71"/>
      <c r="S698" s="71"/>
      <c r="T698" s="71"/>
      <c r="U698" s="71"/>
      <c r="V698" s="71"/>
      <c r="W698" s="71"/>
      <c r="X698" s="71"/>
    </row>
    <row r="699" spans="18:24" ht="12.75">
      <c r="R699" s="71"/>
      <c r="S699" s="71"/>
      <c r="T699" s="71"/>
      <c r="U699" s="71"/>
      <c r="V699" s="71"/>
      <c r="W699" s="71"/>
      <c r="X699" s="71"/>
    </row>
    <row r="700" spans="18:24" ht="12.75">
      <c r="R700" s="71"/>
      <c r="S700" s="71"/>
      <c r="T700" s="71"/>
      <c r="U700" s="71"/>
      <c r="V700" s="71"/>
      <c r="W700" s="71"/>
      <c r="X700" s="71"/>
    </row>
    <row r="701" spans="18:24" ht="12.75">
      <c r="R701" s="71"/>
      <c r="S701" s="71"/>
      <c r="T701" s="71"/>
      <c r="U701" s="71"/>
      <c r="V701" s="71"/>
      <c r="W701" s="71"/>
      <c r="X701" s="71"/>
    </row>
    <row r="702" spans="18:24" ht="12.75">
      <c r="R702" s="71"/>
      <c r="S702" s="71"/>
      <c r="T702" s="71"/>
      <c r="U702" s="71"/>
      <c r="V702" s="71"/>
      <c r="W702" s="71"/>
      <c r="X702" s="71"/>
    </row>
    <row r="703" spans="18:24" ht="12.75">
      <c r="R703" s="71"/>
      <c r="S703" s="71"/>
      <c r="T703" s="71"/>
      <c r="U703" s="71"/>
      <c r="V703" s="71"/>
      <c r="W703" s="71"/>
      <c r="X703" s="71"/>
    </row>
    <row r="704" spans="18:24" ht="12.75">
      <c r="R704" s="71"/>
      <c r="S704" s="71"/>
      <c r="T704" s="71"/>
      <c r="U704" s="71"/>
      <c r="V704" s="71"/>
      <c r="W704" s="71"/>
      <c r="X704" s="71"/>
    </row>
    <row r="705" spans="18:24" ht="12.75">
      <c r="R705" s="71"/>
      <c r="S705" s="71"/>
      <c r="T705" s="71"/>
      <c r="U705" s="71"/>
      <c r="V705" s="71"/>
      <c r="W705" s="71"/>
      <c r="X705" s="71"/>
    </row>
    <row r="706" spans="18:24" ht="12.75">
      <c r="R706" s="71"/>
      <c r="S706" s="71"/>
      <c r="T706" s="71"/>
      <c r="U706" s="71"/>
      <c r="V706" s="71"/>
      <c r="W706" s="71"/>
      <c r="X706" s="71"/>
    </row>
    <row r="707" spans="18:24" ht="12.75">
      <c r="R707" s="71"/>
      <c r="S707" s="71"/>
      <c r="T707" s="71"/>
      <c r="U707" s="71"/>
      <c r="V707" s="71"/>
      <c r="W707" s="71"/>
      <c r="X707" s="71"/>
    </row>
    <row r="708" spans="18:24" ht="12.75">
      <c r="R708" s="71"/>
      <c r="S708" s="71"/>
      <c r="T708" s="71"/>
      <c r="U708" s="71"/>
      <c r="V708" s="71"/>
      <c r="W708" s="71"/>
      <c r="X708" s="71"/>
    </row>
    <row r="709" spans="18:24" ht="12.75">
      <c r="R709" s="71"/>
      <c r="S709" s="71"/>
      <c r="T709" s="71"/>
      <c r="U709" s="71"/>
      <c r="V709" s="71"/>
      <c r="W709" s="71"/>
      <c r="X709" s="71"/>
    </row>
    <row r="710" spans="18:24" ht="12.75">
      <c r="R710" s="71"/>
      <c r="S710" s="71"/>
      <c r="T710" s="71"/>
      <c r="U710" s="71"/>
      <c r="V710" s="71"/>
      <c r="W710" s="71"/>
      <c r="X710" s="71"/>
    </row>
    <row r="711" spans="18:24" ht="12.75">
      <c r="R711" s="71"/>
      <c r="S711" s="71"/>
      <c r="T711" s="71"/>
      <c r="U711" s="71"/>
      <c r="V711" s="71"/>
      <c r="W711" s="71"/>
      <c r="X711" s="71"/>
    </row>
    <row r="712" spans="18:24" ht="12.75">
      <c r="R712" s="71"/>
      <c r="S712" s="71"/>
      <c r="T712" s="71"/>
      <c r="U712" s="71"/>
      <c r="V712" s="71"/>
      <c r="W712" s="71"/>
      <c r="X712" s="71"/>
    </row>
    <row r="713" spans="18:24" ht="12.75">
      <c r="R713" s="71"/>
      <c r="S713" s="71"/>
      <c r="T713" s="71"/>
      <c r="U713" s="71"/>
      <c r="V713" s="71"/>
      <c r="W713" s="71"/>
      <c r="X713" s="71"/>
    </row>
    <row r="714" spans="18:24" ht="12.75">
      <c r="R714" s="71"/>
      <c r="S714" s="71"/>
      <c r="T714" s="71"/>
      <c r="U714" s="71"/>
      <c r="V714" s="71"/>
      <c r="W714" s="71"/>
      <c r="X714" s="71"/>
    </row>
    <row r="715" spans="18:24" ht="12.75">
      <c r="R715" s="71"/>
      <c r="S715" s="71"/>
      <c r="T715" s="71"/>
      <c r="U715" s="71"/>
      <c r="V715" s="71"/>
      <c r="W715" s="71"/>
      <c r="X715" s="71"/>
    </row>
    <row r="716" spans="18:24" ht="12.75">
      <c r="R716" s="71"/>
      <c r="S716" s="71"/>
      <c r="T716" s="71"/>
      <c r="U716" s="71"/>
      <c r="V716" s="71"/>
      <c r="W716" s="71"/>
      <c r="X716" s="71"/>
    </row>
    <row r="717" spans="18:24" ht="12.75">
      <c r="R717" s="71"/>
      <c r="S717" s="71"/>
      <c r="T717" s="71"/>
      <c r="U717" s="71"/>
      <c r="V717" s="71"/>
      <c r="W717" s="71"/>
      <c r="X717" s="71"/>
    </row>
    <row r="718" spans="18:24" ht="12.75">
      <c r="R718" s="71"/>
      <c r="S718" s="71"/>
      <c r="T718" s="71"/>
      <c r="U718" s="71"/>
      <c r="V718" s="71"/>
      <c r="W718" s="71"/>
      <c r="X718" s="71"/>
    </row>
    <row r="719" spans="18:24" ht="12.75">
      <c r="R719" s="71"/>
      <c r="S719" s="71"/>
      <c r="T719" s="71"/>
      <c r="U719" s="71"/>
      <c r="V719" s="71"/>
      <c r="W719" s="71"/>
      <c r="X719" s="71"/>
    </row>
    <row r="720" spans="18:24" ht="12.75">
      <c r="R720" s="71"/>
      <c r="S720" s="71"/>
      <c r="T720" s="71"/>
      <c r="U720" s="71"/>
      <c r="V720" s="71"/>
      <c r="W720" s="71"/>
      <c r="X720" s="71"/>
    </row>
    <row r="721" spans="18:24" ht="12.75">
      <c r="R721" s="71"/>
      <c r="S721" s="71"/>
      <c r="T721" s="71"/>
      <c r="U721" s="71"/>
      <c r="V721" s="71"/>
      <c r="W721" s="71"/>
      <c r="X721" s="71"/>
    </row>
    <row r="722" spans="18:24" ht="12.75">
      <c r="R722" s="71"/>
      <c r="S722" s="71"/>
      <c r="T722" s="71"/>
      <c r="U722" s="71"/>
      <c r="V722" s="71"/>
      <c r="W722" s="71"/>
      <c r="X722" s="71"/>
    </row>
    <row r="723" spans="18:24" ht="12.75">
      <c r="R723" s="71"/>
      <c r="S723" s="71"/>
      <c r="T723" s="71"/>
      <c r="U723" s="71"/>
      <c r="V723" s="71"/>
      <c r="W723" s="71"/>
      <c r="X723" s="71"/>
    </row>
    <row r="724" spans="18:24" ht="12.75">
      <c r="R724" s="71"/>
      <c r="S724" s="71"/>
      <c r="T724" s="71"/>
      <c r="U724" s="71"/>
      <c r="V724" s="71"/>
      <c r="W724" s="71"/>
      <c r="X724" s="71"/>
    </row>
    <row r="725" spans="18:24" ht="12.75">
      <c r="R725" s="71"/>
      <c r="S725" s="71"/>
      <c r="T725" s="71"/>
      <c r="U725" s="71"/>
      <c r="V725" s="71"/>
      <c r="W725" s="71"/>
      <c r="X725" s="71"/>
    </row>
    <row r="726" spans="18:24" ht="12.75">
      <c r="R726" s="71"/>
      <c r="S726" s="71"/>
      <c r="T726" s="71"/>
      <c r="U726" s="71"/>
      <c r="V726" s="71"/>
      <c r="W726" s="71"/>
      <c r="X726" s="71"/>
    </row>
    <row r="727" spans="18:24" ht="12.75">
      <c r="R727" s="71"/>
      <c r="S727" s="71"/>
      <c r="T727" s="71"/>
      <c r="U727" s="71"/>
      <c r="V727" s="71"/>
      <c r="W727" s="71"/>
      <c r="X727" s="71"/>
    </row>
    <row r="728" spans="18:24" ht="12.75">
      <c r="R728" s="71"/>
      <c r="S728" s="71"/>
      <c r="T728" s="71"/>
      <c r="U728" s="71"/>
      <c r="V728" s="71"/>
      <c r="W728" s="71"/>
      <c r="X728" s="71"/>
    </row>
    <row r="729" spans="18:24" ht="12.75">
      <c r="R729" s="71"/>
      <c r="S729" s="71"/>
      <c r="T729" s="71"/>
      <c r="U729" s="71"/>
      <c r="V729" s="71"/>
      <c r="W729" s="71"/>
      <c r="X729" s="71"/>
    </row>
    <row r="730" spans="18:24" ht="12.75">
      <c r="R730" s="71"/>
      <c r="S730" s="71"/>
      <c r="T730" s="71"/>
      <c r="U730" s="71"/>
      <c r="V730" s="71"/>
      <c r="W730" s="71"/>
      <c r="X730" s="71"/>
    </row>
    <row r="731" spans="18:24" ht="12.75">
      <c r="R731" s="71"/>
      <c r="S731" s="71"/>
      <c r="T731" s="71"/>
      <c r="U731" s="71"/>
      <c r="V731" s="71"/>
      <c r="W731" s="71"/>
      <c r="X731" s="71"/>
    </row>
    <row r="732" spans="18:24" ht="12.75">
      <c r="R732" s="71"/>
      <c r="S732" s="71"/>
      <c r="T732" s="71"/>
      <c r="U732" s="71"/>
      <c r="V732" s="71"/>
      <c r="W732" s="71"/>
      <c r="X732" s="71"/>
    </row>
    <row r="733" spans="18:24" ht="12.75">
      <c r="R733" s="71"/>
      <c r="S733" s="71"/>
      <c r="T733" s="71"/>
      <c r="U733" s="71"/>
      <c r="V733" s="71"/>
      <c r="W733" s="71"/>
      <c r="X733" s="71"/>
    </row>
    <row r="734" spans="18:24" ht="12.75">
      <c r="R734" s="71"/>
      <c r="S734" s="71"/>
      <c r="T734" s="71"/>
      <c r="U734" s="71"/>
      <c r="V734" s="71"/>
      <c r="W734" s="71"/>
      <c r="X734" s="71"/>
    </row>
    <row r="735" spans="18:24" ht="12.75">
      <c r="R735" s="71"/>
      <c r="S735" s="71"/>
      <c r="T735" s="71"/>
      <c r="U735" s="71"/>
      <c r="V735" s="71"/>
      <c r="W735" s="71"/>
      <c r="X735" s="71"/>
    </row>
    <row r="736" spans="18:24" ht="12.75">
      <c r="R736" s="71"/>
      <c r="S736" s="71"/>
      <c r="T736" s="71"/>
      <c r="U736" s="71"/>
      <c r="V736" s="71"/>
      <c r="W736" s="71"/>
      <c r="X736" s="71"/>
    </row>
    <row r="737" spans="18:24" ht="12.75">
      <c r="R737" s="71"/>
      <c r="S737" s="71"/>
      <c r="T737" s="71"/>
      <c r="U737" s="71"/>
      <c r="V737" s="71"/>
      <c r="W737" s="71"/>
      <c r="X737" s="71"/>
    </row>
    <row r="738" spans="18:24" ht="12.75">
      <c r="R738" s="71"/>
      <c r="S738" s="71"/>
      <c r="T738" s="71"/>
      <c r="U738" s="71"/>
      <c r="V738" s="71"/>
      <c r="W738" s="71"/>
      <c r="X738" s="71"/>
    </row>
    <row r="739" spans="18:24" ht="12.75">
      <c r="R739" s="71"/>
      <c r="S739" s="71"/>
      <c r="T739" s="71"/>
      <c r="U739" s="71"/>
      <c r="V739" s="71"/>
      <c r="W739" s="71"/>
      <c r="X739" s="71"/>
    </row>
    <row r="740" spans="18:24" ht="12.75">
      <c r="R740" s="71"/>
      <c r="S740" s="71"/>
      <c r="T740" s="71"/>
      <c r="U740" s="71"/>
      <c r="V740" s="71"/>
      <c r="W740" s="71"/>
      <c r="X740" s="71"/>
    </row>
    <row r="741" spans="18:24" ht="12.75">
      <c r="R741" s="71"/>
      <c r="S741" s="71"/>
      <c r="T741" s="71"/>
      <c r="U741" s="71"/>
      <c r="V741" s="71"/>
      <c r="W741" s="71"/>
      <c r="X741" s="71"/>
    </row>
    <row r="742" spans="18:24" ht="12.75">
      <c r="R742" s="71"/>
      <c r="S742" s="71"/>
      <c r="T742" s="71"/>
      <c r="U742" s="71"/>
      <c r="V742" s="71"/>
      <c r="W742" s="71"/>
      <c r="X742" s="71"/>
    </row>
    <row r="743" spans="18:24" ht="12.75">
      <c r="R743" s="71"/>
      <c r="S743" s="71"/>
      <c r="T743" s="71"/>
      <c r="U743" s="71"/>
      <c r="V743" s="71"/>
      <c r="W743" s="71"/>
      <c r="X743" s="71"/>
    </row>
    <row r="744" spans="18:24" ht="12.75">
      <c r="R744" s="71"/>
      <c r="S744" s="71"/>
      <c r="T744" s="71"/>
      <c r="U744" s="71"/>
      <c r="V744" s="71"/>
      <c r="W744" s="71"/>
      <c r="X744" s="71"/>
    </row>
    <row r="745" spans="18:24" ht="12.75">
      <c r="R745" s="71"/>
      <c r="S745" s="71"/>
      <c r="T745" s="71"/>
      <c r="U745" s="71"/>
      <c r="V745" s="71"/>
      <c r="W745" s="71"/>
      <c r="X745" s="71"/>
    </row>
    <row r="746" spans="18:24" ht="12.75">
      <c r="R746" s="71"/>
      <c r="S746" s="71"/>
      <c r="T746" s="71"/>
      <c r="U746" s="71"/>
      <c r="V746" s="71"/>
      <c r="W746" s="71"/>
      <c r="X746" s="71"/>
    </row>
    <row r="747" spans="18:24" ht="12.75">
      <c r="R747" s="71"/>
      <c r="S747" s="71"/>
      <c r="T747" s="71"/>
      <c r="U747" s="71"/>
      <c r="V747" s="71"/>
      <c r="W747" s="71"/>
      <c r="X747" s="71"/>
    </row>
    <row r="748" spans="18:24" ht="12.75">
      <c r="R748" s="71"/>
      <c r="S748" s="71"/>
      <c r="T748" s="71"/>
      <c r="U748" s="71"/>
      <c r="V748" s="71"/>
      <c r="W748" s="71"/>
      <c r="X748" s="71"/>
    </row>
    <row r="749" spans="18:24" ht="12.75">
      <c r="R749" s="71"/>
      <c r="S749" s="71"/>
      <c r="T749" s="71"/>
      <c r="U749" s="71"/>
      <c r="V749" s="71"/>
      <c r="W749" s="71"/>
      <c r="X749" s="71"/>
    </row>
    <row r="750" spans="18:24" ht="12.75">
      <c r="R750" s="71"/>
      <c r="S750" s="71"/>
      <c r="T750" s="71"/>
      <c r="U750" s="71"/>
      <c r="V750" s="71"/>
      <c r="W750" s="71"/>
      <c r="X750" s="71"/>
    </row>
    <row r="751" spans="18:24" ht="12.75">
      <c r="R751" s="71"/>
      <c r="S751" s="71"/>
      <c r="T751" s="71"/>
      <c r="U751" s="71"/>
      <c r="V751" s="71"/>
      <c r="W751" s="71"/>
      <c r="X751" s="71"/>
    </row>
    <row r="752" spans="18:24" ht="12.75">
      <c r="R752" s="71"/>
      <c r="S752" s="71"/>
      <c r="T752" s="71"/>
      <c r="U752" s="71"/>
      <c r="V752" s="71"/>
      <c r="W752" s="71"/>
      <c r="X752" s="71"/>
    </row>
    <row r="753" spans="18:24" ht="12.75">
      <c r="R753" s="71"/>
      <c r="S753" s="71"/>
      <c r="T753" s="71"/>
      <c r="U753" s="71"/>
      <c r="V753" s="71"/>
      <c r="W753" s="71"/>
      <c r="X753" s="71"/>
    </row>
    <row r="754" spans="18:24" ht="12.75">
      <c r="R754" s="71"/>
      <c r="S754" s="71"/>
      <c r="T754" s="71"/>
      <c r="U754" s="71"/>
      <c r="V754" s="71"/>
      <c r="W754" s="71"/>
      <c r="X754" s="71"/>
    </row>
    <row r="755" spans="18:24" ht="12.75">
      <c r="R755" s="71"/>
      <c r="S755" s="71"/>
      <c r="T755" s="71"/>
      <c r="U755" s="71"/>
      <c r="V755" s="71"/>
      <c r="W755" s="71"/>
      <c r="X755" s="71"/>
    </row>
    <row r="756" spans="18:24" ht="12.75">
      <c r="R756" s="71"/>
      <c r="S756" s="71"/>
      <c r="T756" s="71"/>
      <c r="U756" s="71"/>
      <c r="V756" s="71"/>
      <c r="W756" s="71"/>
      <c r="X756" s="71"/>
    </row>
    <row r="757" spans="18:24" ht="12.75">
      <c r="R757" s="71"/>
      <c r="S757" s="71"/>
      <c r="T757" s="71"/>
      <c r="U757" s="71"/>
      <c r="V757" s="71"/>
      <c r="W757" s="71"/>
      <c r="X757" s="71"/>
    </row>
    <row r="758" spans="18:24" ht="12.75">
      <c r="R758" s="71"/>
      <c r="S758" s="71"/>
      <c r="T758" s="71"/>
      <c r="U758" s="71"/>
      <c r="V758" s="71"/>
      <c r="W758" s="71"/>
      <c r="X758" s="71"/>
    </row>
    <row r="759" spans="18:24" ht="12.75">
      <c r="R759" s="71"/>
      <c r="S759" s="71"/>
      <c r="T759" s="71"/>
      <c r="U759" s="71"/>
      <c r="V759" s="71"/>
      <c r="W759" s="71"/>
      <c r="X759" s="71"/>
    </row>
    <row r="760" spans="18:24" ht="12.75">
      <c r="R760" s="71"/>
      <c r="S760" s="71"/>
      <c r="T760" s="71"/>
      <c r="U760" s="71"/>
      <c r="V760" s="71"/>
      <c r="W760" s="71"/>
      <c r="X760" s="71"/>
    </row>
    <row r="761" spans="18:24" ht="12.75">
      <c r="R761" s="71"/>
      <c r="S761" s="71"/>
      <c r="T761" s="71"/>
      <c r="U761" s="71"/>
      <c r="V761" s="71"/>
      <c r="W761" s="71"/>
      <c r="X761" s="71"/>
    </row>
    <row r="762" spans="18:24" ht="12.75">
      <c r="R762" s="71"/>
      <c r="S762" s="71"/>
      <c r="T762" s="71"/>
      <c r="U762" s="71"/>
      <c r="V762" s="71"/>
      <c r="W762" s="71"/>
      <c r="X762" s="71"/>
    </row>
    <row r="763" spans="18:24" ht="12.75">
      <c r="R763" s="71"/>
      <c r="S763" s="71"/>
      <c r="T763" s="71"/>
      <c r="U763" s="71"/>
      <c r="V763" s="71"/>
      <c r="W763" s="71"/>
      <c r="X763" s="71"/>
    </row>
    <row r="764" spans="18:24" ht="12.75">
      <c r="R764" s="71"/>
      <c r="S764" s="71"/>
      <c r="T764" s="71"/>
      <c r="U764" s="71"/>
      <c r="V764" s="71"/>
      <c r="W764" s="71"/>
      <c r="X764" s="71"/>
    </row>
    <row r="765" spans="18:24" ht="12.75">
      <c r="R765" s="71"/>
      <c r="S765" s="71"/>
      <c r="T765" s="71"/>
      <c r="U765" s="71"/>
      <c r="V765" s="71"/>
      <c r="W765" s="71"/>
      <c r="X765" s="71"/>
    </row>
    <row r="766" spans="18:24" ht="12.75">
      <c r="R766" s="71"/>
      <c r="S766" s="71"/>
      <c r="T766" s="71"/>
      <c r="U766" s="71"/>
      <c r="V766" s="71"/>
      <c r="W766" s="71"/>
      <c r="X766" s="71"/>
    </row>
    <row r="767" spans="18:24" ht="12.75">
      <c r="R767" s="71"/>
      <c r="S767" s="71"/>
      <c r="T767" s="71"/>
      <c r="U767" s="71"/>
      <c r="V767" s="71"/>
      <c r="W767" s="71"/>
      <c r="X767" s="71"/>
    </row>
    <row r="768" spans="18:24" ht="12.75">
      <c r="R768" s="71"/>
      <c r="S768" s="71"/>
      <c r="T768" s="71"/>
      <c r="U768" s="71"/>
      <c r="V768" s="71"/>
      <c r="W768" s="71"/>
      <c r="X768" s="71"/>
    </row>
    <row r="769" spans="18:24" ht="12.75">
      <c r="R769" s="71"/>
      <c r="S769" s="71"/>
      <c r="T769" s="71"/>
      <c r="U769" s="71"/>
      <c r="V769" s="71"/>
      <c r="W769" s="71"/>
      <c r="X769" s="71"/>
    </row>
    <row r="770" spans="18:24" ht="12.75">
      <c r="R770" s="71"/>
      <c r="S770" s="71"/>
      <c r="T770" s="71"/>
      <c r="U770" s="71"/>
      <c r="V770" s="71"/>
      <c r="W770" s="71"/>
      <c r="X770" s="71"/>
    </row>
    <row r="771" spans="18:24" ht="12.75">
      <c r="R771" s="71"/>
      <c r="S771" s="71"/>
      <c r="T771" s="71"/>
      <c r="U771" s="71"/>
      <c r="V771" s="71"/>
      <c r="W771" s="71"/>
      <c r="X771" s="71"/>
    </row>
    <row r="772" spans="18:24" ht="12.75">
      <c r="R772" s="71"/>
      <c r="S772" s="71"/>
      <c r="T772" s="71"/>
      <c r="U772" s="71"/>
      <c r="V772" s="71"/>
      <c r="W772" s="71"/>
      <c r="X772" s="71"/>
    </row>
    <row r="773" spans="18:24" ht="12.75">
      <c r="R773" s="71"/>
      <c r="S773" s="71"/>
      <c r="T773" s="71"/>
      <c r="U773" s="71"/>
      <c r="V773" s="71"/>
      <c r="W773" s="71"/>
      <c r="X773" s="71"/>
    </row>
    <row r="774" spans="18:24" ht="12.75">
      <c r="R774" s="71"/>
      <c r="S774" s="71"/>
      <c r="T774" s="71"/>
      <c r="U774" s="71"/>
      <c r="V774" s="71"/>
      <c r="W774" s="71"/>
      <c r="X774" s="71"/>
    </row>
    <row r="775" spans="18:24" ht="12.75">
      <c r="R775" s="71"/>
      <c r="S775" s="71"/>
      <c r="T775" s="71"/>
      <c r="U775" s="71"/>
      <c r="V775" s="71"/>
      <c r="W775" s="71"/>
      <c r="X775" s="71"/>
    </row>
    <row r="776" spans="18:24" ht="12.75">
      <c r="R776" s="71"/>
      <c r="S776" s="71"/>
      <c r="T776" s="71"/>
      <c r="U776" s="71"/>
      <c r="V776" s="71"/>
      <c r="W776" s="71"/>
      <c r="X776" s="71"/>
    </row>
    <row r="777" spans="18:24" ht="12.75">
      <c r="R777" s="71"/>
      <c r="S777" s="71"/>
      <c r="T777" s="71"/>
      <c r="U777" s="71"/>
      <c r="V777" s="71"/>
      <c r="W777" s="71"/>
      <c r="X777" s="71"/>
    </row>
    <row r="778" spans="18:24" ht="12.75">
      <c r="R778" s="71"/>
      <c r="S778" s="71"/>
      <c r="T778" s="71"/>
      <c r="U778" s="71"/>
      <c r="V778" s="71"/>
      <c r="W778" s="71"/>
      <c r="X778" s="71"/>
    </row>
    <row r="779" spans="18:24" ht="12.75">
      <c r="R779" s="71"/>
      <c r="S779" s="71"/>
      <c r="T779" s="71"/>
      <c r="U779" s="71"/>
      <c r="V779" s="71"/>
      <c r="W779" s="71"/>
      <c r="X779" s="71"/>
    </row>
    <row r="780" spans="18:24" ht="12.75">
      <c r="R780" s="71"/>
      <c r="S780" s="71"/>
      <c r="T780" s="71"/>
      <c r="U780" s="71"/>
      <c r="V780" s="71"/>
      <c r="W780" s="71"/>
      <c r="X780" s="71"/>
    </row>
    <row r="781" spans="18:24" ht="12.75">
      <c r="R781" s="71"/>
      <c r="S781" s="71"/>
      <c r="T781" s="71"/>
      <c r="U781" s="71"/>
      <c r="V781" s="71"/>
      <c r="W781" s="71"/>
      <c r="X781" s="71"/>
    </row>
    <row r="782" spans="18:24" ht="12.75">
      <c r="R782" s="71"/>
      <c r="S782" s="71"/>
      <c r="T782" s="71"/>
      <c r="U782" s="71"/>
      <c r="V782" s="71"/>
      <c r="W782" s="71"/>
      <c r="X782" s="71"/>
    </row>
    <row r="783" spans="18:24" ht="12.75">
      <c r="R783" s="71"/>
      <c r="S783" s="71"/>
      <c r="T783" s="71"/>
      <c r="U783" s="71"/>
      <c r="V783" s="71"/>
      <c r="W783" s="71"/>
      <c r="X783" s="71"/>
    </row>
    <row r="784" spans="18:24" ht="12.75">
      <c r="R784" s="71"/>
      <c r="S784" s="71"/>
      <c r="T784" s="71"/>
      <c r="U784" s="71"/>
      <c r="V784" s="71"/>
      <c r="W784" s="71"/>
      <c r="X784" s="71"/>
    </row>
    <row r="785" spans="18:24" ht="12.75">
      <c r="R785" s="71"/>
      <c r="S785" s="71"/>
      <c r="T785" s="71"/>
      <c r="U785" s="71"/>
      <c r="V785" s="71"/>
      <c r="W785" s="71"/>
      <c r="X785" s="71"/>
    </row>
    <row r="786" spans="18:24" ht="12.75">
      <c r="R786" s="71"/>
      <c r="S786" s="71"/>
      <c r="T786" s="71"/>
      <c r="U786" s="71"/>
      <c r="V786" s="71"/>
      <c r="W786" s="71"/>
      <c r="X786" s="71"/>
    </row>
    <row r="787" spans="18:24" ht="12.75">
      <c r="R787" s="71"/>
      <c r="S787" s="71"/>
      <c r="T787" s="71"/>
      <c r="U787" s="71"/>
      <c r="V787" s="71"/>
      <c r="W787" s="71"/>
      <c r="X787" s="71"/>
    </row>
    <row r="788" spans="18:24" ht="12.75">
      <c r="R788" s="71"/>
      <c r="S788" s="71"/>
      <c r="T788" s="71"/>
      <c r="U788" s="71"/>
      <c r="V788" s="71"/>
      <c r="W788" s="71"/>
      <c r="X788" s="71"/>
    </row>
    <row r="789" spans="18:24" ht="12.75">
      <c r="R789" s="71"/>
      <c r="S789" s="71"/>
      <c r="T789" s="71"/>
      <c r="U789" s="71"/>
      <c r="V789" s="71"/>
      <c r="W789" s="71"/>
      <c r="X789" s="71"/>
    </row>
    <row r="790" spans="18:24" ht="12.75">
      <c r="R790" s="71"/>
      <c r="S790" s="71"/>
      <c r="T790" s="71"/>
      <c r="U790" s="71"/>
      <c r="V790" s="71"/>
      <c r="W790" s="71"/>
      <c r="X790" s="71"/>
    </row>
    <row r="791" spans="18:24" ht="12.75">
      <c r="R791" s="71"/>
      <c r="S791" s="71"/>
      <c r="T791" s="71"/>
      <c r="U791" s="71"/>
      <c r="V791" s="71"/>
      <c r="W791" s="71"/>
      <c r="X791" s="71"/>
    </row>
    <row r="792" spans="18:24" ht="12.75">
      <c r="R792" s="71"/>
      <c r="S792" s="71"/>
      <c r="T792" s="71"/>
      <c r="U792" s="71"/>
      <c r="V792" s="71"/>
      <c r="W792" s="71"/>
      <c r="X792" s="71"/>
    </row>
    <row r="793" spans="18:24" ht="12.75">
      <c r="R793" s="71"/>
      <c r="S793" s="71"/>
      <c r="T793" s="71"/>
      <c r="U793" s="71"/>
      <c r="V793" s="71"/>
      <c r="W793" s="71"/>
      <c r="X793" s="71"/>
    </row>
    <row r="794" spans="18:24" ht="12.75">
      <c r="R794" s="71"/>
      <c r="S794" s="71"/>
      <c r="T794" s="71"/>
      <c r="U794" s="71"/>
      <c r="V794" s="71"/>
      <c r="W794" s="71"/>
      <c r="X794" s="71"/>
    </row>
    <row r="795" spans="18:24" ht="12.75">
      <c r="R795" s="71"/>
      <c r="S795" s="71"/>
      <c r="T795" s="71"/>
      <c r="U795" s="71"/>
      <c r="V795" s="71"/>
      <c r="W795" s="71"/>
      <c r="X795" s="71"/>
    </row>
    <row r="796" spans="18:24" ht="12.75">
      <c r="R796" s="71"/>
      <c r="S796" s="71"/>
      <c r="T796" s="71"/>
      <c r="U796" s="71"/>
      <c r="V796" s="71"/>
      <c r="W796" s="71"/>
      <c r="X796" s="71"/>
    </row>
    <row r="797" spans="18:24" ht="12.75">
      <c r="R797" s="71"/>
      <c r="S797" s="71"/>
      <c r="T797" s="71"/>
      <c r="U797" s="71"/>
      <c r="V797" s="71"/>
      <c r="W797" s="71"/>
      <c r="X797" s="71"/>
    </row>
    <row r="798" spans="18:24" ht="12.75">
      <c r="R798" s="71"/>
      <c r="S798" s="71"/>
      <c r="T798" s="71"/>
      <c r="U798" s="71"/>
      <c r="V798" s="71"/>
      <c r="W798" s="71"/>
      <c r="X798" s="71"/>
    </row>
    <row r="799" spans="18:24" ht="12.75">
      <c r="R799" s="71"/>
      <c r="S799" s="71"/>
      <c r="T799" s="71"/>
      <c r="U799" s="71"/>
      <c r="V799" s="71"/>
      <c r="W799" s="71"/>
      <c r="X799" s="71"/>
    </row>
    <row r="800" spans="18:24" ht="12.75">
      <c r="R800" s="71"/>
      <c r="S800" s="71"/>
      <c r="T800" s="71"/>
      <c r="U800" s="71"/>
      <c r="V800" s="71"/>
      <c r="W800" s="71"/>
      <c r="X800" s="71"/>
    </row>
    <row r="801" spans="18:24" ht="12.75">
      <c r="R801" s="71"/>
      <c r="S801" s="71"/>
      <c r="T801" s="71"/>
      <c r="U801" s="71"/>
      <c r="V801" s="71"/>
      <c r="W801" s="71"/>
      <c r="X801" s="71"/>
    </row>
    <row r="802" spans="18:24" ht="12.75">
      <c r="R802" s="71"/>
      <c r="S802" s="71"/>
      <c r="T802" s="71"/>
      <c r="U802" s="71"/>
      <c r="V802" s="71"/>
      <c r="W802" s="71"/>
      <c r="X802" s="71"/>
    </row>
    <row r="803" spans="18:24" ht="12.75">
      <c r="R803" s="71"/>
      <c r="S803" s="71"/>
      <c r="T803" s="71"/>
      <c r="U803" s="71"/>
      <c r="V803" s="71"/>
      <c r="W803" s="71"/>
      <c r="X803" s="71"/>
    </row>
    <row r="804" spans="18:24" ht="12.75">
      <c r="R804" s="71"/>
      <c r="S804" s="71"/>
      <c r="T804" s="71"/>
      <c r="U804" s="71"/>
      <c r="V804" s="71"/>
      <c r="W804" s="71"/>
      <c r="X804" s="71"/>
    </row>
    <row r="805" spans="18:24" ht="12.75">
      <c r="R805" s="71"/>
      <c r="S805" s="71"/>
      <c r="T805" s="71"/>
      <c r="U805" s="71"/>
      <c r="V805" s="71"/>
      <c r="W805" s="71"/>
      <c r="X805" s="71"/>
    </row>
    <row r="806" spans="18:24" ht="12.75">
      <c r="R806" s="71"/>
      <c r="S806" s="71"/>
      <c r="T806" s="71"/>
      <c r="U806" s="71"/>
      <c r="V806" s="71"/>
      <c r="W806" s="71"/>
      <c r="X806" s="71"/>
    </row>
    <row r="807" spans="18:24" ht="12.75">
      <c r="R807" s="71"/>
      <c r="S807" s="71"/>
      <c r="T807" s="71"/>
      <c r="U807" s="71"/>
      <c r="V807" s="71"/>
      <c r="W807" s="71"/>
      <c r="X807" s="71"/>
    </row>
    <row r="808" spans="18:24" ht="12.75">
      <c r="R808" s="71"/>
      <c r="S808" s="71"/>
      <c r="T808" s="71"/>
      <c r="U808" s="71"/>
      <c r="V808" s="71"/>
      <c r="W808" s="71"/>
      <c r="X808" s="71"/>
    </row>
    <row r="809" spans="18:24" ht="12.75">
      <c r="R809" s="71"/>
      <c r="S809" s="71"/>
      <c r="T809" s="71"/>
      <c r="U809" s="71"/>
      <c r="V809" s="71"/>
      <c r="W809" s="71"/>
      <c r="X809" s="71"/>
    </row>
    <row r="810" spans="18:24" ht="12.75">
      <c r="R810" s="71"/>
      <c r="S810" s="71"/>
      <c r="T810" s="71"/>
      <c r="U810" s="71"/>
      <c r="V810" s="71"/>
      <c r="W810" s="71"/>
      <c r="X810" s="71"/>
    </row>
    <row r="811" spans="18:24" ht="12.75">
      <c r="R811" s="71"/>
      <c r="S811" s="71"/>
      <c r="T811" s="71"/>
      <c r="U811" s="71"/>
      <c r="V811" s="71"/>
      <c r="W811" s="71"/>
      <c r="X811" s="71"/>
    </row>
    <row r="812" spans="18:24" ht="12.75">
      <c r="R812" s="71"/>
      <c r="S812" s="71"/>
      <c r="T812" s="71"/>
      <c r="U812" s="71"/>
      <c r="V812" s="71"/>
      <c r="W812" s="71"/>
      <c r="X812" s="71"/>
    </row>
    <row r="813" spans="18:24" ht="12.75">
      <c r="R813" s="71"/>
      <c r="S813" s="71"/>
      <c r="T813" s="71"/>
      <c r="U813" s="71"/>
      <c r="V813" s="71"/>
      <c r="W813" s="71"/>
      <c r="X813" s="71"/>
    </row>
    <row r="814" spans="18:24" ht="12.75">
      <c r="R814" s="71"/>
      <c r="S814" s="71"/>
      <c r="T814" s="71"/>
      <c r="U814" s="71"/>
      <c r="V814" s="71"/>
      <c r="W814" s="71"/>
      <c r="X814" s="71"/>
    </row>
    <row r="815" spans="18:24" ht="12.75">
      <c r="R815" s="71"/>
      <c r="S815" s="71"/>
      <c r="T815" s="71"/>
      <c r="U815" s="71"/>
      <c r="V815" s="71"/>
      <c r="W815" s="71"/>
      <c r="X815" s="71"/>
    </row>
    <row r="816" spans="18:24" ht="12.75">
      <c r="R816" s="71"/>
      <c r="S816" s="71"/>
      <c r="T816" s="71"/>
      <c r="U816" s="71"/>
      <c r="V816" s="71"/>
      <c r="W816" s="71"/>
      <c r="X816" s="71"/>
    </row>
    <row r="817" spans="18:24" ht="12.75">
      <c r="R817" s="71"/>
      <c r="S817" s="71"/>
      <c r="T817" s="71"/>
      <c r="U817" s="71"/>
      <c r="V817" s="71"/>
      <c r="W817" s="71"/>
      <c r="X817" s="71"/>
    </row>
    <row r="818" spans="18:24" ht="12.75">
      <c r="R818" s="71"/>
      <c r="S818" s="71"/>
      <c r="T818" s="71"/>
      <c r="U818" s="71"/>
      <c r="V818" s="71"/>
      <c r="W818" s="71"/>
      <c r="X818" s="71"/>
    </row>
    <row r="819" spans="18:24" ht="12.75">
      <c r="R819" s="71"/>
      <c r="S819" s="71"/>
      <c r="T819" s="71"/>
      <c r="U819" s="71"/>
      <c r="V819" s="71"/>
      <c r="W819" s="71"/>
      <c r="X819" s="71"/>
    </row>
    <row r="820" spans="18:24" ht="12.75">
      <c r="R820" s="71"/>
      <c r="S820" s="71"/>
      <c r="T820" s="71"/>
      <c r="U820" s="71"/>
      <c r="V820" s="71"/>
      <c r="W820" s="71"/>
      <c r="X820" s="71"/>
    </row>
    <row r="821" spans="18:24" ht="12.75">
      <c r="R821" s="71"/>
      <c r="S821" s="71"/>
      <c r="T821" s="71"/>
      <c r="U821" s="71"/>
      <c r="V821" s="71"/>
      <c r="W821" s="71"/>
      <c r="X821" s="71"/>
    </row>
    <row r="822" spans="18:24" ht="12.75">
      <c r="R822" s="71"/>
      <c r="S822" s="71"/>
      <c r="T822" s="71"/>
      <c r="U822" s="71"/>
      <c r="V822" s="71"/>
      <c r="W822" s="71"/>
      <c r="X822" s="71"/>
    </row>
    <row r="823" spans="18:24" ht="12.75">
      <c r="R823" s="71"/>
      <c r="S823" s="71"/>
      <c r="T823" s="71"/>
      <c r="U823" s="71"/>
      <c r="V823" s="71"/>
      <c r="W823" s="71"/>
      <c r="X823" s="71"/>
    </row>
    <row r="824" spans="18:24" ht="12.75">
      <c r="R824" s="71"/>
      <c r="S824" s="71"/>
      <c r="T824" s="71"/>
      <c r="U824" s="71"/>
      <c r="V824" s="71"/>
      <c r="W824" s="71"/>
      <c r="X824" s="71"/>
    </row>
    <row r="825" spans="18:24" ht="12.75">
      <c r="R825" s="71"/>
      <c r="S825" s="71"/>
      <c r="T825" s="71"/>
      <c r="U825" s="71"/>
      <c r="V825" s="71"/>
      <c r="W825" s="71"/>
      <c r="X825" s="71"/>
    </row>
    <row r="826" spans="18:24" ht="12.75">
      <c r="R826" s="71"/>
      <c r="S826" s="71"/>
      <c r="T826" s="71"/>
      <c r="U826" s="71"/>
      <c r="V826" s="71"/>
      <c r="W826" s="71"/>
      <c r="X826" s="71"/>
    </row>
    <row r="827" spans="18:24" ht="12.75">
      <c r="R827" s="71"/>
      <c r="S827" s="71"/>
      <c r="T827" s="71"/>
      <c r="U827" s="71"/>
      <c r="V827" s="71"/>
      <c r="W827" s="71"/>
      <c r="X827" s="71"/>
    </row>
    <row r="828" spans="18:24" ht="12.75">
      <c r="R828" s="71"/>
      <c r="S828" s="71"/>
      <c r="T828" s="71"/>
      <c r="U828" s="71"/>
      <c r="V828" s="71"/>
      <c r="W828" s="71"/>
      <c r="X828" s="71"/>
    </row>
    <row r="829" spans="18:24" ht="12.75">
      <c r="R829" s="71"/>
      <c r="S829" s="71"/>
      <c r="T829" s="71"/>
      <c r="U829" s="71"/>
      <c r="V829" s="71"/>
      <c r="W829" s="71"/>
      <c r="X829" s="71"/>
    </row>
    <row r="830" spans="18:24" ht="12.75">
      <c r="R830" s="71"/>
      <c r="S830" s="71"/>
      <c r="T830" s="71"/>
      <c r="U830" s="71"/>
      <c r="V830" s="71"/>
      <c r="W830" s="71"/>
      <c r="X830" s="71"/>
    </row>
    <row r="831" spans="18:24" ht="12.75">
      <c r="R831" s="71"/>
      <c r="S831" s="71"/>
      <c r="T831" s="71"/>
      <c r="U831" s="71"/>
      <c r="V831" s="71"/>
      <c r="W831" s="71"/>
      <c r="X831" s="71"/>
    </row>
    <row r="832" spans="18:24" ht="12.75">
      <c r="R832" s="71"/>
      <c r="S832" s="71"/>
      <c r="T832" s="71"/>
      <c r="U832" s="71"/>
      <c r="V832" s="71"/>
      <c r="W832" s="71"/>
      <c r="X832" s="71"/>
    </row>
    <row r="833" spans="18:24" ht="12.75">
      <c r="R833" s="71"/>
      <c r="S833" s="71"/>
      <c r="T833" s="71"/>
      <c r="U833" s="71"/>
      <c r="V833" s="71"/>
      <c r="W833" s="71"/>
      <c r="X833" s="71"/>
    </row>
    <row r="834" spans="18:24" ht="12.75">
      <c r="R834" s="71"/>
      <c r="S834" s="71"/>
      <c r="T834" s="71"/>
      <c r="U834" s="71"/>
      <c r="V834" s="71"/>
      <c r="W834" s="71"/>
      <c r="X834" s="71"/>
    </row>
    <row r="835" spans="18:24" ht="12.75">
      <c r="R835" s="71"/>
      <c r="S835" s="71"/>
      <c r="T835" s="71"/>
      <c r="U835" s="71"/>
      <c r="V835" s="71"/>
      <c r="W835" s="71"/>
      <c r="X835" s="71"/>
    </row>
    <row r="836" spans="18:24" ht="12.75">
      <c r="R836" s="71"/>
      <c r="S836" s="71"/>
      <c r="T836" s="71"/>
      <c r="U836" s="71"/>
      <c r="V836" s="71"/>
      <c r="W836" s="71"/>
      <c r="X836" s="71"/>
    </row>
    <row r="837" spans="18:24" ht="12.75">
      <c r="R837" s="71"/>
      <c r="S837" s="71"/>
      <c r="T837" s="71"/>
      <c r="U837" s="71"/>
      <c r="V837" s="71"/>
      <c r="W837" s="71"/>
      <c r="X837" s="71"/>
    </row>
    <row r="838" spans="18:24" ht="12.75">
      <c r="R838" s="71"/>
      <c r="S838" s="71"/>
      <c r="T838" s="71"/>
      <c r="U838" s="71"/>
      <c r="V838" s="71"/>
      <c r="W838" s="71"/>
      <c r="X838" s="71"/>
    </row>
    <row r="839" spans="18:24" ht="12.75">
      <c r="R839" s="71"/>
      <c r="S839" s="71"/>
      <c r="T839" s="71"/>
      <c r="U839" s="71"/>
      <c r="V839" s="71"/>
      <c r="W839" s="71"/>
      <c r="X839" s="71"/>
    </row>
    <row r="840" spans="18:24" ht="12.75">
      <c r="R840" s="71"/>
      <c r="S840" s="71"/>
      <c r="T840" s="71"/>
      <c r="U840" s="71"/>
      <c r="V840" s="71"/>
      <c r="W840" s="71"/>
      <c r="X840" s="71"/>
    </row>
    <row r="841" spans="18:24" ht="12.75">
      <c r="R841" s="71"/>
      <c r="S841" s="71"/>
      <c r="T841" s="71"/>
      <c r="U841" s="71"/>
      <c r="V841" s="71"/>
      <c r="W841" s="71"/>
      <c r="X841" s="71"/>
    </row>
    <row r="842" spans="18:24" ht="12.75">
      <c r="R842" s="71"/>
      <c r="S842" s="71"/>
      <c r="T842" s="71"/>
      <c r="U842" s="71"/>
      <c r="V842" s="71"/>
      <c r="W842" s="71"/>
      <c r="X842" s="71"/>
    </row>
    <row r="843" spans="18:24" ht="12.75">
      <c r="R843" s="71"/>
      <c r="S843" s="71"/>
      <c r="T843" s="71"/>
      <c r="U843" s="71"/>
      <c r="V843" s="71"/>
      <c r="W843" s="71"/>
      <c r="X843" s="71"/>
    </row>
    <row r="844" spans="18:24" ht="12.75">
      <c r="R844" s="71"/>
      <c r="S844" s="71"/>
      <c r="T844" s="71"/>
      <c r="U844" s="71"/>
      <c r="V844" s="71"/>
      <c r="W844" s="71"/>
      <c r="X844" s="71"/>
    </row>
    <row r="845" spans="18:24" ht="12.75">
      <c r="R845" s="71"/>
      <c r="S845" s="71"/>
      <c r="T845" s="71"/>
      <c r="U845" s="71"/>
      <c r="V845" s="71"/>
      <c r="W845" s="71"/>
      <c r="X845" s="71"/>
    </row>
    <row r="846" spans="18:24" ht="12.75">
      <c r="R846" s="71"/>
      <c r="S846" s="71"/>
      <c r="T846" s="71"/>
      <c r="U846" s="71"/>
      <c r="V846" s="71"/>
      <c r="W846" s="71"/>
      <c r="X846" s="71"/>
    </row>
    <row r="847" spans="18:24" ht="12.75">
      <c r="R847" s="71"/>
      <c r="S847" s="71"/>
      <c r="T847" s="71"/>
      <c r="U847" s="71"/>
      <c r="V847" s="71"/>
      <c r="W847" s="71"/>
      <c r="X847" s="71"/>
    </row>
    <row r="848" spans="18:24" ht="12.75">
      <c r="R848" s="71"/>
      <c r="S848" s="71"/>
      <c r="T848" s="71"/>
      <c r="U848" s="71"/>
      <c r="V848" s="71"/>
      <c r="W848" s="71"/>
      <c r="X848" s="71"/>
    </row>
    <row r="849" spans="18:24" ht="12.75">
      <c r="R849" s="71"/>
      <c r="S849" s="71"/>
      <c r="T849" s="71"/>
      <c r="U849" s="71"/>
      <c r="V849" s="71"/>
      <c r="W849" s="71"/>
      <c r="X849" s="71"/>
    </row>
    <row r="850" spans="18:24" ht="12.75">
      <c r="R850" s="71"/>
      <c r="S850" s="71"/>
      <c r="T850" s="71"/>
      <c r="U850" s="71"/>
      <c r="V850" s="71"/>
      <c r="W850" s="71"/>
      <c r="X850" s="71"/>
    </row>
    <row r="851" spans="18:24" ht="12.75">
      <c r="R851" s="71"/>
      <c r="S851" s="71"/>
      <c r="T851" s="71"/>
      <c r="U851" s="71"/>
      <c r="V851" s="71"/>
      <c r="W851" s="71"/>
      <c r="X851" s="71"/>
    </row>
    <row r="852" spans="18:24" ht="12.75">
      <c r="R852" s="71"/>
      <c r="S852" s="71"/>
      <c r="T852" s="71"/>
      <c r="U852" s="71"/>
      <c r="V852" s="71"/>
      <c r="W852" s="71"/>
      <c r="X852" s="71"/>
    </row>
    <row r="853" spans="18:24" ht="12.75">
      <c r="R853" s="71"/>
      <c r="S853" s="71"/>
      <c r="T853" s="71"/>
      <c r="U853" s="71"/>
      <c r="V853" s="71"/>
      <c r="W853" s="71"/>
      <c r="X853" s="71"/>
    </row>
    <row r="854" spans="18:24" ht="12.75">
      <c r="R854" s="71"/>
      <c r="S854" s="71"/>
      <c r="T854" s="71"/>
      <c r="U854" s="71"/>
      <c r="V854" s="71"/>
      <c r="W854" s="71"/>
      <c r="X854" s="71"/>
    </row>
    <row r="855" spans="18:24" ht="12.75">
      <c r="R855" s="71"/>
      <c r="S855" s="71"/>
      <c r="T855" s="71"/>
      <c r="U855" s="71"/>
      <c r="V855" s="71"/>
      <c r="W855" s="71"/>
      <c r="X855" s="71"/>
    </row>
    <row r="856" spans="18:24" ht="12.75">
      <c r="R856" s="71"/>
      <c r="S856" s="71"/>
      <c r="T856" s="71"/>
      <c r="U856" s="71"/>
      <c r="V856" s="71"/>
      <c r="W856" s="71"/>
      <c r="X856" s="71"/>
    </row>
    <row r="857" spans="18:24" ht="12.75">
      <c r="R857" s="71"/>
      <c r="S857" s="71"/>
      <c r="T857" s="71"/>
      <c r="U857" s="71"/>
      <c r="V857" s="71"/>
      <c r="W857" s="71"/>
      <c r="X857" s="71"/>
    </row>
    <row r="858" spans="18:24" ht="12.75">
      <c r="R858" s="71"/>
      <c r="S858" s="71"/>
      <c r="T858" s="71"/>
      <c r="U858" s="71"/>
      <c r="V858" s="71"/>
      <c r="W858" s="71"/>
      <c r="X858" s="71"/>
    </row>
    <row r="859" spans="18:24" ht="12.75">
      <c r="R859" s="71"/>
      <c r="S859" s="71"/>
      <c r="T859" s="71"/>
      <c r="U859" s="71"/>
      <c r="V859" s="71"/>
      <c r="W859" s="71"/>
      <c r="X859" s="71"/>
    </row>
    <row r="860" spans="18:24" ht="12.75">
      <c r="R860" s="71"/>
      <c r="S860" s="71"/>
      <c r="T860" s="71"/>
      <c r="U860" s="71"/>
      <c r="V860" s="71"/>
      <c r="W860" s="71"/>
      <c r="X860" s="71"/>
    </row>
    <row r="861" spans="18:24" ht="12.75">
      <c r="R861" s="71"/>
      <c r="S861" s="71"/>
      <c r="T861" s="71"/>
      <c r="U861" s="71"/>
      <c r="V861" s="71"/>
      <c r="W861" s="71"/>
      <c r="X861" s="71"/>
    </row>
    <row r="862" spans="18:24" ht="12.75">
      <c r="R862" s="71"/>
      <c r="S862" s="71"/>
      <c r="T862" s="71"/>
      <c r="U862" s="71"/>
      <c r="V862" s="71"/>
      <c r="W862" s="71"/>
      <c r="X862" s="71"/>
    </row>
    <row r="863" spans="18:24" ht="12.75">
      <c r="R863" s="71"/>
      <c r="S863" s="71"/>
      <c r="T863" s="71"/>
      <c r="U863" s="71"/>
      <c r="V863" s="71"/>
      <c r="W863" s="71"/>
      <c r="X863" s="71"/>
    </row>
    <row r="864" spans="18:24" ht="12.75">
      <c r="R864" s="71"/>
      <c r="S864" s="71"/>
      <c r="T864" s="71"/>
      <c r="U864" s="71"/>
      <c r="V864" s="71"/>
      <c r="W864" s="71"/>
      <c r="X864" s="71"/>
    </row>
    <row r="865" spans="18:24" ht="12.75">
      <c r="R865" s="71"/>
      <c r="S865" s="71"/>
      <c r="T865" s="71"/>
      <c r="U865" s="71"/>
      <c r="V865" s="71"/>
      <c r="W865" s="71"/>
      <c r="X865" s="71"/>
    </row>
    <row r="866" spans="18:24" ht="12.75">
      <c r="R866" s="71"/>
      <c r="S866" s="71"/>
      <c r="T866" s="71"/>
      <c r="U866" s="71"/>
      <c r="V866" s="71"/>
      <c r="W866" s="71"/>
      <c r="X866" s="71"/>
    </row>
    <row r="867" spans="18:24" ht="12.75">
      <c r="R867" s="71"/>
      <c r="S867" s="71"/>
      <c r="T867" s="71"/>
      <c r="U867" s="71"/>
      <c r="V867" s="71"/>
      <c r="W867" s="71"/>
      <c r="X867" s="71"/>
    </row>
    <row r="868" spans="18:24" ht="12.75">
      <c r="R868" s="71"/>
      <c r="S868" s="71"/>
      <c r="T868" s="71"/>
      <c r="U868" s="71"/>
      <c r="V868" s="71"/>
      <c r="W868" s="71"/>
      <c r="X868" s="71"/>
    </row>
    <row r="869" spans="18:24" ht="12.75">
      <c r="R869" s="71"/>
      <c r="S869" s="71"/>
      <c r="T869" s="71"/>
      <c r="U869" s="71"/>
      <c r="V869" s="71"/>
      <c r="W869" s="71"/>
      <c r="X869" s="71"/>
    </row>
    <row r="870" spans="18:24" ht="12.75">
      <c r="R870" s="71"/>
      <c r="S870" s="71"/>
      <c r="T870" s="71"/>
      <c r="U870" s="71"/>
      <c r="V870" s="71"/>
      <c r="W870" s="71"/>
      <c r="X870" s="71"/>
    </row>
    <row r="871" spans="18:24" ht="12.75">
      <c r="R871" s="71"/>
      <c r="S871" s="71"/>
      <c r="T871" s="71"/>
      <c r="U871" s="71"/>
      <c r="V871" s="71"/>
      <c r="W871" s="71"/>
      <c r="X871" s="71"/>
    </row>
    <row r="872" spans="18:24" ht="12.75">
      <c r="R872" s="71"/>
      <c r="S872" s="71"/>
      <c r="T872" s="71"/>
      <c r="U872" s="71"/>
      <c r="V872" s="71"/>
      <c r="W872" s="71"/>
      <c r="X872" s="71"/>
    </row>
    <row r="873" spans="18:24" ht="12.75">
      <c r="R873" s="71"/>
      <c r="S873" s="71"/>
      <c r="T873" s="71"/>
      <c r="U873" s="71"/>
      <c r="V873" s="71"/>
      <c r="W873" s="71"/>
      <c r="X873" s="71"/>
    </row>
    <row r="874" spans="18:24" ht="12.75">
      <c r="R874" s="71"/>
      <c r="S874" s="71"/>
      <c r="T874" s="71"/>
      <c r="U874" s="71"/>
      <c r="V874" s="71"/>
      <c r="W874" s="71"/>
      <c r="X874" s="71"/>
    </row>
    <row r="875" spans="18:24" ht="12.75">
      <c r="R875" s="71"/>
      <c r="S875" s="71"/>
      <c r="T875" s="71"/>
      <c r="U875" s="71"/>
      <c r="V875" s="71"/>
      <c r="W875" s="71"/>
      <c r="X875" s="71"/>
    </row>
    <row r="876" spans="18:24" ht="12.75">
      <c r="R876" s="71"/>
      <c r="S876" s="71"/>
      <c r="T876" s="71"/>
      <c r="U876" s="71"/>
      <c r="V876" s="71"/>
      <c r="W876" s="71"/>
      <c r="X876" s="71"/>
    </row>
    <row r="877" spans="18:24" ht="12.75">
      <c r="R877" s="71"/>
      <c r="S877" s="71"/>
      <c r="T877" s="71"/>
      <c r="U877" s="71"/>
      <c r="V877" s="71"/>
      <c r="W877" s="71"/>
      <c r="X877" s="71"/>
    </row>
    <row r="878" spans="18:24" ht="12.75">
      <c r="R878" s="71"/>
      <c r="S878" s="71"/>
      <c r="T878" s="71"/>
      <c r="U878" s="71"/>
      <c r="V878" s="71"/>
      <c r="W878" s="71"/>
      <c r="X878" s="71"/>
    </row>
    <row r="879" spans="18:24" ht="12.75">
      <c r="R879" s="71"/>
      <c r="S879" s="71"/>
      <c r="T879" s="71"/>
      <c r="U879" s="71"/>
      <c r="V879" s="71"/>
      <c r="W879" s="71"/>
      <c r="X879" s="71"/>
    </row>
    <row r="880" spans="18:24" ht="12.75">
      <c r="R880" s="71"/>
      <c r="S880" s="71"/>
      <c r="T880" s="71"/>
      <c r="U880" s="71"/>
      <c r="V880" s="71"/>
      <c r="W880" s="71"/>
      <c r="X880" s="71"/>
    </row>
    <row r="881" spans="18:24" ht="12.75">
      <c r="R881" s="71"/>
      <c r="S881" s="71"/>
      <c r="T881" s="71"/>
      <c r="U881" s="71"/>
      <c r="V881" s="71"/>
      <c r="W881" s="71"/>
      <c r="X881" s="71"/>
    </row>
    <row r="882" spans="18:24" ht="12.75">
      <c r="R882" s="71"/>
      <c r="S882" s="71"/>
      <c r="T882" s="71"/>
      <c r="U882" s="71"/>
      <c r="V882" s="71"/>
      <c r="W882" s="71"/>
      <c r="X882" s="71"/>
    </row>
    <row r="883" spans="18:24" ht="12.75">
      <c r="R883" s="71"/>
      <c r="S883" s="71"/>
      <c r="T883" s="71"/>
      <c r="U883" s="71"/>
      <c r="V883" s="71"/>
      <c r="W883" s="71"/>
      <c r="X883" s="71"/>
    </row>
    <row r="884" spans="18:24" ht="12.75">
      <c r="R884" s="71"/>
      <c r="S884" s="71"/>
      <c r="T884" s="71"/>
      <c r="U884" s="71"/>
      <c r="V884" s="71"/>
      <c r="W884" s="71"/>
      <c r="X884" s="71"/>
    </row>
    <row r="885" spans="18:24" ht="12.75">
      <c r="R885" s="71"/>
      <c r="S885" s="71"/>
      <c r="T885" s="71"/>
      <c r="U885" s="71"/>
      <c r="V885" s="71"/>
      <c r="W885" s="71"/>
      <c r="X885" s="71"/>
    </row>
    <row r="886" spans="18:24" ht="12.75">
      <c r="R886" s="71"/>
      <c r="S886" s="71"/>
      <c r="T886" s="71"/>
      <c r="U886" s="71"/>
      <c r="V886" s="71"/>
      <c r="W886" s="71"/>
      <c r="X886" s="71"/>
    </row>
    <row r="887" spans="18:24" ht="12.75">
      <c r="R887" s="71"/>
      <c r="S887" s="71"/>
      <c r="T887" s="71"/>
      <c r="U887" s="71"/>
      <c r="V887" s="71"/>
      <c r="W887" s="71"/>
      <c r="X887" s="71"/>
    </row>
    <row r="888" spans="18:24" ht="12.75">
      <c r="R888" s="71"/>
      <c r="S888" s="71"/>
      <c r="T888" s="71"/>
      <c r="U888" s="71"/>
      <c r="V888" s="71"/>
      <c r="W888" s="71"/>
      <c r="X888" s="71"/>
    </row>
    <row r="889" spans="18:24" ht="12.75">
      <c r="R889" s="71"/>
      <c r="S889" s="71"/>
      <c r="T889" s="71"/>
      <c r="U889" s="71"/>
      <c r="V889" s="71"/>
      <c r="W889" s="71"/>
      <c r="X889" s="71"/>
    </row>
    <row r="890" spans="18:24" ht="12.75">
      <c r="R890" s="71"/>
      <c r="S890" s="71"/>
      <c r="T890" s="71"/>
      <c r="U890" s="71"/>
      <c r="V890" s="71"/>
      <c r="W890" s="71"/>
      <c r="X890" s="71"/>
    </row>
    <row r="891" spans="18:24" ht="12.75">
      <c r="R891" s="71"/>
      <c r="S891" s="71"/>
      <c r="T891" s="71"/>
      <c r="U891" s="71"/>
      <c r="V891" s="71"/>
      <c r="W891" s="71"/>
      <c r="X891" s="71"/>
    </row>
    <row r="892" spans="18:24" ht="12.75">
      <c r="R892" s="71"/>
      <c r="S892" s="71"/>
      <c r="T892" s="71"/>
      <c r="U892" s="71"/>
      <c r="V892" s="71"/>
      <c r="W892" s="71"/>
      <c r="X892" s="71"/>
    </row>
    <row r="893" spans="18:24" ht="12.75">
      <c r="R893" s="71"/>
      <c r="S893" s="71"/>
      <c r="T893" s="71"/>
      <c r="U893" s="71"/>
      <c r="V893" s="71"/>
      <c r="W893" s="71"/>
      <c r="X893" s="71"/>
    </row>
    <row r="894" spans="18:24" ht="12.75">
      <c r="R894" s="71"/>
      <c r="S894" s="71"/>
      <c r="T894" s="71"/>
      <c r="U894" s="71"/>
      <c r="V894" s="71"/>
      <c r="W894" s="71"/>
      <c r="X894" s="71"/>
    </row>
    <row r="895" spans="18:24" ht="12.75">
      <c r="R895" s="71"/>
      <c r="S895" s="71"/>
      <c r="T895" s="71"/>
      <c r="U895" s="71"/>
      <c r="V895" s="71"/>
      <c r="W895" s="71"/>
      <c r="X895" s="71"/>
    </row>
    <row r="896" spans="18:24" ht="12.75">
      <c r="R896" s="71"/>
      <c r="S896" s="71"/>
      <c r="T896" s="71"/>
      <c r="U896" s="71"/>
      <c r="V896" s="71"/>
      <c r="W896" s="71"/>
      <c r="X896" s="71"/>
    </row>
    <row r="897" spans="18:24" ht="12.75">
      <c r="R897" s="71"/>
      <c r="S897" s="71"/>
      <c r="T897" s="71"/>
      <c r="U897" s="71"/>
      <c r="V897" s="71"/>
      <c r="W897" s="71"/>
      <c r="X897" s="71"/>
    </row>
    <row r="898" spans="18:24" ht="12.75">
      <c r="R898" s="71"/>
      <c r="S898" s="71"/>
      <c r="T898" s="71"/>
      <c r="U898" s="71"/>
      <c r="V898" s="71"/>
      <c r="W898" s="71"/>
      <c r="X898" s="71"/>
    </row>
    <row r="899" spans="18:24" ht="12.75">
      <c r="R899" s="71"/>
      <c r="S899" s="71"/>
      <c r="T899" s="71"/>
      <c r="U899" s="71"/>
      <c r="V899" s="71"/>
      <c r="W899" s="71"/>
      <c r="X899" s="71"/>
    </row>
    <row r="900" spans="18:24" ht="12.75">
      <c r="R900" s="71"/>
      <c r="S900" s="71"/>
      <c r="T900" s="71"/>
      <c r="U900" s="71"/>
      <c r="V900" s="71"/>
      <c r="W900" s="71"/>
      <c r="X900" s="71"/>
    </row>
    <row r="901" spans="18:24" ht="12.75">
      <c r="R901" s="71"/>
      <c r="S901" s="71"/>
      <c r="T901" s="71"/>
      <c r="U901" s="71"/>
      <c r="V901" s="71"/>
      <c r="W901" s="71"/>
      <c r="X901" s="71"/>
    </row>
    <row r="902" spans="18:24" ht="12.75">
      <c r="R902" s="71"/>
      <c r="S902" s="71"/>
      <c r="T902" s="71"/>
      <c r="U902" s="71"/>
      <c r="V902" s="71"/>
      <c r="W902" s="71"/>
      <c r="X902" s="71"/>
    </row>
    <row r="903" spans="18:24" ht="12.75">
      <c r="R903" s="71"/>
      <c r="S903" s="71"/>
      <c r="T903" s="71"/>
      <c r="U903" s="71"/>
      <c r="V903" s="71"/>
      <c r="W903" s="71"/>
      <c r="X903" s="71"/>
    </row>
    <row r="904" spans="18:24" ht="12.75">
      <c r="R904" s="71"/>
      <c r="S904" s="71"/>
      <c r="T904" s="71"/>
      <c r="U904" s="71"/>
      <c r="V904" s="71"/>
      <c r="W904" s="71"/>
      <c r="X904" s="71"/>
    </row>
    <row r="905" spans="18:24" ht="12.75">
      <c r="R905" s="71"/>
      <c r="S905" s="71"/>
      <c r="T905" s="71"/>
      <c r="U905" s="71"/>
      <c r="V905" s="71"/>
      <c r="W905" s="71"/>
      <c r="X905" s="71"/>
    </row>
    <row r="906" spans="18:24" ht="12.75">
      <c r="R906" s="71"/>
      <c r="S906" s="71"/>
      <c r="T906" s="71"/>
      <c r="U906" s="71"/>
      <c r="V906" s="71"/>
      <c r="W906" s="71"/>
      <c r="X906" s="71"/>
    </row>
    <row r="907" spans="18:24" ht="12.75">
      <c r="R907" s="71"/>
      <c r="S907" s="71"/>
      <c r="T907" s="71"/>
      <c r="U907" s="71"/>
      <c r="V907" s="71"/>
      <c r="W907" s="71"/>
      <c r="X907" s="71"/>
    </row>
    <row r="908" spans="18:24" ht="12.75">
      <c r="R908" s="71"/>
      <c r="S908" s="71"/>
      <c r="T908" s="71"/>
      <c r="U908" s="71"/>
      <c r="V908" s="71"/>
      <c r="W908" s="71"/>
      <c r="X908" s="71"/>
    </row>
    <row r="909" spans="18:24" ht="12.75">
      <c r="R909" s="71"/>
      <c r="S909" s="71"/>
      <c r="T909" s="71"/>
      <c r="U909" s="71"/>
      <c r="V909" s="71"/>
      <c r="W909" s="71"/>
      <c r="X909" s="71"/>
    </row>
    <row r="910" spans="18:24" ht="12.75">
      <c r="R910" s="71"/>
      <c r="S910" s="71"/>
      <c r="T910" s="71"/>
      <c r="U910" s="71"/>
      <c r="V910" s="71"/>
      <c r="W910" s="71"/>
      <c r="X910" s="71"/>
    </row>
    <row r="911" spans="18:24" ht="12.75">
      <c r="R911" s="71"/>
      <c r="S911" s="71"/>
      <c r="T911" s="71"/>
      <c r="U911" s="71"/>
      <c r="V911" s="71"/>
      <c r="W911" s="71"/>
      <c r="X911" s="71"/>
    </row>
    <row r="912" spans="18:24" ht="12.75">
      <c r="R912" s="71"/>
      <c r="S912" s="71"/>
      <c r="T912" s="71"/>
      <c r="U912" s="71"/>
      <c r="V912" s="71"/>
      <c r="W912" s="71"/>
      <c r="X912" s="71"/>
    </row>
    <row r="913" spans="18:24" ht="12.75">
      <c r="R913" s="71"/>
      <c r="S913" s="71"/>
      <c r="T913" s="71"/>
      <c r="U913" s="71"/>
      <c r="V913" s="71"/>
      <c r="W913" s="71"/>
      <c r="X913" s="71"/>
    </row>
    <row r="914" spans="18:24" ht="12.75">
      <c r="R914" s="71"/>
      <c r="S914" s="71"/>
      <c r="T914" s="71"/>
      <c r="U914" s="71"/>
      <c r="V914" s="71"/>
      <c r="W914" s="71"/>
      <c r="X914" s="71"/>
    </row>
    <row r="915" spans="18:24" ht="12.75">
      <c r="R915" s="71"/>
      <c r="S915" s="71"/>
      <c r="T915" s="71"/>
      <c r="U915" s="71"/>
      <c r="V915" s="71"/>
      <c r="W915" s="71"/>
      <c r="X915" s="71"/>
    </row>
    <row r="916" spans="18:24" ht="12.75">
      <c r="R916" s="71"/>
      <c r="S916" s="71"/>
      <c r="T916" s="71"/>
      <c r="U916" s="71"/>
      <c r="V916" s="71"/>
      <c r="W916" s="71"/>
      <c r="X916" s="71"/>
    </row>
    <row r="917" spans="18:24" ht="12.75">
      <c r="R917" s="71"/>
      <c r="S917" s="71"/>
      <c r="T917" s="71"/>
      <c r="U917" s="71"/>
      <c r="V917" s="71"/>
      <c r="W917" s="71"/>
      <c r="X917" s="71"/>
    </row>
    <row r="918" spans="18:24" ht="12.75">
      <c r="R918" s="71"/>
      <c r="S918" s="71"/>
      <c r="T918" s="71"/>
      <c r="U918" s="71"/>
      <c r="V918" s="71"/>
      <c r="W918" s="71"/>
      <c r="X918" s="71"/>
    </row>
    <row r="919" spans="18:24" ht="12.75">
      <c r="R919" s="71"/>
      <c r="S919" s="71"/>
      <c r="T919" s="71"/>
      <c r="U919" s="71"/>
      <c r="V919" s="71"/>
      <c r="W919" s="71"/>
      <c r="X919" s="71"/>
    </row>
    <row r="920" spans="18:24" ht="12.75">
      <c r="R920" s="71"/>
      <c r="S920" s="71"/>
      <c r="T920" s="71"/>
      <c r="U920" s="71"/>
      <c r="V920" s="71"/>
      <c r="W920" s="71"/>
      <c r="X920" s="71"/>
    </row>
    <row r="921" spans="18:24" ht="12.75">
      <c r="R921" s="71"/>
      <c r="S921" s="71"/>
      <c r="T921" s="71"/>
      <c r="U921" s="71"/>
      <c r="V921" s="71"/>
      <c r="W921" s="71"/>
      <c r="X921" s="71"/>
    </row>
    <row r="922" spans="18:24" ht="12.75">
      <c r="R922" s="71"/>
      <c r="S922" s="71"/>
      <c r="T922" s="71"/>
      <c r="U922" s="71"/>
      <c r="V922" s="71"/>
      <c r="W922" s="71"/>
      <c r="X922" s="71"/>
    </row>
    <row r="923" spans="18:24" ht="12.75">
      <c r="R923" s="71"/>
      <c r="S923" s="71"/>
      <c r="T923" s="71"/>
      <c r="U923" s="71"/>
      <c r="V923" s="71"/>
      <c r="W923" s="71"/>
      <c r="X923" s="71"/>
    </row>
    <row r="924" spans="18:24" ht="12.75">
      <c r="R924" s="71"/>
      <c r="S924" s="71"/>
      <c r="T924" s="71"/>
      <c r="U924" s="71"/>
      <c r="V924" s="71"/>
      <c r="W924" s="71"/>
      <c r="X924" s="71"/>
    </row>
    <row r="925" spans="18:24" ht="12.75">
      <c r="R925" s="71"/>
      <c r="S925" s="71"/>
      <c r="T925" s="71"/>
      <c r="U925" s="71"/>
      <c r="V925" s="71"/>
      <c r="W925" s="71"/>
      <c r="X925" s="71"/>
    </row>
    <row r="926" spans="18:24" ht="12.75">
      <c r="R926" s="71"/>
      <c r="S926" s="71"/>
      <c r="T926" s="71"/>
      <c r="U926" s="71"/>
      <c r="V926" s="71"/>
      <c r="W926" s="71"/>
      <c r="X926" s="71"/>
    </row>
    <row r="927" spans="18:24" ht="12.75">
      <c r="R927" s="71"/>
      <c r="S927" s="71"/>
      <c r="T927" s="71"/>
      <c r="U927" s="71"/>
      <c r="V927" s="71"/>
      <c r="W927" s="71"/>
      <c r="X927" s="71"/>
    </row>
    <row r="928" spans="18:24" ht="12.75">
      <c r="R928" s="71"/>
      <c r="S928" s="71"/>
      <c r="T928" s="71"/>
      <c r="U928" s="71"/>
      <c r="V928" s="71"/>
      <c r="W928" s="71"/>
      <c r="X928" s="71"/>
    </row>
    <row r="929" spans="18:24" ht="12.75">
      <c r="R929" s="71"/>
      <c r="S929" s="71"/>
      <c r="T929" s="71"/>
      <c r="U929" s="71"/>
      <c r="V929" s="71"/>
      <c r="W929" s="71"/>
      <c r="X929" s="71"/>
    </row>
    <row r="930" spans="18:24" ht="12.75">
      <c r="R930" s="71"/>
      <c r="S930" s="71"/>
      <c r="T930" s="71"/>
      <c r="U930" s="71"/>
      <c r="V930" s="71"/>
      <c r="W930" s="71"/>
      <c r="X930" s="71"/>
    </row>
    <row r="931" spans="18:24" ht="12.75">
      <c r="R931" s="71"/>
      <c r="S931" s="71"/>
      <c r="T931" s="71"/>
      <c r="U931" s="71"/>
      <c r="V931" s="71"/>
      <c r="W931" s="71"/>
      <c r="X931" s="71"/>
    </row>
    <row r="932" spans="18:24" ht="12.75">
      <c r="R932" s="71"/>
      <c r="S932" s="71"/>
      <c r="T932" s="71"/>
      <c r="U932" s="71"/>
      <c r="V932" s="71"/>
      <c r="W932" s="71"/>
      <c r="X932" s="71"/>
    </row>
    <row r="933" spans="18:24" ht="12.75">
      <c r="R933" s="71"/>
      <c r="S933" s="71"/>
      <c r="T933" s="71"/>
      <c r="U933" s="71"/>
      <c r="V933" s="71"/>
      <c r="W933" s="71"/>
      <c r="X933" s="71"/>
    </row>
    <row r="934" spans="18:24" ht="12.75">
      <c r="R934" s="71"/>
      <c r="S934" s="71"/>
      <c r="T934" s="71"/>
      <c r="U934" s="71"/>
      <c r="V934" s="71"/>
      <c r="W934" s="71"/>
      <c r="X934" s="71"/>
    </row>
    <row r="935" spans="18:24" ht="12.75">
      <c r="R935" s="71"/>
      <c r="S935" s="71"/>
      <c r="T935" s="71"/>
      <c r="U935" s="71"/>
      <c r="V935" s="71"/>
      <c r="W935" s="71"/>
      <c r="X935" s="71"/>
    </row>
    <row r="936" spans="18:24" ht="12.75">
      <c r="R936" s="71"/>
      <c r="S936" s="71"/>
      <c r="T936" s="71"/>
      <c r="U936" s="71"/>
      <c r="V936" s="71"/>
      <c r="W936" s="71"/>
      <c r="X936" s="71"/>
    </row>
    <row r="937" spans="18:24" ht="12.75">
      <c r="R937" s="71"/>
      <c r="S937" s="71"/>
      <c r="T937" s="71"/>
      <c r="U937" s="71"/>
      <c r="V937" s="71"/>
      <c r="W937" s="71"/>
      <c r="X937" s="71"/>
    </row>
    <row r="938" spans="18:24" ht="12.75">
      <c r="R938" s="71"/>
      <c r="S938" s="71"/>
      <c r="T938" s="71"/>
      <c r="U938" s="71"/>
      <c r="V938" s="71"/>
      <c r="W938" s="71"/>
      <c r="X938" s="71"/>
    </row>
    <row r="939" spans="18:24" ht="12.75">
      <c r="R939" s="71"/>
      <c r="S939" s="71"/>
      <c r="T939" s="71"/>
      <c r="U939" s="71"/>
      <c r="V939" s="71"/>
      <c r="W939" s="71"/>
      <c r="X939" s="71"/>
    </row>
    <row r="940" spans="18:24" ht="12.75">
      <c r="R940" s="71"/>
      <c r="S940" s="71"/>
      <c r="T940" s="71"/>
      <c r="U940" s="71"/>
      <c r="V940" s="71"/>
      <c r="W940" s="71"/>
      <c r="X940" s="71"/>
    </row>
    <row r="941" spans="18:24" ht="12.75">
      <c r="R941" s="71"/>
      <c r="S941" s="71"/>
      <c r="T941" s="71"/>
      <c r="U941" s="71"/>
      <c r="V941" s="71"/>
      <c r="W941" s="71"/>
      <c r="X941" s="71"/>
    </row>
    <row r="942" spans="18:24" ht="12.75">
      <c r="R942" s="71"/>
      <c r="S942" s="71"/>
      <c r="T942" s="71"/>
      <c r="U942" s="71"/>
      <c r="V942" s="71"/>
      <c r="W942" s="71"/>
      <c r="X942" s="71"/>
    </row>
    <row r="943" spans="18:24" ht="12.75">
      <c r="R943" s="71"/>
      <c r="S943" s="71"/>
      <c r="T943" s="71"/>
      <c r="U943" s="71"/>
      <c r="V943" s="71"/>
      <c r="W943" s="71"/>
      <c r="X943" s="71"/>
    </row>
    <row r="944" spans="18:24" ht="12.75">
      <c r="R944" s="71"/>
      <c r="S944" s="71"/>
      <c r="T944" s="71"/>
      <c r="U944" s="71"/>
      <c r="V944" s="71"/>
      <c r="W944" s="71"/>
      <c r="X944" s="71"/>
    </row>
    <row r="945" spans="18:24" ht="12.75">
      <c r="R945" s="71"/>
      <c r="S945" s="71"/>
      <c r="T945" s="71"/>
      <c r="U945" s="71"/>
      <c r="V945" s="71"/>
      <c r="W945" s="71"/>
      <c r="X945" s="71"/>
    </row>
    <row r="946" spans="18:24" ht="12.75">
      <c r="R946" s="71"/>
      <c r="S946" s="71"/>
      <c r="T946" s="71"/>
      <c r="U946" s="71"/>
      <c r="V946" s="71"/>
      <c r="W946" s="71"/>
      <c r="X946" s="71"/>
    </row>
    <row r="947" spans="18:24" ht="12.75">
      <c r="R947" s="71"/>
      <c r="S947" s="71"/>
      <c r="T947" s="71"/>
      <c r="U947" s="71"/>
      <c r="V947" s="71"/>
      <c r="W947" s="71"/>
      <c r="X947" s="71"/>
    </row>
    <row r="948" spans="18:24" ht="12.75">
      <c r="R948" s="71"/>
      <c r="S948" s="71"/>
      <c r="T948" s="71"/>
      <c r="U948" s="71"/>
      <c r="V948" s="71"/>
      <c r="W948" s="71"/>
      <c r="X948" s="71"/>
    </row>
    <row r="949" spans="18:24" ht="12.75">
      <c r="R949" s="71"/>
      <c r="S949" s="71"/>
      <c r="T949" s="71"/>
      <c r="U949" s="71"/>
      <c r="V949" s="71"/>
      <c r="W949" s="71"/>
      <c r="X949" s="71"/>
    </row>
    <row r="950" spans="18:24" ht="12.75">
      <c r="R950" s="71"/>
      <c r="S950" s="71"/>
      <c r="T950" s="71"/>
      <c r="U950" s="71"/>
      <c r="V950" s="71"/>
      <c r="W950" s="71"/>
      <c r="X950" s="71"/>
    </row>
    <row r="951" spans="18:24" ht="12.75">
      <c r="R951" s="71"/>
      <c r="S951" s="71"/>
      <c r="T951" s="71"/>
      <c r="U951" s="71"/>
      <c r="V951" s="71"/>
      <c r="W951" s="71"/>
      <c r="X951" s="71"/>
    </row>
    <row r="952" spans="18:24" ht="12.75">
      <c r="R952" s="71"/>
      <c r="S952" s="71"/>
      <c r="T952" s="71"/>
      <c r="U952" s="71"/>
      <c r="V952" s="71"/>
      <c r="W952" s="71"/>
      <c r="X952" s="71"/>
    </row>
    <row r="953" spans="18:24" ht="12.75">
      <c r="R953" s="71"/>
      <c r="S953" s="71"/>
      <c r="T953" s="71"/>
      <c r="U953" s="71"/>
      <c r="V953" s="71"/>
      <c r="W953" s="71"/>
      <c r="X953" s="71"/>
    </row>
    <row r="954" spans="18:24" ht="12.75">
      <c r="R954" s="71"/>
      <c r="S954" s="71"/>
      <c r="T954" s="71"/>
      <c r="U954" s="71"/>
      <c r="V954" s="71"/>
      <c r="W954" s="71"/>
      <c r="X954" s="71"/>
    </row>
    <row r="955" spans="18:24" ht="12.75">
      <c r="R955" s="71"/>
      <c r="S955" s="71"/>
      <c r="T955" s="71"/>
      <c r="U955" s="71"/>
      <c r="V955" s="71"/>
      <c r="W955" s="71"/>
      <c r="X955" s="71"/>
    </row>
  </sheetData>
  <sheetProtection/>
  <mergeCells count="24">
    <mergeCell ref="B226:C226"/>
    <mergeCell ref="Q6:Q7"/>
    <mergeCell ref="M5:P5"/>
    <mergeCell ref="K6:K7"/>
    <mergeCell ref="B218:C218"/>
    <mergeCell ref="F5:F7"/>
    <mergeCell ref="B230:C230"/>
    <mergeCell ref="B2:R2"/>
    <mergeCell ref="P6:P7"/>
    <mergeCell ref="M6:M7"/>
    <mergeCell ref="N6:N7"/>
    <mergeCell ref="O6:O7"/>
    <mergeCell ref="Q5:R5"/>
    <mergeCell ref="G6:G7"/>
    <mergeCell ref="B222:C222"/>
    <mergeCell ref="A5:D7"/>
    <mergeCell ref="B3:P3"/>
    <mergeCell ref="E5:E7"/>
    <mergeCell ref="L6:L7"/>
    <mergeCell ref="R6:R7"/>
    <mergeCell ref="I6:I7"/>
    <mergeCell ref="J6:J7"/>
    <mergeCell ref="G5:L5"/>
    <mergeCell ref="H6:H7"/>
  </mergeCells>
  <printOptions horizontalCentered="1"/>
  <pageMargins left="0.1968503937007874" right="0.1968503937007874" top="0.35433070866141736" bottom="0.2755905511811024" header="0.15748031496062992" footer="0.15748031496062992"/>
  <pageSetup horizontalDpi="600" verticalDpi="600" orientation="landscape" paperSize="9" scale="47" r:id="rId1"/>
  <headerFooter alignWithMargins="0">
    <oddHeader xml:space="preserve">&amp;L 5. melléklet </oddHeader>
  </headerFooter>
  <rowBreaks count="2" manualBreakCount="2">
    <brk id="79" max="17" man="1"/>
    <brk id="154" max="17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R129"/>
  <sheetViews>
    <sheetView view="pageLayout" zoomScaleSheetLayoutView="93" workbookViewId="0" topLeftCell="A72">
      <selection activeCell="A126" sqref="A126"/>
    </sheetView>
  </sheetViews>
  <sheetFormatPr defaultColWidth="11.625" defaultRowHeight="12.75"/>
  <cols>
    <col min="1" max="1" width="12.75390625" style="62" customWidth="1"/>
    <col min="2" max="2" width="8.00390625" style="66" customWidth="1"/>
    <col min="3" max="3" width="95.75390625" style="62" customWidth="1"/>
    <col min="4" max="4" width="11.25390625" style="63" customWidth="1"/>
    <col min="5" max="5" width="9.25390625" style="64" customWidth="1"/>
    <col min="6" max="6" width="9.00390625" style="62" customWidth="1"/>
    <col min="7" max="7" width="9.75390625" style="62" customWidth="1"/>
    <col min="8" max="8" width="11.125" style="62" customWidth="1"/>
    <col min="9" max="9" width="9.625" style="62" customWidth="1"/>
    <col min="10" max="10" width="9.375" style="62" customWidth="1"/>
    <col min="11" max="12" width="10.125" style="62" customWidth="1"/>
    <col min="13" max="13" width="9.375" style="62" customWidth="1"/>
    <col min="14" max="14" width="9.25390625" style="62" customWidth="1"/>
    <col min="15" max="15" width="10.875" style="65" customWidth="1"/>
    <col min="16" max="16" width="11.25390625" style="62" customWidth="1"/>
    <col min="17" max="18" width="10.875" style="62" customWidth="1"/>
    <col min="19" max="16384" width="11.625" style="140" customWidth="1"/>
  </cols>
  <sheetData>
    <row r="1" spans="2:3" ht="12.75">
      <c r="B1" s="1132"/>
      <c r="C1" s="1132"/>
    </row>
    <row r="3" spans="2:18" ht="14.25">
      <c r="B3" s="1136" t="s">
        <v>211</v>
      </c>
      <c r="C3" s="1136"/>
      <c r="D3" s="1136"/>
      <c r="E3" s="1136"/>
      <c r="F3" s="1136"/>
      <c r="G3" s="1136"/>
      <c r="H3" s="1136"/>
      <c r="I3" s="1136"/>
      <c r="J3" s="1136"/>
      <c r="K3" s="1136"/>
      <c r="L3" s="1136"/>
      <c r="M3" s="1136"/>
      <c r="N3" s="1136"/>
      <c r="O3" s="1136"/>
      <c r="P3" s="1136"/>
      <c r="Q3" s="1032"/>
      <c r="R3" s="1032"/>
    </row>
    <row r="4" spans="2:17" ht="15">
      <c r="B4" s="1133"/>
      <c r="C4" s="1133"/>
      <c r="D4" s="1133"/>
      <c r="E4" s="1133"/>
      <c r="F4" s="1133"/>
      <c r="G4" s="1133"/>
      <c r="H4" s="1133"/>
      <c r="I4" s="1133"/>
      <c r="J4" s="1133"/>
      <c r="K4" s="1133"/>
      <c r="L4" s="1133"/>
      <c r="M4" s="1133"/>
      <c r="N4" s="1133"/>
      <c r="O4" s="1133"/>
      <c r="P4" s="1133"/>
      <c r="Q4" s="67"/>
    </row>
    <row r="5" spans="14:18" ht="13.5" thickBot="1">
      <c r="N5" s="64"/>
      <c r="O5" s="68"/>
      <c r="P5" s="68"/>
      <c r="Q5" s="68"/>
      <c r="R5" s="68" t="s">
        <v>576</v>
      </c>
    </row>
    <row r="6" spans="1:18" ht="18" customHeight="1">
      <c r="A6" s="1125" t="s">
        <v>121</v>
      </c>
      <c r="B6" s="1126"/>
      <c r="C6" s="1126"/>
      <c r="D6" s="1126"/>
      <c r="E6" s="1134" t="s">
        <v>577</v>
      </c>
      <c r="F6" s="1126" t="s">
        <v>578</v>
      </c>
      <c r="G6" s="1129" t="s">
        <v>579</v>
      </c>
      <c r="H6" s="1129"/>
      <c r="I6" s="1129"/>
      <c r="J6" s="1129"/>
      <c r="K6" s="1129"/>
      <c r="L6" s="1129"/>
      <c r="M6" s="1129" t="s">
        <v>580</v>
      </c>
      <c r="N6" s="1129"/>
      <c r="O6" s="1129"/>
      <c r="P6" s="1129"/>
      <c r="Q6" s="1129" t="s">
        <v>521</v>
      </c>
      <c r="R6" s="1130"/>
    </row>
    <row r="7" spans="1:18" ht="25.5" customHeight="1">
      <c r="A7" s="1127"/>
      <c r="B7" s="1128"/>
      <c r="C7" s="1128"/>
      <c r="D7" s="1128"/>
      <c r="E7" s="1135"/>
      <c r="F7" s="1128"/>
      <c r="G7" s="1124" t="s">
        <v>581</v>
      </c>
      <c r="H7" s="1124" t="s">
        <v>582</v>
      </c>
      <c r="I7" s="1124" t="s">
        <v>583</v>
      </c>
      <c r="J7" s="1124" t="s">
        <v>40</v>
      </c>
      <c r="K7" s="1124" t="s">
        <v>39</v>
      </c>
      <c r="L7" s="1124" t="s">
        <v>152</v>
      </c>
      <c r="M7" s="1128" t="s">
        <v>524</v>
      </c>
      <c r="N7" s="1128" t="s">
        <v>523</v>
      </c>
      <c r="O7" s="1124" t="s">
        <v>66</v>
      </c>
      <c r="P7" s="1123" t="s">
        <v>478</v>
      </c>
      <c r="Q7" s="1123" t="s">
        <v>584</v>
      </c>
      <c r="R7" s="1131" t="s">
        <v>479</v>
      </c>
    </row>
    <row r="8" spans="1:18" ht="30" customHeight="1">
      <c r="A8" s="1127"/>
      <c r="B8" s="1128"/>
      <c r="C8" s="1128"/>
      <c r="D8" s="1128"/>
      <c r="E8" s="1135"/>
      <c r="F8" s="1128"/>
      <c r="G8" s="1124"/>
      <c r="H8" s="1124"/>
      <c r="I8" s="1124"/>
      <c r="J8" s="1124"/>
      <c r="K8" s="1124"/>
      <c r="L8" s="1124"/>
      <c r="M8" s="1128"/>
      <c r="N8" s="1128"/>
      <c r="O8" s="1124"/>
      <c r="P8" s="1124"/>
      <c r="Q8" s="1124"/>
      <c r="R8" s="1131"/>
    </row>
    <row r="9" spans="1:18" ht="12.75">
      <c r="A9" s="1117" t="s">
        <v>140</v>
      </c>
      <c r="B9" s="1118"/>
      <c r="C9" s="1118"/>
      <c r="D9" s="159"/>
      <c r="E9" s="72"/>
      <c r="F9" s="72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160"/>
    </row>
    <row r="10" spans="1:18" ht="12.75">
      <c r="A10" s="156" t="s">
        <v>585</v>
      </c>
      <c r="B10" s="157" t="s">
        <v>174</v>
      </c>
      <c r="C10" s="158" t="s">
        <v>346</v>
      </c>
      <c r="D10" s="159" t="s">
        <v>162</v>
      </c>
      <c r="E10" s="72">
        <v>1950</v>
      </c>
      <c r="F10" s="72">
        <f>G10+H10+I10+J10+K10+L10+M10+N10+O10+P10+Q10+R10</f>
        <v>382290</v>
      </c>
      <c r="G10" s="70">
        <v>195843</v>
      </c>
      <c r="H10" s="70">
        <v>57523</v>
      </c>
      <c r="I10" s="70">
        <v>110319</v>
      </c>
      <c r="J10" s="70"/>
      <c r="K10" s="70"/>
      <c r="L10" s="70"/>
      <c r="M10" s="70"/>
      <c r="N10" s="70">
        <v>18605</v>
      </c>
      <c r="O10" s="70"/>
      <c r="P10" s="70"/>
      <c r="Q10" s="70"/>
      <c r="R10" s="160"/>
    </row>
    <row r="11" spans="1:18" ht="12.75">
      <c r="A11" s="156"/>
      <c r="B11" s="157"/>
      <c r="C11" s="158"/>
      <c r="D11" s="159" t="s">
        <v>888</v>
      </c>
      <c r="E11" s="72">
        <v>10139</v>
      </c>
      <c r="F11" s="72">
        <f>G11+H11+I11+J11+K11+L11+M11+N11+O11+P11+Q11+R11</f>
        <v>397898</v>
      </c>
      <c r="G11" s="70">
        <v>205407</v>
      </c>
      <c r="H11" s="70">
        <v>59134</v>
      </c>
      <c r="I11" s="70">
        <v>112848</v>
      </c>
      <c r="J11" s="70">
        <v>933</v>
      </c>
      <c r="K11" s="70"/>
      <c r="L11" s="70"/>
      <c r="M11" s="70">
        <v>971</v>
      </c>
      <c r="N11" s="70">
        <v>18605</v>
      </c>
      <c r="O11" s="70"/>
      <c r="P11" s="70"/>
      <c r="Q11" s="70"/>
      <c r="R11" s="160"/>
    </row>
    <row r="12" spans="1:18" ht="12.75">
      <c r="A12" s="156"/>
      <c r="B12" s="157"/>
      <c r="C12" s="158"/>
      <c r="D12" s="159" t="s">
        <v>947</v>
      </c>
      <c r="E12" s="72">
        <v>11886</v>
      </c>
      <c r="F12" s="72">
        <f aca="true" t="shared" si="0" ref="F12:F47">G12+H12+I12+J12+K12+L12+M12+N12+O12+P12+Q12+R12</f>
        <v>392646</v>
      </c>
      <c r="G12" s="70">
        <v>200935</v>
      </c>
      <c r="H12" s="70">
        <v>57323</v>
      </c>
      <c r="I12" s="70">
        <v>113028</v>
      </c>
      <c r="J12" s="70">
        <v>1535</v>
      </c>
      <c r="K12" s="70"/>
      <c r="L12" s="70"/>
      <c r="M12" s="70">
        <v>1220</v>
      </c>
      <c r="N12" s="70">
        <v>18605</v>
      </c>
      <c r="O12" s="70"/>
      <c r="P12" s="70"/>
      <c r="Q12" s="70"/>
      <c r="R12" s="160"/>
    </row>
    <row r="13" spans="1:18" ht="12.75">
      <c r="A13" s="156" t="s">
        <v>585</v>
      </c>
      <c r="B13" s="157" t="s">
        <v>347</v>
      </c>
      <c r="C13" s="158" t="s">
        <v>349</v>
      </c>
      <c r="D13" s="159" t="s">
        <v>162</v>
      </c>
      <c r="E13" s="72">
        <v>0</v>
      </c>
      <c r="F13" s="72">
        <f t="shared" si="0"/>
        <v>55125</v>
      </c>
      <c r="G13" s="70">
        <v>41629</v>
      </c>
      <c r="H13" s="70">
        <v>10996</v>
      </c>
      <c r="I13" s="70">
        <v>2500</v>
      </c>
      <c r="J13" s="70"/>
      <c r="K13" s="70"/>
      <c r="L13" s="70"/>
      <c r="M13" s="70"/>
      <c r="N13" s="70"/>
      <c r="O13" s="70"/>
      <c r="P13" s="70"/>
      <c r="Q13" s="70"/>
      <c r="R13" s="160"/>
    </row>
    <row r="14" spans="1:18" ht="12.75">
      <c r="A14" s="156"/>
      <c r="B14" s="157"/>
      <c r="C14" s="158"/>
      <c r="D14" s="159" t="s">
        <v>888</v>
      </c>
      <c r="E14" s="72">
        <v>0</v>
      </c>
      <c r="F14" s="72">
        <f t="shared" si="0"/>
        <v>57125</v>
      </c>
      <c r="G14" s="70">
        <v>41629</v>
      </c>
      <c r="H14" s="70">
        <v>10996</v>
      </c>
      <c r="I14" s="70">
        <v>4500</v>
      </c>
      <c r="J14" s="70"/>
      <c r="K14" s="70"/>
      <c r="L14" s="70"/>
      <c r="M14" s="70"/>
      <c r="N14" s="70"/>
      <c r="O14" s="70"/>
      <c r="P14" s="70"/>
      <c r="Q14" s="70"/>
      <c r="R14" s="160"/>
    </row>
    <row r="15" spans="1:18" ht="12.75">
      <c r="A15" s="156"/>
      <c r="B15" s="157"/>
      <c r="C15" s="158"/>
      <c r="D15" s="159" t="s">
        <v>947</v>
      </c>
      <c r="E15" s="72">
        <v>0</v>
      </c>
      <c r="F15" s="72">
        <f t="shared" si="0"/>
        <v>58125</v>
      </c>
      <c r="G15" s="70">
        <v>41629</v>
      </c>
      <c r="H15" s="70">
        <v>10996</v>
      </c>
      <c r="I15" s="70">
        <v>5500</v>
      </c>
      <c r="J15" s="70"/>
      <c r="K15" s="70"/>
      <c r="L15" s="70"/>
      <c r="M15" s="70"/>
      <c r="N15" s="70"/>
      <c r="O15" s="70"/>
      <c r="P15" s="70"/>
      <c r="Q15" s="70"/>
      <c r="R15" s="160"/>
    </row>
    <row r="16" spans="1:18" ht="12.75">
      <c r="A16" s="156" t="s">
        <v>590</v>
      </c>
      <c r="B16" s="157" t="s">
        <v>358</v>
      </c>
      <c r="C16" s="158" t="s">
        <v>610</v>
      </c>
      <c r="D16" s="159" t="s">
        <v>162</v>
      </c>
      <c r="E16" s="72">
        <v>649269</v>
      </c>
      <c r="F16" s="72">
        <f t="shared" si="0"/>
        <v>0</v>
      </c>
      <c r="G16" s="70"/>
      <c r="H16" s="70"/>
      <c r="I16" s="70"/>
      <c r="J16" s="70"/>
      <c r="K16" s="70"/>
      <c r="L16" s="70"/>
      <c r="M16" s="70"/>
      <c r="N16" s="70"/>
      <c r="O16" s="70"/>
      <c r="P16" s="70"/>
      <c r="Q16" s="70"/>
      <c r="R16" s="161"/>
    </row>
    <row r="17" spans="1:18" ht="12.75">
      <c r="A17" s="156"/>
      <c r="B17" s="157"/>
      <c r="C17" s="158"/>
      <c r="D17" s="159" t="s">
        <v>888</v>
      </c>
      <c r="E17" s="72">
        <v>656688</v>
      </c>
      <c r="F17" s="72">
        <f t="shared" si="0"/>
        <v>0</v>
      </c>
      <c r="G17" s="70"/>
      <c r="H17" s="70"/>
      <c r="I17" s="70"/>
      <c r="J17" s="70"/>
      <c r="K17" s="70"/>
      <c r="L17" s="70"/>
      <c r="M17" s="70"/>
      <c r="N17" s="70"/>
      <c r="O17" s="70"/>
      <c r="P17" s="70"/>
      <c r="Q17" s="70"/>
      <c r="R17" s="161"/>
    </row>
    <row r="18" spans="1:18" ht="12.75">
      <c r="A18" s="156"/>
      <c r="B18" s="157"/>
      <c r="C18" s="158"/>
      <c r="D18" s="159" t="s">
        <v>947</v>
      </c>
      <c r="E18" s="72">
        <v>658548</v>
      </c>
      <c r="F18" s="72">
        <f t="shared" si="0"/>
        <v>0</v>
      </c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161"/>
    </row>
    <row r="19" spans="1:18" ht="12.75">
      <c r="A19" s="156" t="s">
        <v>593</v>
      </c>
      <c r="B19" s="157" t="s">
        <v>441</v>
      </c>
      <c r="C19" s="158" t="s">
        <v>357</v>
      </c>
      <c r="D19" s="159" t="s">
        <v>162</v>
      </c>
      <c r="E19" s="72">
        <v>1000</v>
      </c>
      <c r="F19" s="72">
        <f t="shared" si="0"/>
        <v>18312</v>
      </c>
      <c r="G19" s="70">
        <v>12204</v>
      </c>
      <c r="H19" s="70">
        <v>3047</v>
      </c>
      <c r="I19" s="70">
        <v>3061</v>
      </c>
      <c r="J19" s="70"/>
      <c r="K19" s="70"/>
      <c r="L19" s="70"/>
      <c r="M19" s="70"/>
      <c r="N19" s="70"/>
      <c r="O19" s="70"/>
      <c r="P19" s="70"/>
      <c r="Q19" s="70"/>
      <c r="R19" s="160"/>
    </row>
    <row r="20" spans="1:18" ht="12.75">
      <c r="A20" s="156"/>
      <c r="B20" s="157"/>
      <c r="C20" s="158"/>
      <c r="D20" s="159" t="s">
        <v>888</v>
      </c>
      <c r="E20" s="72">
        <v>1953</v>
      </c>
      <c r="F20" s="72">
        <f t="shared" si="0"/>
        <v>17765</v>
      </c>
      <c r="G20" s="70">
        <v>12204</v>
      </c>
      <c r="H20" s="70">
        <v>3047</v>
      </c>
      <c r="I20" s="70">
        <v>2514</v>
      </c>
      <c r="J20" s="70"/>
      <c r="K20" s="70"/>
      <c r="L20" s="70"/>
      <c r="M20" s="70"/>
      <c r="N20" s="70"/>
      <c r="O20" s="70"/>
      <c r="P20" s="70"/>
      <c r="Q20" s="70"/>
      <c r="R20" s="160"/>
    </row>
    <row r="21" spans="1:18" ht="12.75">
      <c r="A21" s="156"/>
      <c r="B21" s="157"/>
      <c r="C21" s="158"/>
      <c r="D21" s="159" t="s">
        <v>947</v>
      </c>
      <c r="E21" s="72">
        <v>988</v>
      </c>
      <c r="F21" s="72">
        <f t="shared" si="0"/>
        <v>16800</v>
      </c>
      <c r="G21" s="70">
        <v>12204</v>
      </c>
      <c r="H21" s="70">
        <v>3047</v>
      </c>
      <c r="I21" s="70">
        <v>1549</v>
      </c>
      <c r="J21" s="70"/>
      <c r="K21" s="70"/>
      <c r="L21" s="70"/>
      <c r="M21" s="70"/>
      <c r="N21" s="70"/>
      <c r="O21" s="70"/>
      <c r="P21" s="70"/>
      <c r="Q21" s="70"/>
      <c r="R21" s="160"/>
    </row>
    <row r="22" spans="1:18" ht="12.75">
      <c r="A22" s="156" t="s">
        <v>593</v>
      </c>
      <c r="B22" s="157" t="s">
        <v>277</v>
      </c>
      <c r="C22" s="158" t="s">
        <v>351</v>
      </c>
      <c r="D22" s="159" t="s">
        <v>162</v>
      </c>
      <c r="E22" s="72">
        <v>1000</v>
      </c>
      <c r="F22" s="72">
        <f t="shared" si="0"/>
        <v>1000</v>
      </c>
      <c r="G22" s="69"/>
      <c r="H22" s="69"/>
      <c r="I22" s="69"/>
      <c r="J22" s="69"/>
      <c r="K22" s="69"/>
      <c r="L22" s="69"/>
      <c r="M22" s="69"/>
      <c r="N22" s="69"/>
      <c r="O22" s="69">
        <v>1000</v>
      </c>
      <c r="P22" s="69"/>
      <c r="Q22" s="69"/>
      <c r="R22" s="160"/>
    </row>
    <row r="23" spans="1:18" ht="12.75">
      <c r="A23" s="156"/>
      <c r="B23" s="157"/>
      <c r="C23" s="158"/>
      <c r="D23" s="159" t="s">
        <v>888</v>
      </c>
      <c r="E23" s="72">
        <v>1000</v>
      </c>
      <c r="F23" s="72">
        <f t="shared" si="0"/>
        <v>1000</v>
      </c>
      <c r="G23" s="69"/>
      <c r="H23" s="69"/>
      <c r="I23" s="69"/>
      <c r="J23" s="69"/>
      <c r="K23" s="69"/>
      <c r="L23" s="69"/>
      <c r="M23" s="69"/>
      <c r="N23" s="69"/>
      <c r="O23" s="69">
        <v>1000</v>
      </c>
      <c r="P23" s="69"/>
      <c r="Q23" s="69"/>
      <c r="R23" s="160"/>
    </row>
    <row r="24" spans="1:18" ht="12.75">
      <c r="A24" s="156"/>
      <c r="B24" s="157"/>
      <c r="C24" s="158"/>
      <c r="D24" s="159" t="s">
        <v>947</v>
      </c>
      <c r="E24" s="72">
        <v>1000</v>
      </c>
      <c r="F24" s="72">
        <f t="shared" si="0"/>
        <v>1000</v>
      </c>
      <c r="G24" s="69"/>
      <c r="H24" s="69"/>
      <c r="I24" s="69"/>
      <c r="J24" s="69"/>
      <c r="K24" s="69"/>
      <c r="L24" s="69"/>
      <c r="M24" s="69"/>
      <c r="N24" s="69"/>
      <c r="O24" s="69">
        <v>1000</v>
      </c>
      <c r="P24" s="69"/>
      <c r="Q24" s="69"/>
      <c r="R24" s="160"/>
    </row>
    <row r="25" spans="1:18" ht="12.75">
      <c r="A25" s="156" t="s">
        <v>585</v>
      </c>
      <c r="B25" s="157" t="s">
        <v>217</v>
      </c>
      <c r="C25" s="158" t="s">
        <v>350</v>
      </c>
      <c r="D25" s="159" t="s">
        <v>162</v>
      </c>
      <c r="E25" s="72">
        <v>0</v>
      </c>
      <c r="F25" s="72">
        <f t="shared" si="0"/>
        <v>83629</v>
      </c>
      <c r="G25" s="69">
        <v>65102</v>
      </c>
      <c r="H25" s="69">
        <v>17327</v>
      </c>
      <c r="I25" s="69">
        <v>1200</v>
      </c>
      <c r="J25" s="69"/>
      <c r="K25" s="69"/>
      <c r="L25" s="69"/>
      <c r="M25" s="69"/>
      <c r="N25" s="69"/>
      <c r="O25" s="69"/>
      <c r="P25" s="69"/>
      <c r="Q25" s="69"/>
      <c r="R25" s="160"/>
    </row>
    <row r="26" spans="1:18" ht="12.75">
      <c r="A26" s="156"/>
      <c r="B26" s="157"/>
      <c r="C26" s="158"/>
      <c r="D26" s="159" t="s">
        <v>888</v>
      </c>
      <c r="E26" s="72">
        <v>0</v>
      </c>
      <c r="F26" s="72">
        <f t="shared" si="0"/>
        <v>83629</v>
      </c>
      <c r="G26" s="69">
        <v>65102</v>
      </c>
      <c r="H26" s="69">
        <v>17327</v>
      </c>
      <c r="I26" s="69">
        <v>1200</v>
      </c>
      <c r="J26" s="69"/>
      <c r="K26" s="69"/>
      <c r="L26" s="69"/>
      <c r="M26" s="69"/>
      <c r="N26" s="69"/>
      <c r="O26" s="69"/>
      <c r="P26" s="69"/>
      <c r="Q26" s="69"/>
      <c r="R26" s="160"/>
    </row>
    <row r="27" spans="1:18" ht="12.75">
      <c r="A27" s="156"/>
      <c r="B27" s="157"/>
      <c r="C27" s="158"/>
      <c r="D27" s="159" t="s">
        <v>947</v>
      </c>
      <c r="E27" s="72">
        <v>0</v>
      </c>
      <c r="F27" s="72">
        <f t="shared" si="0"/>
        <v>83629</v>
      </c>
      <c r="G27" s="69">
        <v>65102</v>
      </c>
      <c r="H27" s="69">
        <v>17327</v>
      </c>
      <c r="I27" s="69">
        <v>1200</v>
      </c>
      <c r="J27" s="69"/>
      <c r="K27" s="69"/>
      <c r="L27" s="69"/>
      <c r="M27" s="69"/>
      <c r="N27" s="69"/>
      <c r="O27" s="69"/>
      <c r="P27" s="69"/>
      <c r="Q27" s="69"/>
      <c r="R27" s="160"/>
    </row>
    <row r="28" spans="1:18" ht="12.75">
      <c r="A28" s="156" t="s">
        <v>593</v>
      </c>
      <c r="B28" s="157" t="s">
        <v>219</v>
      </c>
      <c r="C28" s="158" t="s">
        <v>345</v>
      </c>
      <c r="D28" s="159" t="s">
        <v>162</v>
      </c>
      <c r="E28" s="72">
        <v>2710</v>
      </c>
      <c r="F28" s="72">
        <f t="shared" si="0"/>
        <v>5059</v>
      </c>
      <c r="G28" s="69">
        <v>1200</v>
      </c>
      <c r="H28" s="69">
        <v>324</v>
      </c>
      <c r="I28" s="69">
        <v>2819</v>
      </c>
      <c r="J28" s="69"/>
      <c r="K28" s="69"/>
      <c r="L28" s="69"/>
      <c r="M28" s="69"/>
      <c r="N28" s="69">
        <v>716</v>
      </c>
      <c r="O28" s="69"/>
      <c r="P28" s="69"/>
      <c r="Q28" s="69"/>
      <c r="R28" s="160"/>
    </row>
    <row r="29" spans="1:18" ht="12.75">
      <c r="A29" s="156"/>
      <c r="B29" s="157"/>
      <c r="C29" s="158"/>
      <c r="D29" s="159" t="s">
        <v>888</v>
      </c>
      <c r="E29" s="72">
        <v>2710</v>
      </c>
      <c r="F29" s="72">
        <f t="shared" si="0"/>
        <v>5059</v>
      </c>
      <c r="G29" s="69">
        <v>1200</v>
      </c>
      <c r="H29" s="69">
        <v>324</v>
      </c>
      <c r="I29" s="69">
        <v>2819</v>
      </c>
      <c r="J29" s="69"/>
      <c r="K29" s="69"/>
      <c r="L29" s="69"/>
      <c r="M29" s="69"/>
      <c r="N29" s="69">
        <v>716</v>
      </c>
      <c r="O29" s="69"/>
      <c r="P29" s="69"/>
      <c r="Q29" s="69"/>
      <c r="R29" s="160"/>
    </row>
    <row r="30" spans="1:18" ht="12.75">
      <c r="A30" s="156"/>
      <c r="B30" s="157"/>
      <c r="C30" s="158"/>
      <c r="D30" s="159" t="s">
        <v>947</v>
      </c>
      <c r="E30" s="72">
        <v>1700</v>
      </c>
      <c r="F30" s="72">
        <f t="shared" si="0"/>
        <v>4049</v>
      </c>
      <c r="G30" s="69">
        <v>1200</v>
      </c>
      <c r="H30" s="69">
        <v>186</v>
      </c>
      <c r="I30" s="69">
        <v>1947</v>
      </c>
      <c r="J30" s="69"/>
      <c r="K30" s="69"/>
      <c r="L30" s="69"/>
      <c r="M30" s="69"/>
      <c r="N30" s="69">
        <v>716</v>
      </c>
      <c r="O30" s="69"/>
      <c r="P30" s="69"/>
      <c r="Q30" s="69"/>
      <c r="R30" s="160"/>
    </row>
    <row r="31" spans="1:18" s="142" customFormat="1" ht="25.5">
      <c r="A31" s="171" t="s">
        <v>585</v>
      </c>
      <c r="B31" s="172" t="s">
        <v>356</v>
      </c>
      <c r="C31" s="173" t="s">
        <v>769</v>
      </c>
      <c r="D31" s="174" t="s">
        <v>162</v>
      </c>
      <c r="E31" s="730">
        <v>3600</v>
      </c>
      <c r="F31" s="72">
        <f t="shared" si="0"/>
        <v>3600</v>
      </c>
      <c r="G31" s="731">
        <v>1600</v>
      </c>
      <c r="H31" s="731">
        <v>500</v>
      </c>
      <c r="I31" s="731">
        <v>1500</v>
      </c>
      <c r="J31" s="141"/>
      <c r="K31" s="141"/>
      <c r="L31" s="141"/>
      <c r="M31" s="141"/>
      <c r="N31" s="141"/>
      <c r="O31" s="141"/>
      <c r="P31" s="141"/>
      <c r="Q31" s="141"/>
      <c r="R31" s="176"/>
    </row>
    <row r="32" spans="1:18" s="142" customFormat="1" ht="12.75">
      <c r="A32" s="171"/>
      <c r="B32" s="172"/>
      <c r="C32" s="173"/>
      <c r="D32" s="159" t="s">
        <v>888</v>
      </c>
      <c r="E32" s="175">
        <v>3600</v>
      </c>
      <c r="F32" s="72">
        <f t="shared" si="0"/>
        <v>3100</v>
      </c>
      <c r="G32" s="141">
        <v>1600</v>
      </c>
      <c r="H32" s="141">
        <v>500</v>
      </c>
      <c r="I32" s="141">
        <v>1000</v>
      </c>
      <c r="J32" s="141"/>
      <c r="K32" s="141"/>
      <c r="L32" s="141"/>
      <c r="M32" s="141"/>
      <c r="N32" s="141"/>
      <c r="O32" s="141"/>
      <c r="P32" s="141"/>
      <c r="Q32" s="141"/>
      <c r="R32" s="176"/>
    </row>
    <row r="33" spans="1:18" s="142" customFormat="1" ht="12.75">
      <c r="A33" s="171"/>
      <c r="B33" s="172"/>
      <c r="C33" s="173"/>
      <c r="D33" s="159" t="s">
        <v>947</v>
      </c>
      <c r="E33" s="175">
        <v>5904</v>
      </c>
      <c r="F33" s="72">
        <f t="shared" si="0"/>
        <v>5404</v>
      </c>
      <c r="G33" s="141">
        <v>3414</v>
      </c>
      <c r="H33" s="141">
        <v>990</v>
      </c>
      <c r="I33" s="141">
        <v>1000</v>
      </c>
      <c r="J33" s="141"/>
      <c r="K33" s="141"/>
      <c r="L33" s="141"/>
      <c r="M33" s="141"/>
      <c r="N33" s="141"/>
      <c r="O33" s="141"/>
      <c r="P33" s="141"/>
      <c r="Q33" s="141"/>
      <c r="R33" s="176"/>
    </row>
    <row r="34" spans="1:18" ht="12.75">
      <c r="A34" s="156" t="s">
        <v>590</v>
      </c>
      <c r="B34" s="157" t="s">
        <v>354</v>
      </c>
      <c r="C34" s="158" t="s">
        <v>687</v>
      </c>
      <c r="D34" s="159" t="s">
        <v>162</v>
      </c>
      <c r="E34" s="72">
        <v>0</v>
      </c>
      <c r="F34" s="72">
        <f t="shared" si="0"/>
        <v>300</v>
      </c>
      <c r="G34" s="70"/>
      <c r="H34" s="70"/>
      <c r="I34" s="70"/>
      <c r="J34" s="70"/>
      <c r="K34" s="70">
        <v>300</v>
      </c>
      <c r="L34" s="70"/>
      <c r="M34" s="70"/>
      <c r="N34" s="70"/>
      <c r="O34" s="70"/>
      <c r="P34" s="70"/>
      <c r="Q34" s="70"/>
      <c r="R34" s="160"/>
    </row>
    <row r="35" spans="1:18" ht="12.75">
      <c r="A35" s="156"/>
      <c r="B35" s="157"/>
      <c r="C35" s="158"/>
      <c r="D35" s="159" t="s">
        <v>888</v>
      </c>
      <c r="E35" s="72">
        <v>0</v>
      </c>
      <c r="F35" s="72">
        <f t="shared" si="0"/>
        <v>300</v>
      </c>
      <c r="G35" s="70"/>
      <c r="H35" s="70"/>
      <c r="I35" s="70"/>
      <c r="J35" s="70"/>
      <c r="K35" s="70">
        <v>300</v>
      </c>
      <c r="L35" s="70"/>
      <c r="M35" s="70"/>
      <c r="N35" s="70"/>
      <c r="O35" s="70"/>
      <c r="P35" s="70"/>
      <c r="Q35" s="70"/>
      <c r="R35" s="160"/>
    </row>
    <row r="36" spans="1:18" ht="12.75">
      <c r="A36" s="156"/>
      <c r="B36" s="157"/>
      <c r="C36" s="158"/>
      <c r="D36" s="159" t="s">
        <v>947</v>
      </c>
      <c r="E36" s="72">
        <v>0</v>
      </c>
      <c r="F36" s="72">
        <f t="shared" si="0"/>
        <v>8159</v>
      </c>
      <c r="G36" s="70"/>
      <c r="H36" s="70"/>
      <c r="I36" s="70"/>
      <c r="J36" s="70"/>
      <c r="K36" s="70">
        <v>8159</v>
      </c>
      <c r="L36" s="70"/>
      <c r="M36" s="70"/>
      <c r="N36" s="70"/>
      <c r="O36" s="70"/>
      <c r="P36" s="70"/>
      <c r="Q36" s="70"/>
      <c r="R36" s="160"/>
    </row>
    <row r="37" spans="1:18" ht="12.75">
      <c r="A37" s="156" t="s">
        <v>590</v>
      </c>
      <c r="B37" s="157" t="s">
        <v>352</v>
      </c>
      <c r="C37" s="158" t="s">
        <v>690</v>
      </c>
      <c r="D37" s="159" t="s">
        <v>162</v>
      </c>
      <c r="E37" s="72">
        <v>0</v>
      </c>
      <c r="F37" s="72">
        <f t="shared" si="0"/>
        <v>84000</v>
      </c>
      <c r="G37" s="70"/>
      <c r="H37" s="70"/>
      <c r="I37" s="70"/>
      <c r="J37" s="70"/>
      <c r="K37" s="70">
        <v>84000</v>
      </c>
      <c r="L37" s="70"/>
      <c r="M37" s="70"/>
      <c r="N37" s="70"/>
      <c r="O37" s="70"/>
      <c r="P37" s="70"/>
      <c r="Q37" s="70"/>
      <c r="R37" s="160"/>
    </row>
    <row r="38" spans="1:18" ht="12.75">
      <c r="A38" s="156"/>
      <c r="B38" s="157"/>
      <c r="C38" s="158"/>
      <c r="D38" s="159" t="s">
        <v>888</v>
      </c>
      <c r="E38" s="72">
        <v>0</v>
      </c>
      <c r="F38" s="72">
        <f t="shared" si="0"/>
        <v>84000</v>
      </c>
      <c r="G38" s="70"/>
      <c r="H38" s="70"/>
      <c r="I38" s="70"/>
      <c r="J38" s="70"/>
      <c r="K38" s="70">
        <v>84000</v>
      </c>
      <c r="L38" s="70"/>
      <c r="M38" s="70"/>
      <c r="N38" s="70"/>
      <c r="O38" s="70"/>
      <c r="P38" s="70"/>
      <c r="Q38" s="70"/>
      <c r="R38" s="160"/>
    </row>
    <row r="39" spans="1:18" ht="12.75">
      <c r="A39" s="156"/>
      <c r="B39" s="157"/>
      <c r="C39" s="158"/>
      <c r="D39" s="159" t="s">
        <v>947</v>
      </c>
      <c r="E39" s="72">
        <v>0</v>
      </c>
      <c r="F39" s="72">
        <f t="shared" si="0"/>
        <v>84000</v>
      </c>
      <c r="G39" s="70"/>
      <c r="H39" s="70"/>
      <c r="I39" s="70"/>
      <c r="J39" s="70"/>
      <c r="K39" s="70">
        <v>84000</v>
      </c>
      <c r="L39" s="70"/>
      <c r="M39" s="70"/>
      <c r="N39" s="70"/>
      <c r="O39" s="70"/>
      <c r="P39" s="70"/>
      <c r="Q39" s="70"/>
      <c r="R39" s="160"/>
    </row>
    <row r="40" spans="1:18" ht="12.75">
      <c r="A40" s="156" t="s">
        <v>590</v>
      </c>
      <c r="B40" s="157" t="s">
        <v>353</v>
      </c>
      <c r="C40" s="158" t="s">
        <v>694</v>
      </c>
      <c r="D40" s="159" t="s">
        <v>162</v>
      </c>
      <c r="E40" s="72">
        <v>0</v>
      </c>
      <c r="F40" s="72">
        <f t="shared" si="0"/>
        <v>25500</v>
      </c>
      <c r="G40" s="70"/>
      <c r="H40" s="70"/>
      <c r="I40" s="70"/>
      <c r="J40" s="70"/>
      <c r="K40" s="70">
        <v>25500</v>
      </c>
      <c r="L40" s="70"/>
      <c r="M40" s="70"/>
      <c r="N40" s="70"/>
      <c r="O40" s="70"/>
      <c r="P40" s="70"/>
      <c r="Q40" s="70"/>
      <c r="R40" s="160"/>
    </row>
    <row r="41" spans="1:18" ht="12.75">
      <c r="A41" s="156"/>
      <c r="B41" s="157"/>
      <c r="C41" s="158"/>
      <c r="D41" s="159" t="s">
        <v>888</v>
      </c>
      <c r="E41" s="72">
        <v>0</v>
      </c>
      <c r="F41" s="72">
        <f t="shared" si="0"/>
        <v>25500</v>
      </c>
      <c r="G41" s="70"/>
      <c r="H41" s="70"/>
      <c r="I41" s="70"/>
      <c r="J41" s="70"/>
      <c r="K41" s="70">
        <v>25500</v>
      </c>
      <c r="L41" s="70"/>
      <c r="M41" s="70"/>
      <c r="N41" s="70"/>
      <c r="O41" s="70"/>
      <c r="P41" s="70"/>
      <c r="Q41" s="70"/>
      <c r="R41" s="160"/>
    </row>
    <row r="42" spans="1:18" ht="12.75">
      <c r="A42" s="156"/>
      <c r="B42" s="157"/>
      <c r="C42" s="158"/>
      <c r="D42" s="159" t="s">
        <v>947</v>
      </c>
      <c r="E42" s="72">
        <v>0</v>
      </c>
      <c r="F42" s="72">
        <f t="shared" si="0"/>
        <v>25500</v>
      </c>
      <c r="G42" s="70"/>
      <c r="H42" s="70"/>
      <c r="I42" s="70"/>
      <c r="J42" s="70"/>
      <c r="K42" s="70">
        <v>25500</v>
      </c>
      <c r="L42" s="70"/>
      <c r="M42" s="70"/>
      <c r="N42" s="70"/>
      <c r="O42" s="70"/>
      <c r="P42" s="70"/>
      <c r="Q42" s="70"/>
      <c r="R42" s="160"/>
    </row>
    <row r="43" spans="1:18" ht="12.75">
      <c r="A43" s="156" t="s">
        <v>593</v>
      </c>
      <c r="B43" s="157" t="s">
        <v>355</v>
      </c>
      <c r="C43" s="158" t="s">
        <v>696</v>
      </c>
      <c r="D43" s="159" t="s">
        <v>162</v>
      </c>
      <c r="E43" s="72">
        <v>0</v>
      </c>
      <c r="F43" s="72">
        <f t="shared" si="0"/>
        <v>714</v>
      </c>
      <c r="G43" s="70">
        <v>600</v>
      </c>
      <c r="H43" s="70">
        <v>114</v>
      </c>
      <c r="I43" s="70"/>
      <c r="J43" s="70"/>
      <c r="K43" s="70"/>
      <c r="L43" s="70"/>
      <c r="M43" s="70"/>
      <c r="N43" s="70"/>
      <c r="O43" s="70"/>
      <c r="P43" s="70"/>
      <c r="Q43" s="70"/>
      <c r="R43" s="160"/>
    </row>
    <row r="44" spans="1:18" ht="12.75">
      <c r="A44" s="156"/>
      <c r="B44" s="157"/>
      <c r="C44" s="158"/>
      <c r="D44" s="159" t="s">
        <v>888</v>
      </c>
      <c r="E44" s="72">
        <v>0</v>
      </c>
      <c r="F44" s="72">
        <f t="shared" si="0"/>
        <v>714</v>
      </c>
      <c r="G44" s="70">
        <v>600</v>
      </c>
      <c r="H44" s="70">
        <v>114</v>
      </c>
      <c r="I44" s="70"/>
      <c r="J44" s="70"/>
      <c r="K44" s="70"/>
      <c r="L44" s="70"/>
      <c r="M44" s="70"/>
      <c r="N44" s="70"/>
      <c r="O44" s="70"/>
      <c r="P44" s="70"/>
      <c r="Q44" s="70"/>
      <c r="R44" s="160"/>
    </row>
    <row r="45" spans="1:18" ht="12.75">
      <c r="A45" s="156"/>
      <c r="B45" s="157"/>
      <c r="C45" s="158"/>
      <c r="D45" s="159" t="s">
        <v>947</v>
      </c>
      <c r="E45" s="72">
        <v>0</v>
      </c>
      <c r="F45" s="72">
        <f t="shared" si="0"/>
        <v>714</v>
      </c>
      <c r="G45" s="70">
        <v>600</v>
      </c>
      <c r="H45" s="70">
        <v>114</v>
      </c>
      <c r="I45" s="70"/>
      <c r="J45" s="70"/>
      <c r="K45" s="70"/>
      <c r="L45" s="70"/>
      <c r="M45" s="70"/>
      <c r="N45" s="70"/>
      <c r="O45" s="70"/>
      <c r="P45" s="70"/>
      <c r="Q45" s="70"/>
      <c r="R45" s="160"/>
    </row>
    <row r="46" spans="1:18" ht="12.75">
      <c r="A46" s="156" t="s">
        <v>590</v>
      </c>
      <c r="B46" s="157" t="s">
        <v>748</v>
      </c>
      <c r="C46" s="158" t="s">
        <v>883</v>
      </c>
      <c r="D46" s="159" t="s">
        <v>888</v>
      </c>
      <c r="E46" s="72">
        <v>7446</v>
      </c>
      <c r="F46" s="72">
        <f t="shared" si="0"/>
        <v>7446</v>
      </c>
      <c r="G46" s="70">
        <v>4806</v>
      </c>
      <c r="H46" s="70">
        <v>1422</v>
      </c>
      <c r="I46" s="70">
        <v>1218</v>
      </c>
      <c r="J46" s="70"/>
      <c r="K46" s="70"/>
      <c r="L46" s="70"/>
      <c r="M46" s="70"/>
      <c r="N46" s="70"/>
      <c r="O46" s="70"/>
      <c r="P46" s="70"/>
      <c r="Q46" s="70"/>
      <c r="R46" s="160"/>
    </row>
    <row r="47" spans="1:18" ht="12.75">
      <c r="A47" s="156"/>
      <c r="B47" s="157"/>
      <c r="C47" s="158"/>
      <c r="D47" s="159" t="s">
        <v>947</v>
      </c>
      <c r="E47" s="72">
        <v>11767</v>
      </c>
      <c r="F47" s="72">
        <f t="shared" si="0"/>
        <v>11767</v>
      </c>
      <c r="G47" s="70">
        <v>7739</v>
      </c>
      <c r="H47" s="70">
        <v>2253</v>
      </c>
      <c r="I47" s="70">
        <v>1775</v>
      </c>
      <c r="J47" s="70"/>
      <c r="K47" s="70"/>
      <c r="L47" s="70"/>
      <c r="M47" s="70"/>
      <c r="N47" s="70"/>
      <c r="O47" s="70"/>
      <c r="P47" s="70"/>
      <c r="Q47" s="70"/>
      <c r="R47" s="160"/>
    </row>
    <row r="48" spans="1:18" ht="12.75">
      <c r="A48" s="1117" t="s">
        <v>141</v>
      </c>
      <c r="B48" s="1118"/>
      <c r="C48" s="1118"/>
      <c r="D48" s="168" t="s">
        <v>162</v>
      </c>
      <c r="E48" s="72">
        <f aca="true" t="shared" si="1" ref="E48:R48">SUM(E10+E13+E16+E19+E22+E25+E28+E31+E34+E37+E40+E43)</f>
        <v>659529</v>
      </c>
      <c r="F48" s="72">
        <f t="shared" si="1"/>
        <v>659529</v>
      </c>
      <c r="G48" s="72">
        <f t="shared" si="1"/>
        <v>318178</v>
      </c>
      <c r="H48" s="72">
        <f t="shared" si="1"/>
        <v>89831</v>
      </c>
      <c r="I48" s="72">
        <f t="shared" si="1"/>
        <v>121399</v>
      </c>
      <c r="J48" s="72">
        <f t="shared" si="1"/>
        <v>0</v>
      </c>
      <c r="K48" s="72">
        <f t="shared" si="1"/>
        <v>109800</v>
      </c>
      <c r="L48" s="72">
        <f t="shared" si="1"/>
        <v>0</v>
      </c>
      <c r="M48" s="72">
        <f t="shared" si="1"/>
        <v>0</v>
      </c>
      <c r="N48" s="72">
        <f t="shared" si="1"/>
        <v>19321</v>
      </c>
      <c r="O48" s="72">
        <f t="shared" si="1"/>
        <v>1000</v>
      </c>
      <c r="P48" s="72">
        <f t="shared" si="1"/>
        <v>0</v>
      </c>
      <c r="Q48" s="72">
        <f t="shared" si="1"/>
        <v>0</v>
      </c>
      <c r="R48" s="177">
        <f t="shared" si="1"/>
        <v>0</v>
      </c>
    </row>
    <row r="49" spans="1:18" ht="12.75">
      <c r="A49" s="156"/>
      <c r="B49" s="157"/>
      <c r="C49" s="158"/>
      <c r="D49" s="168" t="s">
        <v>888</v>
      </c>
      <c r="E49" s="72">
        <f aca="true" t="shared" si="2" ref="E49:R50">SUM(E11+E14+E17+E20+E23+E26+E29+E32+E35+E38+E41+E44+E46)</f>
        <v>683536</v>
      </c>
      <c r="F49" s="72">
        <f t="shared" si="2"/>
        <v>683536</v>
      </c>
      <c r="G49" s="72">
        <f t="shared" si="2"/>
        <v>332548</v>
      </c>
      <c r="H49" s="72">
        <f t="shared" si="2"/>
        <v>92864</v>
      </c>
      <c r="I49" s="72">
        <f t="shared" si="2"/>
        <v>126099</v>
      </c>
      <c r="J49" s="72">
        <f t="shared" si="2"/>
        <v>933</v>
      </c>
      <c r="K49" s="72">
        <f t="shared" si="2"/>
        <v>109800</v>
      </c>
      <c r="L49" s="72">
        <f t="shared" si="2"/>
        <v>0</v>
      </c>
      <c r="M49" s="72">
        <f t="shared" si="2"/>
        <v>971</v>
      </c>
      <c r="N49" s="72">
        <f t="shared" si="2"/>
        <v>19321</v>
      </c>
      <c r="O49" s="72">
        <f t="shared" si="2"/>
        <v>1000</v>
      </c>
      <c r="P49" s="72">
        <f t="shared" si="2"/>
        <v>0</v>
      </c>
      <c r="Q49" s="72">
        <f t="shared" si="2"/>
        <v>0</v>
      </c>
      <c r="R49" s="177">
        <f t="shared" si="2"/>
        <v>0</v>
      </c>
    </row>
    <row r="50" spans="1:18" ht="12.75">
      <c r="A50" s="156"/>
      <c r="B50" s="157"/>
      <c r="C50" s="158"/>
      <c r="D50" s="168" t="s">
        <v>947</v>
      </c>
      <c r="E50" s="72">
        <f t="shared" si="2"/>
        <v>691793</v>
      </c>
      <c r="F50" s="72">
        <f t="shared" si="2"/>
        <v>691793</v>
      </c>
      <c r="G50" s="72">
        <f t="shared" si="2"/>
        <v>332823</v>
      </c>
      <c r="H50" s="72">
        <f t="shared" si="2"/>
        <v>92236</v>
      </c>
      <c r="I50" s="72">
        <f t="shared" si="2"/>
        <v>125999</v>
      </c>
      <c r="J50" s="72">
        <f t="shared" si="2"/>
        <v>1535</v>
      </c>
      <c r="K50" s="72">
        <f t="shared" si="2"/>
        <v>117659</v>
      </c>
      <c r="L50" s="72">
        <f t="shared" si="2"/>
        <v>0</v>
      </c>
      <c r="M50" s="72">
        <f t="shared" si="2"/>
        <v>1220</v>
      </c>
      <c r="N50" s="72">
        <f t="shared" si="2"/>
        <v>19321</v>
      </c>
      <c r="O50" s="72">
        <f t="shared" si="2"/>
        <v>1000</v>
      </c>
      <c r="P50" s="72">
        <f t="shared" si="2"/>
        <v>0</v>
      </c>
      <c r="Q50" s="72">
        <f t="shared" si="2"/>
        <v>0</v>
      </c>
      <c r="R50" s="177">
        <f t="shared" si="2"/>
        <v>0</v>
      </c>
    </row>
    <row r="51" spans="1:18" ht="12.75">
      <c r="A51" s="1117" t="s">
        <v>359</v>
      </c>
      <c r="B51" s="1118"/>
      <c r="C51" s="1118"/>
      <c r="D51" s="159"/>
      <c r="E51" s="72"/>
      <c r="F51" s="72"/>
      <c r="G51" s="70"/>
      <c r="H51" s="70"/>
      <c r="I51" s="70"/>
      <c r="J51" s="70"/>
      <c r="K51" s="70"/>
      <c r="L51" s="70"/>
      <c r="M51" s="70"/>
      <c r="N51" s="70"/>
      <c r="O51" s="70"/>
      <c r="P51" s="70"/>
      <c r="Q51" s="70"/>
      <c r="R51" s="160"/>
    </row>
    <row r="52" spans="1:18" ht="12.75">
      <c r="A52" s="156" t="s">
        <v>585</v>
      </c>
      <c r="B52" s="157" t="s">
        <v>174</v>
      </c>
      <c r="C52" s="158" t="s">
        <v>346</v>
      </c>
      <c r="D52" s="159" t="s">
        <v>162</v>
      </c>
      <c r="E52" s="72">
        <v>4419</v>
      </c>
      <c r="F52" s="72">
        <f>G52+H52+I52+J52+K52+L52+M52+N52+O52+P52+Q52+R52</f>
        <v>26738</v>
      </c>
      <c r="G52" s="69">
        <v>18104</v>
      </c>
      <c r="H52" s="69">
        <v>5334</v>
      </c>
      <c r="I52" s="69">
        <v>3300</v>
      </c>
      <c r="J52" s="69"/>
      <c r="K52" s="69"/>
      <c r="L52" s="69"/>
      <c r="M52" s="69"/>
      <c r="N52" s="69"/>
      <c r="O52" s="69"/>
      <c r="P52" s="69"/>
      <c r="Q52" s="69"/>
      <c r="R52" s="163"/>
    </row>
    <row r="53" spans="1:18" ht="12.75">
      <c r="A53" s="156"/>
      <c r="B53" s="157"/>
      <c r="C53" s="158"/>
      <c r="D53" s="159" t="s">
        <v>888</v>
      </c>
      <c r="E53" s="72">
        <v>6830</v>
      </c>
      <c r="F53" s="72">
        <f>G53+H53+I53+J53+K53+L53+M53+N53+O53+P53+Q53+R53</f>
        <v>29281</v>
      </c>
      <c r="G53" s="69">
        <v>19474</v>
      </c>
      <c r="H53" s="69">
        <v>5707</v>
      </c>
      <c r="I53" s="69">
        <v>4100</v>
      </c>
      <c r="J53" s="69"/>
      <c r="K53" s="69"/>
      <c r="L53" s="69"/>
      <c r="M53" s="69"/>
      <c r="N53" s="69"/>
      <c r="O53" s="69"/>
      <c r="P53" s="69"/>
      <c r="Q53" s="69"/>
      <c r="R53" s="163"/>
    </row>
    <row r="54" spans="1:18" ht="12.75">
      <c r="A54" s="156"/>
      <c r="B54" s="157"/>
      <c r="C54" s="158"/>
      <c r="D54" s="159" t="s">
        <v>947</v>
      </c>
      <c r="E54" s="72">
        <v>7553</v>
      </c>
      <c r="F54" s="72">
        <f aca="true" t="shared" si="3" ref="F54:F65">G54+H54+I54+J54+K54+L54+M54+N54+O54+P54+Q54+R54</f>
        <v>29270</v>
      </c>
      <c r="G54" s="69">
        <v>20151</v>
      </c>
      <c r="H54" s="69">
        <v>5819</v>
      </c>
      <c r="I54" s="69">
        <v>3300</v>
      </c>
      <c r="J54" s="69"/>
      <c r="K54" s="69"/>
      <c r="L54" s="69"/>
      <c r="M54" s="69"/>
      <c r="N54" s="69"/>
      <c r="O54" s="69"/>
      <c r="P54" s="69"/>
      <c r="Q54" s="69"/>
      <c r="R54" s="163"/>
    </row>
    <row r="55" spans="1:18" ht="12.75">
      <c r="A55" s="156" t="s">
        <v>590</v>
      </c>
      <c r="B55" s="157" t="s">
        <v>358</v>
      </c>
      <c r="C55" s="158" t="s">
        <v>610</v>
      </c>
      <c r="D55" s="159" t="s">
        <v>162</v>
      </c>
      <c r="E55" s="72">
        <v>22319</v>
      </c>
      <c r="F55" s="72">
        <f t="shared" si="3"/>
        <v>0</v>
      </c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160"/>
    </row>
    <row r="56" spans="1:18" ht="12.75">
      <c r="A56" s="156"/>
      <c r="B56" s="157"/>
      <c r="C56" s="158"/>
      <c r="D56" s="159" t="s">
        <v>888</v>
      </c>
      <c r="E56" s="72">
        <v>22451</v>
      </c>
      <c r="F56" s="72">
        <f t="shared" si="3"/>
        <v>0</v>
      </c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160"/>
    </row>
    <row r="57" spans="1:18" ht="12.75">
      <c r="A57" s="156"/>
      <c r="B57" s="157"/>
      <c r="C57" s="158"/>
      <c r="D57" s="159" t="s">
        <v>947</v>
      </c>
      <c r="E57" s="72">
        <v>22517</v>
      </c>
      <c r="F57" s="72">
        <f t="shared" si="3"/>
        <v>0</v>
      </c>
      <c r="G57" s="69"/>
      <c r="H57" s="69"/>
      <c r="I57" s="69"/>
      <c r="J57" s="69"/>
      <c r="K57" s="69"/>
      <c r="L57" s="69"/>
      <c r="M57" s="69"/>
      <c r="N57" s="69"/>
      <c r="O57" s="69"/>
      <c r="P57" s="69"/>
      <c r="Q57" s="69"/>
      <c r="R57" s="160"/>
    </row>
    <row r="58" spans="1:18" ht="12.75">
      <c r="A58" s="156" t="s">
        <v>590</v>
      </c>
      <c r="B58" s="157" t="s">
        <v>352</v>
      </c>
      <c r="C58" s="158" t="s">
        <v>690</v>
      </c>
      <c r="D58" s="159" t="s">
        <v>162</v>
      </c>
      <c r="E58" s="72">
        <v>2125</v>
      </c>
      <c r="F58" s="72">
        <f t="shared" si="3"/>
        <v>2125</v>
      </c>
      <c r="G58" s="69"/>
      <c r="H58" s="69"/>
      <c r="I58" s="69"/>
      <c r="J58" s="69"/>
      <c r="K58" s="69">
        <v>2125</v>
      </c>
      <c r="L58" s="69"/>
      <c r="M58" s="69"/>
      <c r="N58" s="69"/>
      <c r="O58" s="69"/>
      <c r="P58" s="69"/>
      <c r="Q58" s="69"/>
      <c r="R58" s="163"/>
    </row>
    <row r="59" spans="1:18" ht="12.75">
      <c r="A59" s="156"/>
      <c r="B59" s="157"/>
      <c r="C59" s="158"/>
      <c r="D59" s="159" t="s">
        <v>888</v>
      </c>
      <c r="E59" s="72">
        <v>2125</v>
      </c>
      <c r="F59" s="72">
        <f t="shared" si="3"/>
        <v>2125</v>
      </c>
      <c r="G59" s="69"/>
      <c r="H59" s="69"/>
      <c r="I59" s="69"/>
      <c r="J59" s="69"/>
      <c r="K59" s="69">
        <v>2125</v>
      </c>
      <c r="L59" s="69"/>
      <c r="M59" s="69"/>
      <c r="N59" s="69"/>
      <c r="O59" s="69"/>
      <c r="P59" s="69"/>
      <c r="Q59" s="69"/>
      <c r="R59" s="163"/>
    </row>
    <row r="60" spans="1:18" ht="12.75">
      <c r="A60" s="156"/>
      <c r="B60" s="157"/>
      <c r="C60" s="158"/>
      <c r="D60" s="159" t="s">
        <v>947</v>
      </c>
      <c r="E60" s="72">
        <v>2125</v>
      </c>
      <c r="F60" s="72">
        <f t="shared" si="3"/>
        <v>2805</v>
      </c>
      <c r="G60" s="69"/>
      <c r="H60" s="69"/>
      <c r="I60" s="69"/>
      <c r="J60" s="69"/>
      <c r="K60" s="69">
        <v>2805</v>
      </c>
      <c r="L60" s="69"/>
      <c r="M60" s="69"/>
      <c r="N60" s="69"/>
      <c r="O60" s="69"/>
      <c r="P60" s="69"/>
      <c r="Q60" s="69"/>
      <c r="R60" s="163"/>
    </row>
    <row r="61" spans="1:18" ht="12.75">
      <c r="A61" s="156" t="s">
        <v>590</v>
      </c>
      <c r="B61" s="157" t="s">
        <v>353</v>
      </c>
      <c r="C61" s="158" t="s">
        <v>694</v>
      </c>
      <c r="D61" s="159" t="s">
        <v>162</v>
      </c>
      <c r="E61" s="72">
        <v>446</v>
      </c>
      <c r="F61" s="72">
        <f t="shared" si="3"/>
        <v>446</v>
      </c>
      <c r="G61" s="69"/>
      <c r="H61" s="69"/>
      <c r="I61" s="69"/>
      <c r="J61" s="69"/>
      <c r="K61" s="69">
        <v>446</v>
      </c>
      <c r="L61" s="69"/>
      <c r="M61" s="69"/>
      <c r="N61" s="69"/>
      <c r="O61" s="69"/>
      <c r="P61" s="69"/>
      <c r="Q61" s="69"/>
      <c r="R61" s="160"/>
    </row>
    <row r="62" spans="1:18" ht="12.75">
      <c r="A62" s="156"/>
      <c r="B62" s="157"/>
      <c r="C62" s="158"/>
      <c r="D62" s="159" t="s">
        <v>888</v>
      </c>
      <c r="E62" s="72">
        <v>446</v>
      </c>
      <c r="F62" s="72">
        <f t="shared" si="3"/>
        <v>446</v>
      </c>
      <c r="G62" s="69"/>
      <c r="H62" s="69"/>
      <c r="I62" s="69"/>
      <c r="J62" s="69"/>
      <c r="K62" s="69">
        <v>446</v>
      </c>
      <c r="L62" s="69"/>
      <c r="M62" s="69"/>
      <c r="N62" s="69"/>
      <c r="O62" s="69"/>
      <c r="P62" s="69"/>
      <c r="Q62" s="69"/>
      <c r="R62" s="160"/>
    </row>
    <row r="63" spans="1:18" ht="12.75">
      <c r="A63" s="156"/>
      <c r="B63" s="157"/>
      <c r="C63" s="158"/>
      <c r="D63" s="159" t="s">
        <v>947</v>
      </c>
      <c r="E63" s="72">
        <v>446</v>
      </c>
      <c r="F63" s="72">
        <f t="shared" si="3"/>
        <v>566</v>
      </c>
      <c r="G63" s="69"/>
      <c r="H63" s="69"/>
      <c r="I63" s="69"/>
      <c r="J63" s="69"/>
      <c r="K63" s="69">
        <v>566</v>
      </c>
      <c r="L63" s="69"/>
      <c r="M63" s="69"/>
      <c r="N63" s="69"/>
      <c r="O63" s="69"/>
      <c r="P63" s="69"/>
      <c r="Q63" s="69"/>
      <c r="R63" s="160"/>
    </row>
    <row r="64" spans="1:18" ht="12.75">
      <c r="A64" s="156" t="s">
        <v>590</v>
      </c>
      <c r="B64" s="157" t="s">
        <v>748</v>
      </c>
      <c r="C64" s="158" t="s">
        <v>749</v>
      </c>
      <c r="D64" s="159" t="s">
        <v>888</v>
      </c>
      <c r="E64" s="72">
        <v>532</v>
      </c>
      <c r="F64" s="72">
        <f t="shared" si="3"/>
        <v>532</v>
      </c>
      <c r="G64" s="69">
        <v>336</v>
      </c>
      <c r="H64" s="69">
        <v>100</v>
      </c>
      <c r="I64" s="69">
        <v>96</v>
      </c>
      <c r="J64" s="69"/>
      <c r="K64" s="69"/>
      <c r="L64" s="69"/>
      <c r="M64" s="69"/>
      <c r="N64" s="69"/>
      <c r="O64" s="69"/>
      <c r="P64" s="69"/>
      <c r="Q64" s="69"/>
      <c r="R64" s="160"/>
    </row>
    <row r="65" spans="1:18" ht="12.75">
      <c r="A65" s="156"/>
      <c r="B65" s="157"/>
      <c r="C65" s="158"/>
      <c r="D65" s="159" t="s">
        <v>947</v>
      </c>
      <c r="E65" s="72">
        <v>1043</v>
      </c>
      <c r="F65" s="72">
        <f t="shared" si="3"/>
        <v>1043</v>
      </c>
      <c r="G65" s="69">
        <v>690</v>
      </c>
      <c r="H65" s="69">
        <v>206</v>
      </c>
      <c r="I65" s="69">
        <v>147</v>
      </c>
      <c r="J65" s="69"/>
      <c r="K65" s="69"/>
      <c r="L65" s="69"/>
      <c r="M65" s="69"/>
      <c r="N65" s="69"/>
      <c r="O65" s="69"/>
      <c r="P65" s="69"/>
      <c r="Q65" s="69"/>
      <c r="R65" s="160"/>
    </row>
    <row r="66" spans="1:18" ht="12.75">
      <c r="A66" s="1117" t="s">
        <v>360</v>
      </c>
      <c r="B66" s="1118"/>
      <c r="C66" s="1118"/>
      <c r="D66" s="168" t="s">
        <v>162</v>
      </c>
      <c r="E66" s="72">
        <f aca="true" t="shared" si="4" ref="E66:R66">SUM(E52+E55+E58+E61)</f>
        <v>29309</v>
      </c>
      <c r="F66" s="72">
        <f t="shared" si="4"/>
        <v>29309</v>
      </c>
      <c r="G66" s="72">
        <f t="shared" si="4"/>
        <v>18104</v>
      </c>
      <c r="H66" s="72">
        <f t="shared" si="4"/>
        <v>5334</v>
      </c>
      <c r="I66" s="72">
        <f t="shared" si="4"/>
        <v>3300</v>
      </c>
      <c r="J66" s="72">
        <f t="shared" si="4"/>
        <v>0</v>
      </c>
      <c r="K66" s="72">
        <f t="shared" si="4"/>
        <v>2571</v>
      </c>
      <c r="L66" s="72">
        <f t="shared" si="4"/>
        <v>0</v>
      </c>
      <c r="M66" s="72">
        <f t="shared" si="4"/>
        <v>0</v>
      </c>
      <c r="N66" s="72">
        <f t="shared" si="4"/>
        <v>0</v>
      </c>
      <c r="O66" s="72">
        <f t="shared" si="4"/>
        <v>0</v>
      </c>
      <c r="P66" s="72">
        <f t="shared" si="4"/>
        <v>0</v>
      </c>
      <c r="Q66" s="72">
        <f t="shared" si="4"/>
        <v>0</v>
      </c>
      <c r="R66" s="177">
        <f t="shared" si="4"/>
        <v>0</v>
      </c>
    </row>
    <row r="67" spans="1:18" ht="12.75">
      <c r="A67" s="156"/>
      <c r="B67" s="157"/>
      <c r="C67" s="158"/>
      <c r="D67" s="168" t="s">
        <v>888</v>
      </c>
      <c r="E67" s="72">
        <f aca="true" t="shared" si="5" ref="E67:R68">SUM(E53+E56+E59+E62+E64)</f>
        <v>32384</v>
      </c>
      <c r="F67" s="72">
        <f t="shared" si="5"/>
        <v>32384</v>
      </c>
      <c r="G67" s="72">
        <f t="shared" si="5"/>
        <v>19810</v>
      </c>
      <c r="H67" s="72">
        <f t="shared" si="5"/>
        <v>5807</v>
      </c>
      <c r="I67" s="72">
        <f t="shared" si="5"/>
        <v>4196</v>
      </c>
      <c r="J67" s="72">
        <f t="shared" si="5"/>
        <v>0</v>
      </c>
      <c r="K67" s="72">
        <f t="shared" si="5"/>
        <v>2571</v>
      </c>
      <c r="L67" s="72">
        <f t="shared" si="5"/>
        <v>0</v>
      </c>
      <c r="M67" s="72">
        <f t="shared" si="5"/>
        <v>0</v>
      </c>
      <c r="N67" s="72">
        <f t="shared" si="5"/>
        <v>0</v>
      </c>
      <c r="O67" s="72">
        <f t="shared" si="5"/>
        <v>0</v>
      </c>
      <c r="P67" s="72">
        <f t="shared" si="5"/>
        <v>0</v>
      </c>
      <c r="Q67" s="72">
        <f t="shared" si="5"/>
        <v>0</v>
      </c>
      <c r="R67" s="177">
        <f t="shared" si="5"/>
        <v>0</v>
      </c>
    </row>
    <row r="68" spans="1:18" ht="12.75">
      <c r="A68" s="156"/>
      <c r="B68" s="157"/>
      <c r="C68" s="158"/>
      <c r="D68" s="168" t="s">
        <v>947</v>
      </c>
      <c r="E68" s="72">
        <f t="shared" si="5"/>
        <v>33684</v>
      </c>
      <c r="F68" s="72">
        <f t="shared" si="5"/>
        <v>33684</v>
      </c>
      <c r="G68" s="72">
        <f t="shared" si="5"/>
        <v>20841</v>
      </c>
      <c r="H68" s="72">
        <f t="shared" si="5"/>
        <v>6025</v>
      </c>
      <c r="I68" s="72">
        <f t="shared" si="5"/>
        <v>3447</v>
      </c>
      <c r="J68" s="72">
        <f t="shared" si="5"/>
        <v>0</v>
      </c>
      <c r="K68" s="72">
        <f t="shared" si="5"/>
        <v>3371</v>
      </c>
      <c r="L68" s="72">
        <f t="shared" si="5"/>
        <v>0</v>
      </c>
      <c r="M68" s="72">
        <f t="shared" si="5"/>
        <v>0</v>
      </c>
      <c r="N68" s="72">
        <f t="shared" si="5"/>
        <v>0</v>
      </c>
      <c r="O68" s="72">
        <f t="shared" si="5"/>
        <v>0</v>
      </c>
      <c r="P68" s="72">
        <f t="shared" si="5"/>
        <v>0</v>
      </c>
      <c r="Q68" s="72">
        <f t="shared" si="5"/>
        <v>0</v>
      </c>
      <c r="R68" s="177">
        <f t="shared" si="5"/>
        <v>0</v>
      </c>
    </row>
    <row r="69" spans="1:18" ht="12.75">
      <c r="A69" s="1117" t="s">
        <v>25</v>
      </c>
      <c r="B69" s="1118"/>
      <c r="C69" s="1118"/>
      <c r="D69" s="159"/>
      <c r="E69" s="72"/>
      <c r="F69" s="72"/>
      <c r="G69" s="69"/>
      <c r="H69" s="69"/>
      <c r="I69" s="69"/>
      <c r="J69" s="69"/>
      <c r="K69" s="72"/>
      <c r="L69" s="72"/>
      <c r="M69" s="72"/>
      <c r="N69" s="69"/>
      <c r="O69" s="69"/>
      <c r="P69" s="69"/>
      <c r="Q69" s="69"/>
      <c r="R69" s="160"/>
    </row>
    <row r="70" spans="1:18" ht="12.75">
      <c r="A70" s="156" t="s">
        <v>585</v>
      </c>
      <c r="B70" s="157" t="s">
        <v>174</v>
      </c>
      <c r="C70" s="158" t="s">
        <v>346</v>
      </c>
      <c r="D70" s="159" t="s">
        <v>162</v>
      </c>
      <c r="E70" s="72">
        <v>2826</v>
      </c>
      <c r="F70" s="72">
        <f>G70+H70+I70+J70+K70+L70+M70+N70+O70+P70+Q70+R70</f>
        <v>27228</v>
      </c>
      <c r="G70" s="69">
        <v>17710</v>
      </c>
      <c r="H70" s="69">
        <v>4781</v>
      </c>
      <c r="I70" s="69">
        <v>4191</v>
      </c>
      <c r="J70" s="69"/>
      <c r="K70" s="69"/>
      <c r="L70" s="69"/>
      <c r="M70" s="69"/>
      <c r="N70" s="69">
        <v>546</v>
      </c>
      <c r="O70" s="69"/>
      <c r="P70" s="69"/>
      <c r="Q70" s="69"/>
      <c r="R70" s="160"/>
    </row>
    <row r="71" spans="1:18" ht="12.75">
      <c r="A71" s="156"/>
      <c r="B71" s="157"/>
      <c r="C71" s="158"/>
      <c r="D71" s="159" t="s">
        <v>888</v>
      </c>
      <c r="E71" s="72">
        <v>4096</v>
      </c>
      <c r="F71" s="72">
        <f>G71+H71+I71+J71+K71+L71+M71+N71+O71+P71+Q71+R71</f>
        <v>28694</v>
      </c>
      <c r="G71" s="69">
        <v>18864</v>
      </c>
      <c r="H71" s="69">
        <v>5093</v>
      </c>
      <c r="I71" s="69">
        <v>4191</v>
      </c>
      <c r="J71" s="69"/>
      <c r="K71" s="69"/>
      <c r="L71" s="69"/>
      <c r="M71" s="69"/>
      <c r="N71" s="69">
        <v>546</v>
      </c>
      <c r="O71" s="69"/>
      <c r="P71" s="69"/>
      <c r="Q71" s="69"/>
      <c r="R71" s="160"/>
    </row>
    <row r="72" spans="1:18" ht="12.75">
      <c r="A72" s="156"/>
      <c r="B72" s="157"/>
      <c r="C72" s="158"/>
      <c r="D72" s="159" t="s">
        <v>947</v>
      </c>
      <c r="E72" s="72">
        <v>4096</v>
      </c>
      <c r="F72" s="72">
        <f aca="true" t="shared" si="6" ref="F72:F83">G72+H72+I72+J72+K72+L72+M72+N72+O72+P72+Q72+R72</f>
        <v>28806</v>
      </c>
      <c r="G72" s="69">
        <v>18952</v>
      </c>
      <c r="H72" s="69">
        <v>5117</v>
      </c>
      <c r="I72" s="69">
        <v>4191</v>
      </c>
      <c r="J72" s="69"/>
      <c r="K72" s="69"/>
      <c r="L72" s="69"/>
      <c r="M72" s="69"/>
      <c r="N72" s="69">
        <v>546</v>
      </c>
      <c r="O72" s="69"/>
      <c r="P72" s="69"/>
      <c r="Q72" s="69"/>
      <c r="R72" s="160"/>
    </row>
    <row r="73" spans="1:18" ht="12.75">
      <c r="A73" s="156" t="s">
        <v>590</v>
      </c>
      <c r="B73" s="157" t="s">
        <v>358</v>
      </c>
      <c r="C73" s="158" t="s">
        <v>610</v>
      </c>
      <c r="D73" s="159" t="s">
        <v>162</v>
      </c>
      <c r="E73" s="72">
        <v>24402</v>
      </c>
      <c r="F73" s="72">
        <f t="shared" si="6"/>
        <v>0</v>
      </c>
      <c r="G73" s="70"/>
      <c r="H73" s="70"/>
      <c r="I73" s="70"/>
      <c r="J73" s="70"/>
      <c r="K73" s="70"/>
      <c r="L73" s="70"/>
      <c r="M73" s="70"/>
      <c r="N73" s="70"/>
      <c r="O73" s="70"/>
      <c r="P73" s="70"/>
      <c r="Q73" s="70"/>
      <c r="R73" s="160"/>
    </row>
    <row r="74" spans="1:18" ht="12.75">
      <c r="A74" s="156"/>
      <c r="B74" s="157"/>
      <c r="C74" s="158"/>
      <c r="D74" s="159" t="s">
        <v>888</v>
      </c>
      <c r="E74" s="72">
        <v>24598</v>
      </c>
      <c r="F74" s="72">
        <f t="shared" si="6"/>
        <v>0</v>
      </c>
      <c r="G74" s="70"/>
      <c r="H74" s="70"/>
      <c r="I74" s="70"/>
      <c r="J74" s="70"/>
      <c r="K74" s="70"/>
      <c r="L74" s="70"/>
      <c r="M74" s="70"/>
      <c r="N74" s="70"/>
      <c r="O74" s="70"/>
      <c r="P74" s="70"/>
      <c r="Q74" s="70"/>
      <c r="R74" s="160"/>
    </row>
    <row r="75" spans="1:18" ht="12.75">
      <c r="A75" s="156"/>
      <c r="B75" s="157"/>
      <c r="C75" s="158"/>
      <c r="D75" s="159" t="s">
        <v>947</v>
      </c>
      <c r="E75" s="72">
        <v>24710</v>
      </c>
      <c r="F75" s="72">
        <f t="shared" si="6"/>
        <v>0</v>
      </c>
      <c r="G75" s="70"/>
      <c r="H75" s="70"/>
      <c r="I75" s="70"/>
      <c r="J75" s="70"/>
      <c r="K75" s="70"/>
      <c r="L75" s="70"/>
      <c r="M75" s="70"/>
      <c r="N75" s="70"/>
      <c r="O75" s="70"/>
      <c r="P75" s="70"/>
      <c r="Q75" s="70"/>
      <c r="R75" s="160"/>
    </row>
    <row r="76" spans="1:18" ht="12.75">
      <c r="A76" s="156" t="s">
        <v>590</v>
      </c>
      <c r="B76" s="157" t="s">
        <v>352</v>
      </c>
      <c r="C76" s="158" t="s">
        <v>690</v>
      </c>
      <c r="D76" s="159" t="s">
        <v>162</v>
      </c>
      <c r="E76" s="72">
        <v>6424</v>
      </c>
      <c r="F76" s="72">
        <f t="shared" si="6"/>
        <v>6424</v>
      </c>
      <c r="G76" s="69"/>
      <c r="H76" s="69"/>
      <c r="I76" s="69"/>
      <c r="J76" s="69"/>
      <c r="K76" s="69">
        <v>6424</v>
      </c>
      <c r="L76" s="69"/>
      <c r="M76" s="69"/>
      <c r="N76" s="69"/>
      <c r="O76" s="69"/>
      <c r="P76" s="69"/>
      <c r="Q76" s="69"/>
      <c r="R76" s="160"/>
    </row>
    <row r="77" spans="1:18" ht="12.75">
      <c r="A77" s="156"/>
      <c r="B77" s="157"/>
      <c r="C77" s="158"/>
      <c r="D77" s="159" t="s">
        <v>888</v>
      </c>
      <c r="E77" s="72">
        <v>6424</v>
      </c>
      <c r="F77" s="72">
        <f t="shared" si="6"/>
        <v>6424</v>
      </c>
      <c r="G77" s="69"/>
      <c r="H77" s="69"/>
      <c r="I77" s="69"/>
      <c r="J77" s="69"/>
      <c r="K77" s="69">
        <v>6424</v>
      </c>
      <c r="L77" s="69"/>
      <c r="M77" s="69"/>
      <c r="N77" s="69"/>
      <c r="O77" s="69"/>
      <c r="P77" s="69"/>
      <c r="Q77" s="69"/>
      <c r="R77" s="160"/>
    </row>
    <row r="78" spans="1:18" ht="12.75">
      <c r="A78" s="156"/>
      <c r="B78" s="157"/>
      <c r="C78" s="158"/>
      <c r="D78" s="159" t="s">
        <v>947</v>
      </c>
      <c r="E78" s="72">
        <v>6424</v>
      </c>
      <c r="F78" s="72">
        <f t="shared" si="6"/>
        <v>6424</v>
      </c>
      <c r="G78" s="69"/>
      <c r="H78" s="69"/>
      <c r="I78" s="69"/>
      <c r="J78" s="69"/>
      <c r="K78" s="69">
        <v>6424</v>
      </c>
      <c r="L78" s="69"/>
      <c r="M78" s="69"/>
      <c r="N78" s="69"/>
      <c r="O78" s="69"/>
      <c r="P78" s="69"/>
      <c r="Q78" s="69"/>
      <c r="R78" s="160"/>
    </row>
    <row r="79" spans="1:18" ht="12.75">
      <c r="A79" s="156" t="s">
        <v>590</v>
      </c>
      <c r="B79" s="157" t="s">
        <v>353</v>
      </c>
      <c r="C79" s="158" t="s">
        <v>694</v>
      </c>
      <c r="D79" s="159" t="s">
        <v>162</v>
      </c>
      <c r="E79" s="72">
        <v>1160</v>
      </c>
      <c r="F79" s="72">
        <f t="shared" si="6"/>
        <v>1160</v>
      </c>
      <c r="G79" s="69"/>
      <c r="H79" s="69"/>
      <c r="I79" s="69"/>
      <c r="J79" s="69"/>
      <c r="K79" s="69">
        <v>1160</v>
      </c>
      <c r="L79" s="69"/>
      <c r="M79" s="69"/>
      <c r="N79" s="69"/>
      <c r="O79" s="69"/>
      <c r="P79" s="69"/>
      <c r="Q79" s="69"/>
      <c r="R79" s="160"/>
    </row>
    <row r="80" spans="1:18" ht="12.75">
      <c r="A80" s="156"/>
      <c r="B80" s="157"/>
      <c r="C80" s="158"/>
      <c r="D80" s="159" t="s">
        <v>888</v>
      </c>
      <c r="E80" s="72">
        <v>1160</v>
      </c>
      <c r="F80" s="72">
        <f t="shared" si="6"/>
        <v>1160</v>
      </c>
      <c r="G80" s="69"/>
      <c r="H80" s="69"/>
      <c r="I80" s="69"/>
      <c r="J80" s="69"/>
      <c r="K80" s="69">
        <v>1160</v>
      </c>
      <c r="L80" s="69"/>
      <c r="M80" s="69"/>
      <c r="N80" s="69"/>
      <c r="O80" s="69"/>
      <c r="P80" s="69"/>
      <c r="Q80" s="69"/>
      <c r="R80" s="160"/>
    </row>
    <row r="81" spans="1:18" ht="12.75">
      <c r="A81" s="156"/>
      <c r="B81" s="157"/>
      <c r="C81" s="158"/>
      <c r="D81" s="159" t="s">
        <v>947</v>
      </c>
      <c r="E81" s="72">
        <v>1160</v>
      </c>
      <c r="F81" s="72">
        <f t="shared" si="6"/>
        <v>1160</v>
      </c>
      <c r="G81" s="69"/>
      <c r="H81" s="69"/>
      <c r="I81" s="69"/>
      <c r="J81" s="69"/>
      <c r="K81" s="69">
        <v>1160</v>
      </c>
      <c r="L81" s="69"/>
      <c r="M81" s="69"/>
      <c r="N81" s="69"/>
      <c r="O81" s="69"/>
      <c r="P81" s="69"/>
      <c r="Q81" s="69"/>
      <c r="R81" s="160"/>
    </row>
    <row r="82" spans="1:18" ht="12.75">
      <c r="A82" s="156" t="s">
        <v>590</v>
      </c>
      <c r="B82" s="157" t="s">
        <v>748</v>
      </c>
      <c r="C82" s="158" t="s">
        <v>749</v>
      </c>
      <c r="D82" s="159" t="s">
        <v>888</v>
      </c>
      <c r="E82" s="72">
        <v>533</v>
      </c>
      <c r="F82" s="72">
        <f t="shared" si="6"/>
        <v>533</v>
      </c>
      <c r="G82" s="69">
        <v>336</v>
      </c>
      <c r="H82" s="69">
        <v>100</v>
      </c>
      <c r="I82" s="69">
        <v>97</v>
      </c>
      <c r="J82" s="69"/>
      <c r="K82" s="69"/>
      <c r="L82" s="69"/>
      <c r="M82" s="69"/>
      <c r="N82" s="69"/>
      <c r="O82" s="69"/>
      <c r="P82" s="69"/>
      <c r="Q82" s="69"/>
      <c r="R82" s="160"/>
    </row>
    <row r="83" spans="1:18" ht="12.75">
      <c r="A83" s="156"/>
      <c r="B83" s="157"/>
      <c r="C83" s="158"/>
      <c r="D83" s="159" t="s">
        <v>947</v>
      </c>
      <c r="E83" s="72">
        <v>930</v>
      </c>
      <c r="F83" s="72">
        <f t="shared" si="6"/>
        <v>930</v>
      </c>
      <c r="G83" s="69">
        <v>609</v>
      </c>
      <c r="H83" s="69">
        <v>183</v>
      </c>
      <c r="I83" s="69">
        <v>138</v>
      </c>
      <c r="J83" s="69"/>
      <c r="K83" s="69"/>
      <c r="L83" s="69"/>
      <c r="M83" s="69"/>
      <c r="N83" s="69"/>
      <c r="O83" s="69"/>
      <c r="P83" s="69"/>
      <c r="Q83" s="69"/>
      <c r="R83" s="160"/>
    </row>
    <row r="84" spans="1:18" ht="12.75">
      <c r="A84" s="1117" t="s">
        <v>361</v>
      </c>
      <c r="B84" s="1118"/>
      <c r="C84" s="1118"/>
      <c r="D84" s="168" t="s">
        <v>162</v>
      </c>
      <c r="E84" s="72">
        <f aca="true" t="shared" si="7" ref="E84:R84">SUM(E70+E73+E76+E79)</f>
        <v>34812</v>
      </c>
      <c r="F84" s="72">
        <f t="shared" si="7"/>
        <v>34812</v>
      </c>
      <c r="G84" s="72">
        <f t="shared" si="7"/>
        <v>17710</v>
      </c>
      <c r="H84" s="72">
        <f t="shared" si="7"/>
        <v>4781</v>
      </c>
      <c r="I84" s="72">
        <f t="shared" si="7"/>
        <v>4191</v>
      </c>
      <c r="J84" s="72">
        <f t="shared" si="7"/>
        <v>0</v>
      </c>
      <c r="K84" s="72">
        <f t="shared" si="7"/>
        <v>7584</v>
      </c>
      <c r="L84" s="72">
        <f t="shared" si="7"/>
        <v>0</v>
      </c>
      <c r="M84" s="72">
        <f t="shared" si="7"/>
        <v>0</v>
      </c>
      <c r="N84" s="72">
        <f t="shared" si="7"/>
        <v>546</v>
      </c>
      <c r="O84" s="72">
        <f t="shared" si="7"/>
        <v>0</v>
      </c>
      <c r="P84" s="72">
        <f t="shared" si="7"/>
        <v>0</v>
      </c>
      <c r="Q84" s="72">
        <f t="shared" si="7"/>
        <v>0</v>
      </c>
      <c r="R84" s="177">
        <f t="shared" si="7"/>
        <v>0</v>
      </c>
    </row>
    <row r="85" spans="1:18" ht="12.75">
      <c r="A85" s="764"/>
      <c r="B85" s="739"/>
      <c r="C85" s="740"/>
      <c r="D85" s="761" t="s">
        <v>888</v>
      </c>
      <c r="E85" s="741">
        <f aca="true" t="shared" si="8" ref="E85:R86">SUM(E71+E74+E77+E80+E82)</f>
        <v>36811</v>
      </c>
      <c r="F85" s="741">
        <f t="shared" si="8"/>
        <v>36811</v>
      </c>
      <c r="G85" s="741">
        <f t="shared" si="8"/>
        <v>19200</v>
      </c>
      <c r="H85" s="741">
        <f t="shared" si="8"/>
        <v>5193</v>
      </c>
      <c r="I85" s="741">
        <f t="shared" si="8"/>
        <v>4288</v>
      </c>
      <c r="J85" s="741">
        <f t="shared" si="8"/>
        <v>0</v>
      </c>
      <c r="K85" s="741">
        <f t="shared" si="8"/>
        <v>7584</v>
      </c>
      <c r="L85" s="741">
        <f t="shared" si="8"/>
        <v>0</v>
      </c>
      <c r="M85" s="741">
        <f t="shared" si="8"/>
        <v>0</v>
      </c>
      <c r="N85" s="741">
        <f t="shared" si="8"/>
        <v>546</v>
      </c>
      <c r="O85" s="741">
        <f t="shared" si="8"/>
        <v>0</v>
      </c>
      <c r="P85" s="741">
        <f t="shared" si="8"/>
        <v>0</v>
      </c>
      <c r="Q85" s="741">
        <f t="shared" si="8"/>
        <v>0</v>
      </c>
      <c r="R85" s="765">
        <f t="shared" si="8"/>
        <v>0</v>
      </c>
    </row>
    <row r="86" spans="1:18" ht="13.5" thickBot="1">
      <c r="A86" s="734"/>
      <c r="B86" s="726"/>
      <c r="C86" s="727"/>
      <c r="D86" s="918" t="s">
        <v>947</v>
      </c>
      <c r="E86" s="724">
        <f t="shared" si="8"/>
        <v>37320</v>
      </c>
      <c r="F86" s="724">
        <f t="shared" si="8"/>
        <v>37320</v>
      </c>
      <c r="G86" s="724">
        <f t="shared" si="8"/>
        <v>19561</v>
      </c>
      <c r="H86" s="724">
        <f t="shared" si="8"/>
        <v>5300</v>
      </c>
      <c r="I86" s="724">
        <f t="shared" si="8"/>
        <v>4329</v>
      </c>
      <c r="J86" s="724">
        <f t="shared" si="8"/>
        <v>0</v>
      </c>
      <c r="K86" s="724">
        <f t="shared" si="8"/>
        <v>7584</v>
      </c>
      <c r="L86" s="724">
        <f t="shared" si="8"/>
        <v>0</v>
      </c>
      <c r="M86" s="724">
        <f t="shared" si="8"/>
        <v>0</v>
      </c>
      <c r="N86" s="724">
        <f t="shared" si="8"/>
        <v>546</v>
      </c>
      <c r="O86" s="724">
        <f t="shared" si="8"/>
        <v>0</v>
      </c>
      <c r="P86" s="724">
        <f t="shared" si="8"/>
        <v>0</v>
      </c>
      <c r="Q86" s="724">
        <f t="shared" si="8"/>
        <v>0</v>
      </c>
      <c r="R86" s="735">
        <f t="shared" si="8"/>
        <v>0</v>
      </c>
    </row>
    <row r="87" spans="1:18" ht="12.75">
      <c r="A87" s="1121" t="s">
        <v>26</v>
      </c>
      <c r="B87" s="1122"/>
      <c r="C87" s="1122"/>
      <c r="D87" s="732"/>
      <c r="E87" s="728"/>
      <c r="F87" s="728"/>
      <c r="G87" s="729"/>
      <c r="H87" s="729"/>
      <c r="I87" s="729"/>
      <c r="J87" s="729"/>
      <c r="K87" s="729"/>
      <c r="L87" s="729"/>
      <c r="M87" s="729"/>
      <c r="N87" s="729"/>
      <c r="O87" s="729"/>
      <c r="P87" s="729"/>
      <c r="Q87" s="729"/>
      <c r="R87" s="733"/>
    </row>
    <row r="88" spans="1:18" ht="12.75">
      <c r="A88" s="156" t="s">
        <v>585</v>
      </c>
      <c r="B88" s="157" t="s">
        <v>174</v>
      </c>
      <c r="C88" s="158" t="s">
        <v>346</v>
      </c>
      <c r="D88" s="159" t="s">
        <v>162</v>
      </c>
      <c r="E88" s="72">
        <v>1680</v>
      </c>
      <c r="F88" s="72">
        <f>G88+H88+I88+J88+K88+L88+M88+N88+O88+P88+Q88+R88</f>
        <v>8909</v>
      </c>
      <c r="G88" s="70">
        <v>5644</v>
      </c>
      <c r="H88" s="70">
        <v>1517</v>
      </c>
      <c r="I88" s="70">
        <v>1557</v>
      </c>
      <c r="J88" s="70"/>
      <c r="K88" s="70"/>
      <c r="L88" s="70"/>
      <c r="M88" s="70"/>
      <c r="N88" s="70">
        <v>191</v>
      </c>
      <c r="O88" s="73"/>
      <c r="P88" s="70"/>
      <c r="Q88" s="70"/>
      <c r="R88" s="160"/>
    </row>
    <row r="89" spans="1:18" ht="12.75">
      <c r="A89" s="156"/>
      <c r="B89" s="157"/>
      <c r="C89" s="158"/>
      <c r="D89" s="159" t="s">
        <v>888</v>
      </c>
      <c r="E89" s="72">
        <v>2312</v>
      </c>
      <c r="F89" s="72">
        <f aca="true" t="shared" si="9" ref="F89:F101">G89+H89+I89+J89+K89+L89+M89+N89+O89+P89+Q89+R89</f>
        <v>9888</v>
      </c>
      <c r="G89" s="69">
        <v>6415</v>
      </c>
      <c r="H89" s="69">
        <v>1725</v>
      </c>
      <c r="I89" s="69">
        <v>1527</v>
      </c>
      <c r="J89" s="69"/>
      <c r="K89" s="69"/>
      <c r="L89" s="69"/>
      <c r="M89" s="69"/>
      <c r="N89" s="69">
        <v>221</v>
      </c>
      <c r="O89" s="73"/>
      <c r="P89" s="70"/>
      <c r="Q89" s="70"/>
      <c r="R89" s="160"/>
    </row>
    <row r="90" spans="1:18" ht="12.75">
      <c r="A90" s="156"/>
      <c r="B90" s="157"/>
      <c r="C90" s="158"/>
      <c r="D90" s="159" t="s">
        <v>947</v>
      </c>
      <c r="E90" s="72">
        <v>2957</v>
      </c>
      <c r="F90" s="72">
        <f t="shared" si="9"/>
        <v>10478</v>
      </c>
      <c r="G90" s="69">
        <v>6880</v>
      </c>
      <c r="H90" s="69">
        <v>1850</v>
      </c>
      <c r="I90" s="69">
        <v>1527</v>
      </c>
      <c r="J90" s="69"/>
      <c r="K90" s="69"/>
      <c r="L90" s="69"/>
      <c r="M90" s="69"/>
      <c r="N90" s="69">
        <v>221</v>
      </c>
      <c r="O90" s="73"/>
      <c r="P90" s="70"/>
      <c r="Q90" s="70"/>
      <c r="R90" s="160"/>
    </row>
    <row r="91" spans="1:18" ht="12.75">
      <c r="A91" s="156" t="s">
        <v>590</v>
      </c>
      <c r="B91" s="157" t="s">
        <v>358</v>
      </c>
      <c r="C91" s="158" t="s">
        <v>610</v>
      </c>
      <c r="D91" s="159" t="s">
        <v>162</v>
      </c>
      <c r="E91" s="72">
        <v>7229</v>
      </c>
      <c r="F91" s="72">
        <f t="shared" si="9"/>
        <v>0</v>
      </c>
      <c r="G91" s="70"/>
      <c r="H91" s="70"/>
      <c r="I91" s="70"/>
      <c r="J91" s="70"/>
      <c r="K91" s="70"/>
      <c r="L91" s="70"/>
      <c r="M91" s="70"/>
      <c r="N91" s="70"/>
      <c r="O91" s="70"/>
      <c r="P91" s="70"/>
      <c r="Q91" s="70"/>
      <c r="R91" s="160"/>
    </row>
    <row r="92" spans="1:18" ht="12.75">
      <c r="A92" s="156"/>
      <c r="B92" s="157"/>
      <c r="C92" s="158"/>
      <c r="D92" s="159" t="s">
        <v>888</v>
      </c>
      <c r="E92" s="72">
        <v>7576</v>
      </c>
      <c r="F92" s="72">
        <f t="shared" si="9"/>
        <v>0</v>
      </c>
      <c r="G92" s="70"/>
      <c r="H92" s="70"/>
      <c r="I92" s="70"/>
      <c r="J92" s="70"/>
      <c r="K92" s="70"/>
      <c r="L92" s="70"/>
      <c r="M92" s="70"/>
      <c r="N92" s="70"/>
      <c r="O92" s="70"/>
      <c r="P92" s="70"/>
      <c r="Q92" s="70"/>
      <c r="R92" s="160"/>
    </row>
    <row r="93" spans="1:18" ht="12.75">
      <c r="A93" s="156"/>
      <c r="B93" s="157"/>
      <c r="C93" s="158"/>
      <c r="D93" s="159" t="s">
        <v>947</v>
      </c>
      <c r="E93" s="72">
        <v>7774</v>
      </c>
      <c r="F93" s="72">
        <f t="shared" si="9"/>
        <v>0</v>
      </c>
      <c r="G93" s="70"/>
      <c r="H93" s="70"/>
      <c r="I93" s="70"/>
      <c r="J93" s="70"/>
      <c r="K93" s="70"/>
      <c r="L93" s="70"/>
      <c r="M93" s="70"/>
      <c r="N93" s="70"/>
      <c r="O93" s="70"/>
      <c r="P93" s="70"/>
      <c r="Q93" s="70"/>
      <c r="R93" s="160"/>
    </row>
    <row r="94" spans="1:18" ht="12.75">
      <c r="A94" s="156" t="s">
        <v>590</v>
      </c>
      <c r="B94" s="157" t="s">
        <v>352</v>
      </c>
      <c r="C94" s="158" t="s">
        <v>690</v>
      </c>
      <c r="D94" s="159" t="s">
        <v>162</v>
      </c>
      <c r="E94" s="72"/>
      <c r="F94" s="72">
        <f t="shared" si="9"/>
        <v>0</v>
      </c>
      <c r="G94" s="70"/>
      <c r="H94" s="70"/>
      <c r="I94" s="70"/>
      <c r="J94" s="70"/>
      <c r="K94" s="70"/>
      <c r="L94" s="70"/>
      <c r="M94" s="70"/>
      <c r="N94" s="70"/>
      <c r="O94" s="70"/>
      <c r="P94" s="70"/>
      <c r="Q94" s="70"/>
      <c r="R94" s="160"/>
    </row>
    <row r="95" spans="1:18" ht="12.75">
      <c r="A95" s="156"/>
      <c r="B95" s="157"/>
      <c r="C95" s="158"/>
      <c r="D95" s="159" t="s">
        <v>888</v>
      </c>
      <c r="E95" s="72"/>
      <c r="F95" s="72">
        <f t="shared" si="9"/>
        <v>0</v>
      </c>
      <c r="G95" s="70"/>
      <c r="H95" s="70"/>
      <c r="I95" s="70"/>
      <c r="J95" s="70"/>
      <c r="K95" s="70"/>
      <c r="L95" s="70"/>
      <c r="M95" s="70"/>
      <c r="N95" s="70"/>
      <c r="O95" s="70"/>
      <c r="P95" s="70"/>
      <c r="Q95" s="70"/>
      <c r="R95" s="160"/>
    </row>
    <row r="96" spans="1:18" ht="12.75">
      <c r="A96" s="156"/>
      <c r="B96" s="157"/>
      <c r="C96" s="158"/>
      <c r="D96" s="159" t="s">
        <v>947</v>
      </c>
      <c r="E96" s="72"/>
      <c r="F96" s="72">
        <f t="shared" si="9"/>
        <v>223</v>
      </c>
      <c r="G96" s="70"/>
      <c r="H96" s="70"/>
      <c r="I96" s="70"/>
      <c r="J96" s="70"/>
      <c r="K96" s="70">
        <v>223</v>
      </c>
      <c r="L96" s="70"/>
      <c r="M96" s="70"/>
      <c r="N96" s="70"/>
      <c r="O96" s="70"/>
      <c r="P96" s="70"/>
      <c r="Q96" s="70"/>
      <c r="R96" s="160"/>
    </row>
    <row r="97" spans="1:18" ht="12.75">
      <c r="A97" s="156" t="s">
        <v>590</v>
      </c>
      <c r="B97" s="157" t="s">
        <v>353</v>
      </c>
      <c r="C97" s="158" t="s">
        <v>694</v>
      </c>
      <c r="D97" s="159" t="s">
        <v>162</v>
      </c>
      <c r="E97" s="72"/>
      <c r="F97" s="72">
        <f t="shared" si="9"/>
        <v>0</v>
      </c>
      <c r="G97" s="70"/>
      <c r="H97" s="70"/>
      <c r="I97" s="70"/>
      <c r="J97" s="70"/>
      <c r="K97" s="70"/>
      <c r="L97" s="70"/>
      <c r="M97" s="70"/>
      <c r="N97" s="70"/>
      <c r="O97" s="70"/>
      <c r="P97" s="70"/>
      <c r="Q97" s="70"/>
      <c r="R97" s="160"/>
    </row>
    <row r="98" spans="1:18" ht="12.75">
      <c r="A98" s="156"/>
      <c r="B98" s="157"/>
      <c r="C98" s="158"/>
      <c r="D98" s="159" t="s">
        <v>888</v>
      </c>
      <c r="E98" s="72"/>
      <c r="F98" s="72">
        <f t="shared" si="9"/>
        <v>0</v>
      </c>
      <c r="G98" s="70"/>
      <c r="H98" s="70"/>
      <c r="I98" s="70"/>
      <c r="J98" s="70"/>
      <c r="K98" s="70"/>
      <c r="L98" s="70"/>
      <c r="M98" s="70"/>
      <c r="N98" s="70"/>
      <c r="O98" s="70"/>
      <c r="P98" s="70"/>
      <c r="Q98" s="70"/>
      <c r="R98" s="160"/>
    </row>
    <row r="99" spans="1:18" ht="12.75">
      <c r="A99" s="156"/>
      <c r="B99" s="157"/>
      <c r="C99" s="158"/>
      <c r="D99" s="159" t="s">
        <v>947</v>
      </c>
      <c r="E99" s="72"/>
      <c r="F99" s="72">
        <f t="shared" si="9"/>
        <v>30</v>
      </c>
      <c r="G99" s="70"/>
      <c r="H99" s="70"/>
      <c r="I99" s="70"/>
      <c r="J99" s="70"/>
      <c r="K99" s="70">
        <v>30</v>
      </c>
      <c r="L99" s="70"/>
      <c r="M99" s="70"/>
      <c r="N99" s="70"/>
      <c r="O99" s="70"/>
      <c r="P99" s="70"/>
      <c r="Q99" s="70"/>
      <c r="R99" s="160"/>
    </row>
    <row r="100" spans="1:18" ht="12.75">
      <c r="A100" s="156" t="s">
        <v>590</v>
      </c>
      <c r="B100" s="157" t="s">
        <v>748</v>
      </c>
      <c r="C100" s="158" t="s">
        <v>749</v>
      </c>
      <c r="D100" s="159" t="s">
        <v>888</v>
      </c>
      <c r="E100" s="72">
        <v>368</v>
      </c>
      <c r="F100" s="72">
        <f t="shared" si="9"/>
        <v>368</v>
      </c>
      <c r="G100" s="70">
        <v>249</v>
      </c>
      <c r="H100" s="70">
        <v>74</v>
      </c>
      <c r="I100" s="70">
        <v>45</v>
      </c>
      <c r="J100" s="70"/>
      <c r="K100" s="70"/>
      <c r="L100" s="70"/>
      <c r="M100" s="70"/>
      <c r="N100" s="70"/>
      <c r="O100" s="70"/>
      <c r="P100" s="70"/>
      <c r="Q100" s="70"/>
      <c r="R100" s="160"/>
    </row>
    <row r="101" spans="1:18" ht="12.75">
      <c r="A101" s="156"/>
      <c r="B101" s="157"/>
      <c r="C101" s="158"/>
      <c r="D101" s="159" t="s">
        <v>947</v>
      </c>
      <c r="E101" s="72">
        <v>892</v>
      </c>
      <c r="F101" s="72">
        <f t="shared" si="9"/>
        <v>892</v>
      </c>
      <c r="G101" s="70">
        <v>619</v>
      </c>
      <c r="H101" s="70">
        <v>182</v>
      </c>
      <c r="I101" s="70">
        <v>91</v>
      </c>
      <c r="J101" s="70"/>
      <c r="K101" s="70"/>
      <c r="L101" s="70"/>
      <c r="M101" s="70"/>
      <c r="N101" s="70"/>
      <c r="O101" s="70"/>
      <c r="P101" s="70"/>
      <c r="Q101" s="70"/>
      <c r="R101" s="160"/>
    </row>
    <row r="102" spans="1:18" ht="12.75">
      <c r="A102" s="1117" t="s">
        <v>362</v>
      </c>
      <c r="B102" s="1118"/>
      <c r="C102" s="1118"/>
      <c r="D102" s="168" t="s">
        <v>162</v>
      </c>
      <c r="E102" s="72">
        <f>SUM(E88+E91+E94+E97)</f>
        <v>8909</v>
      </c>
      <c r="F102" s="72">
        <f aca="true" t="shared" si="10" ref="F102:R102">SUM(F88+F91+F94+F97)</f>
        <v>8909</v>
      </c>
      <c r="G102" s="72">
        <f t="shared" si="10"/>
        <v>5644</v>
      </c>
      <c r="H102" s="72">
        <f t="shared" si="10"/>
        <v>1517</v>
      </c>
      <c r="I102" s="72">
        <f t="shared" si="10"/>
        <v>1557</v>
      </c>
      <c r="J102" s="72">
        <f t="shared" si="10"/>
        <v>0</v>
      </c>
      <c r="K102" s="72">
        <f t="shared" si="10"/>
        <v>0</v>
      </c>
      <c r="L102" s="72">
        <f t="shared" si="10"/>
        <v>0</v>
      </c>
      <c r="M102" s="72">
        <f t="shared" si="10"/>
        <v>0</v>
      </c>
      <c r="N102" s="72">
        <f t="shared" si="10"/>
        <v>191</v>
      </c>
      <c r="O102" s="72">
        <f t="shared" si="10"/>
        <v>0</v>
      </c>
      <c r="P102" s="72">
        <f t="shared" si="10"/>
        <v>0</v>
      </c>
      <c r="Q102" s="72">
        <f t="shared" si="10"/>
        <v>0</v>
      </c>
      <c r="R102" s="177">
        <f t="shared" si="10"/>
        <v>0</v>
      </c>
    </row>
    <row r="103" spans="1:18" ht="12.75">
      <c r="A103" s="156"/>
      <c r="B103" s="157"/>
      <c r="C103" s="158"/>
      <c r="D103" s="168" t="s">
        <v>888</v>
      </c>
      <c r="E103" s="72">
        <f>SUM(E89+E92+E95+E98+E100)</f>
        <v>10256</v>
      </c>
      <c r="F103" s="72">
        <f aca="true" t="shared" si="11" ref="F103:Q103">SUM(F89+F92+F95+F98+F100)</f>
        <v>10256</v>
      </c>
      <c r="G103" s="72">
        <f t="shared" si="11"/>
        <v>6664</v>
      </c>
      <c r="H103" s="72">
        <f t="shared" si="11"/>
        <v>1799</v>
      </c>
      <c r="I103" s="72">
        <f t="shared" si="11"/>
        <v>1572</v>
      </c>
      <c r="J103" s="72">
        <f t="shared" si="11"/>
        <v>0</v>
      </c>
      <c r="K103" s="72">
        <f t="shared" si="11"/>
        <v>0</v>
      </c>
      <c r="L103" s="72">
        <f t="shared" si="11"/>
        <v>0</v>
      </c>
      <c r="M103" s="72">
        <f t="shared" si="11"/>
        <v>0</v>
      </c>
      <c r="N103" s="72">
        <f t="shared" si="11"/>
        <v>221</v>
      </c>
      <c r="O103" s="72">
        <f t="shared" si="11"/>
        <v>0</v>
      </c>
      <c r="P103" s="72">
        <f t="shared" si="11"/>
        <v>0</v>
      </c>
      <c r="Q103" s="72">
        <f t="shared" si="11"/>
        <v>0</v>
      </c>
      <c r="R103" s="177">
        <f>SUM(R89+R92+R95+R98)</f>
        <v>0</v>
      </c>
    </row>
    <row r="104" spans="1:18" ht="12.75">
      <c r="A104" s="156"/>
      <c r="B104" s="157"/>
      <c r="C104" s="158"/>
      <c r="D104" s="168" t="s">
        <v>947</v>
      </c>
      <c r="E104" s="72">
        <f>SUM(E90+E93+E96+E99+E101)</f>
        <v>11623</v>
      </c>
      <c r="F104" s="72">
        <f aca="true" t="shared" si="12" ref="F104:R104">SUM(F90+F93+F96+F99+F101)</f>
        <v>11623</v>
      </c>
      <c r="G104" s="72">
        <f t="shared" si="12"/>
        <v>7499</v>
      </c>
      <c r="H104" s="72">
        <f t="shared" si="12"/>
        <v>2032</v>
      </c>
      <c r="I104" s="72">
        <f t="shared" si="12"/>
        <v>1618</v>
      </c>
      <c r="J104" s="72">
        <f t="shared" si="12"/>
        <v>0</v>
      </c>
      <c r="K104" s="72">
        <f t="shared" si="12"/>
        <v>253</v>
      </c>
      <c r="L104" s="72">
        <f t="shared" si="12"/>
        <v>0</v>
      </c>
      <c r="M104" s="72">
        <f t="shared" si="12"/>
        <v>0</v>
      </c>
      <c r="N104" s="72">
        <f t="shared" si="12"/>
        <v>221</v>
      </c>
      <c r="O104" s="72">
        <f t="shared" si="12"/>
        <v>0</v>
      </c>
      <c r="P104" s="72">
        <f t="shared" si="12"/>
        <v>0</v>
      </c>
      <c r="Q104" s="72">
        <f t="shared" si="12"/>
        <v>0</v>
      </c>
      <c r="R104" s="177">
        <f t="shared" si="12"/>
        <v>0</v>
      </c>
    </row>
    <row r="105" spans="1:18" ht="12.75">
      <c r="A105" s="156"/>
      <c r="B105" s="157"/>
      <c r="C105" s="158"/>
      <c r="D105" s="168"/>
      <c r="E105" s="72"/>
      <c r="F105" s="72"/>
      <c r="G105" s="69"/>
      <c r="H105" s="69"/>
      <c r="I105" s="69"/>
      <c r="J105" s="69"/>
      <c r="K105" s="69"/>
      <c r="L105" s="69"/>
      <c r="M105" s="69"/>
      <c r="N105" s="69"/>
      <c r="O105" s="69"/>
      <c r="P105" s="69"/>
      <c r="Q105" s="69"/>
      <c r="R105" s="160"/>
    </row>
    <row r="106" spans="1:18" ht="12.75">
      <c r="A106" s="1117" t="s">
        <v>363</v>
      </c>
      <c r="B106" s="1118"/>
      <c r="C106" s="1118"/>
      <c r="D106" s="168" t="s">
        <v>162</v>
      </c>
      <c r="E106" s="72">
        <f aca="true" t="shared" si="13" ref="E106:R106">SUM(E66+E84+E102)</f>
        <v>73030</v>
      </c>
      <c r="F106" s="72">
        <f t="shared" si="13"/>
        <v>73030</v>
      </c>
      <c r="G106" s="72">
        <f t="shared" si="13"/>
        <v>41458</v>
      </c>
      <c r="H106" s="72">
        <f t="shared" si="13"/>
        <v>11632</v>
      </c>
      <c r="I106" s="72">
        <f t="shared" si="13"/>
        <v>9048</v>
      </c>
      <c r="J106" s="72">
        <f t="shared" si="13"/>
        <v>0</v>
      </c>
      <c r="K106" s="72">
        <f t="shared" si="13"/>
        <v>10155</v>
      </c>
      <c r="L106" s="72">
        <f t="shared" si="13"/>
        <v>0</v>
      </c>
      <c r="M106" s="72">
        <f t="shared" si="13"/>
        <v>0</v>
      </c>
      <c r="N106" s="72">
        <f t="shared" si="13"/>
        <v>737</v>
      </c>
      <c r="O106" s="72">
        <f t="shared" si="13"/>
        <v>0</v>
      </c>
      <c r="P106" s="72">
        <f t="shared" si="13"/>
        <v>0</v>
      </c>
      <c r="Q106" s="72">
        <f t="shared" si="13"/>
        <v>0</v>
      </c>
      <c r="R106" s="177">
        <f t="shared" si="13"/>
        <v>0</v>
      </c>
    </row>
    <row r="107" spans="1:18" ht="12.75">
      <c r="A107" s="156"/>
      <c r="B107" s="157"/>
      <c r="C107" s="158"/>
      <c r="D107" s="168" t="s">
        <v>888</v>
      </c>
      <c r="E107" s="72">
        <f aca="true" t="shared" si="14" ref="E107:R107">SUM(E67+E85+E103)</f>
        <v>79451</v>
      </c>
      <c r="F107" s="72">
        <f t="shared" si="14"/>
        <v>79451</v>
      </c>
      <c r="G107" s="72">
        <f t="shared" si="14"/>
        <v>45674</v>
      </c>
      <c r="H107" s="72">
        <f t="shared" si="14"/>
        <v>12799</v>
      </c>
      <c r="I107" s="72">
        <f t="shared" si="14"/>
        <v>10056</v>
      </c>
      <c r="J107" s="72">
        <f t="shared" si="14"/>
        <v>0</v>
      </c>
      <c r="K107" s="72">
        <f t="shared" si="14"/>
        <v>10155</v>
      </c>
      <c r="L107" s="72">
        <f t="shared" si="14"/>
        <v>0</v>
      </c>
      <c r="M107" s="72">
        <f t="shared" si="14"/>
        <v>0</v>
      </c>
      <c r="N107" s="72">
        <f t="shared" si="14"/>
        <v>767</v>
      </c>
      <c r="O107" s="72">
        <f t="shared" si="14"/>
        <v>0</v>
      </c>
      <c r="P107" s="72">
        <f t="shared" si="14"/>
        <v>0</v>
      </c>
      <c r="Q107" s="72">
        <f t="shared" si="14"/>
        <v>0</v>
      </c>
      <c r="R107" s="177">
        <f t="shared" si="14"/>
        <v>0</v>
      </c>
    </row>
    <row r="108" spans="1:18" ht="12.75">
      <c r="A108" s="156"/>
      <c r="B108" s="157"/>
      <c r="C108" s="158"/>
      <c r="D108" s="168" t="s">
        <v>947</v>
      </c>
      <c r="E108" s="72">
        <f>SUM(E68+E86+E104)</f>
        <v>82627</v>
      </c>
      <c r="F108" s="72">
        <f aca="true" t="shared" si="15" ref="F108:R108">SUM(F68+F86+F104)</f>
        <v>82627</v>
      </c>
      <c r="G108" s="72">
        <f t="shared" si="15"/>
        <v>47901</v>
      </c>
      <c r="H108" s="72">
        <f t="shared" si="15"/>
        <v>13357</v>
      </c>
      <c r="I108" s="72">
        <f t="shared" si="15"/>
        <v>9394</v>
      </c>
      <c r="J108" s="72">
        <f t="shared" si="15"/>
        <v>0</v>
      </c>
      <c r="K108" s="72">
        <f t="shared" si="15"/>
        <v>11208</v>
      </c>
      <c r="L108" s="72">
        <f t="shared" si="15"/>
        <v>0</v>
      </c>
      <c r="M108" s="72">
        <f t="shared" si="15"/>
        <v>0</v>
      </c>
      <c r="N108" s="72">
        <f t="shared" si="15"/>
        <v>767</v>
      </c>
      <c r="O108" s="72">
        <f t="shared" si="15"/>
        <v>0</v>
      </c>
      <c r="P108" s="72">
        <f t="shared" si="15"/>
        <v>0</v>
      </c>
      <c r="Q108" s="72">
        <f t="shared" si="15"/>
        <v>0</v>
      </c>
      <c r="R108" s="177">
        <f t="shared" si="15"/>
        <v>0</v>
      </c>
    </row>
    <row r="109" spans="1:18" ht="12.75">
      <c r="A109" s="156"/>
      <c r="B109" s="157"/>
      <c r="C109" s="158"/>
      <c r="D109" s="159"/>
      <c r="E109" s="72"/>
      <c r="F109" s="72"/>
      <c r="G109" s="70"/>
      <c r="H109" s="70"/>
      <c r="I109" s="70"/>
      <c r="J109" s="70"/>
      <c r="K109" s="70"/>
      <c r="L109" s="70"/>
      <c r="M109" s="70"/>
      <c r="N109" s="70"/>
      <c r="O109" s="70"/>
      <c r="P109" s="70"/>
      <c r="Q109" s="70"/>
      <c r="R109" s="160"/>
    </row>
    <row r="110" spans="1:18" ht="12.75">
      <c r="A110" s="1117" t="s">
        <v>364</v>
      </c>
      <c r="B110" s="1118"/>
      <c r="C110" s="1118"/>
      <c r="D110" s="168" t="s">
        <v>162</v>
      </c>
      <c r="E110" s="72">
        <f aca="true" t="shared" si="16" ref="E110:R110">E48+E106</f>
        <v>732559</v>
      </c>
      <c r="F110" s="72">
        <f t="shared" si="16"/>
        <v>732559</v>
      </c>
      <c r="G110" s="72">
        <f t="shared" si="16"/>
        <v>359636</v>
      </c>
      <c r="H110" s="72">
        <f t="shared" si="16"/>
        <v>101463</v>
      </c>
      <c r="I110" s="72">
        <f t="shared" si="16"/>
        <v>130447</v>
      </c>
      <c r="J110" s="72">
        <f t="shared" si="16"/>
        <v>0</v>
      </c>
      <c r="K110" s="72">
        <f t="shared" si="16"/>
        <v>119955</v>
      </c>
      <c r="L110" s="72">
        <f t="shared" si="16"/>
        <v>0</v>
      </c>
      <c r="M110" s="72">
        <f t="shared" si="16"/>
        <v>0</v>
      </c>
      <c r="N110" s="72">
        <f t="shared" si="16"/>
        <v>20058</v>
      </c>
      <c r="O110" s="72">
        <f t="shared" si="16"/>
        <v>1000</v>
      </c>
      <c r="P110" s="72">
        <f t="shared" si="16"/>
        <v>0</v>
      </c>
      <c r="Q110" s="72">
        <f t="shared" si="16"/>
        <v>0</v>
      </c>
      <c r="R110" s="177">
        <f t="shared" si="16"/>
        <v>0</v>
      </c>
    </row>
    <row r="111" spans="1:18" ht="12.75">
      <c r="A111" s="156"/>
      <c r="B111" s="157"/>
      <c r="C111" s="158"/>
      <c r="D111" s="168" t="s">
        <v>888</v>
      </c>
      <c r="E111" s="72">
        <f aca="true" t="shared" si="17" ref="E111:R111">SUM(E49+E107)</f>
        <v>762987</v>
      </c>
      <c r="F111" s="72">
        <f t="shared" si="17"/>
        <v>762987</v>
      </c>
      <c r="G111" s="72">
        <f t="shared" si="17"/>
        <v>378222</v>
      </c>
      <c r="H111" s="72">
        <f t="shared" si="17"/>
        <v>105663</v>
      </c>
      <c r="I111" s="72">
        <f t="shared" si="17"/>
        <v>136155</v>
      </c>
      <c r="J111" s="72">
        <f t="shared" si="17"/>
        <v>933</v>
      </c>
      <c r="K111" s="72">
        <f t="shared" si="17"/>
        <v>119955</v>
      </c>
      <c r="L111" s="72">
        <f t="shared" si="17"/>
        <v>0</v>
      </c>
      <c r="M111" s="72">
        <f t="shared" si="17"/>
        <v>971</v>
      </c>
      <c r="N111" s="72">
        <f t="shared" si="17"/>
        <v>20088</v>
      </c>
      <c r="O111" s="72">
        <f t="shared" si="17"/>
        <v>1000</v>
      </c>
      <c r="P111" s="72">
        <f t="shared" si="17"/>
        <v>0</v>
      </c>
      <c r="Q111" s="72">
        <f t="shared" si="17"/>
        <v>0</v>
      </c>
      <c r="R111" s="177">
        <f t="shared" si="17"/>
        <v>0</v>
      </c>
    </row>
    <row r="112" spans="1:18" ht="12.75">
      <c r="A112" s="156"/>
      <c r="B112" s="157"/>
      <c r="C112" s="158"/>
      <c r="D112" s="168" t="s">
        <v>947</v>
      </c>
      <c r="E112" s="72">
        <f>SUM(E50+E108)</f>
        <v>774420</v>
      </c>
      <c r="F112" s="72">
        <f aca="true" t="shared" si="18" ref="F112:R112">SUM(F50+F108)</f>
        <v>774420</v>
      </c>
      <c r="G112" s="72">
        <f t="shared" si="18"/>
        <v>380724</v>
      </c>
      <c r="H112" s="72">
        <f t="shared" si="18"/>
        <v>105593</v>
      </c>
      <c r="I112" s="72">
        <f t="shared" si="18"/>
        <v>135393</v>
      </c>
      <c r="J112" s="72">
        <f t="shared" si="18"/>
        <v>1535</v>
      </c>
      <c r="K112" s="72">
        <f t="shared" si="18"/>
        <v>128867</v>
      </c>
      <c r="L112" s="72">
        <f t="shared" si="18"/>
        <v>0</v>
      </c>
      <c r="M112" s="72">
        <f t="shared" si="18"/>
        <v>1220</v>
      </c>
      <c r="N112" s="72">
        <f t="shared" si="18"/>
        <v>20088</v>
      </c>
      <c r="O112" s="72">
        <f t="shared" si="18"/>
        <v>1000</v>
      </c>
      <c r="P112" s="72">
        <f t="shared" si="18"/>
        <v>0</v>
      </c>
      <c r="Q112" s="72">
        <f t="shared" si="18"/>
        <v>0</v>
      </c>
      <c r="R112" s="177">
        <f t="shared" si="18"/>
        <v>0</v>
      </c>
    </row>
    <row r="113" spans="1:18" ht="12.75">
      <c r="A113" s="156"/>
      <c r="B113" s="157"/>
      <c r="C113" s="158"/>
      <c r="D113" s="159"/>
      <c r="E113" s="72"/>
      <c r="F113" s="72"/>
      <c r="G113" s="70"/>
      <c r="H113" s="70"/>
      <c r="I113" s="70"/>
      <c r="J113" s="70"/>
      <c r="K113" s="70"/>
      <c r="L113" s="70"/>
      <c r="M113" s="70"/>
      <c r="N113" s="70"/>
      <c r="O113" s="70"/>
      <c r="P113" s="70"/>
      <c r="Q113" s="70"/>
      <c r="R113" s="160"/>
    </row>
    <row r="114" spans="1:18" ht="12.75">
      <c r="A114" s="1119" t="s">
        <v>365</v>
      </c>
      <c r="B114" s="1120"/>
      <c r="C114" s="1120"/>
      <c r="D114" s="168" t="s">
        <v>162</v>
      </c>
      <c r="E114" s="143">
        <f>SUM(E16+E34+E37+E40+E55+E58+E61+E73+E76+E79+E91+E94+E97)</f>
        <v>713374</v>
      </c>
      <c r="F114" s="143">
        <f aca="true" t="shared" si="19" ref="F114:R114">SUM(F16+F34+F37+F40+F55+F58+F61+F73+F76+F79+F91+F94+F97)</f>
        <v>119955</v>
      </c>
      <c r="G114" s="143">
        <f t="shared" si="19"/>
        <v>0</v>
      </c>
      <c r="H114" s="143">
        <f t="shared" si="19"/>
        <v>0</v>
      </c>
      <c r="I114" s="143">
        <f t="shared" si="19"/>
        <v>0</v>
      </c>
      <c r="J114" s="143">
        <f t="shared" si="19"/>
        <v>0</v>
      </c>
      <c r="K114" s="143">
        <f t="shared" si="19"/>
        <v>119955</v>
      </c>
      <c r="L114" s="143">
        <f t="shared" si="19"/>
        <v>0</v>
      </c>
      <c r="M114" s="143">
        <f t="shared" si="19"/>
        <v>0</v>
      </c>
      <c r="N114" s="143">
        <f t="shared" si="19"/>
        <v>0</v>
      </c>
      <c r="O114" s="143">
        <f t="shared" si="19"/>
        <v>0</v>
      </c>
      <c r="P114" s="143">
        <f t="shared" si="19"/>
        <v>0</v>
      </c>
      <c r="Q114" s="143">
        <f t="shared" si="19"/>
        <v>0</v>
      </c>
      <c r="R114" s="144">
        <f t="shared" si="19"/>
        <v>0</v>
      </c>
    </row>
    <row r="115" spans="1:18" ht="12.75">
      <c r="A115" s="162"/>
      <c r="B115" s="153"/>
      <c r="C115" s="153"/>
      <c r="D115" s="168" t="s">
        <v>888</v>
      </c>
      <c r="E115" s="143">
        <f>SUM(E17+E35+E38+E41+E46+E56+E59+E62+E64+E74+E77+E80+E82+E92+E95+E98+E100)</f>
        <v>730347</v>
      </c>
      <c r="F115" s="143">
        <f aca="true" t="shared" si="20" ref="F115:R115">SUM(F17+F35+F38+F41+F46+F56+F59+F62+F64+F74+F77+F80+F82+F92+F95+F98+F100)</f>
        <v>128834</v>
      </c>
      <c r="G115" s="143">
        <f t="shared" si="20"/>
        <v>5727</v>
      </c>
      <c r="H115" s="143">
        <f t="shared" si="20"/>
        <v>1696</v>
      </c>
      <c r="I115" s="143">
        <f t="shared" si="20"/>
        <v>1456</v>
      </c>
      <c r="J115" s="143">
        <f t="shared" si="20"/>
        <v>0</v>
      </c>
      <c r="K115" s="143">
        <f t="shared" si="20"/>
        <v>119955</v>
      </c>
      <c r="L115" s="143">
        <f t="shared" si="20"/>
        <v>0</v>
      </c>
      <c r="M115" s="143">
        <f t="shared" si="20"/>
        <v>0</v>
      </c>
      <c r="N115" s="143">
        <f t="shared" si="20"/>
        <v>0</v>
      </c>
      <c r="O115" s="143">
        <f t="shared" si="20"/>
        <v>0</v>
      </c>
      <c r="P115" s="143">
        <f t="shared" si="20"/>
        <v>0</v>
      </c>
      <c r="Q115" s="143">
        <f t="shared" si="20"/>
        <v>0</v>
      </c>
      <c r="R115" s="144">
        <f t="shared" si="20"/>
        <v>0</v>
      </c>
    </row>
    <row r="116" spans="1:18" ht="12.75">
      <c r="A116" s="162"/>
      <c r="B116" s="153"/>
      <c r="C116" s="153"/>
      <c r="D116" s="168" t="s">
        <v>947</v>
      </c>
      <c r="E116" s="143">
        <f>SUM(E18+E36+E39+E42+E47+E57+E60+E63+E65+E75+E78+E81+E83+E93+E96+E99+E101)</f>
        <v>738336</v>
      </c>
      <c r="F116" s="143">
        <f aca="true" t="shared" si="21" ref="F116:R116">SUM(F18+F36+F39+F42+F47+F57+F60+F63+F65+F75+F78+F81+F83+F93+F96+F99+F101)</f>
        <v>143499</v>
      </c>
      <c r="G116" s="143">
        <f t="shared" si="21"/>
        <v>9657</v>
      </c>
      <c r="H116" s="143">
        <f t="shared" si="21"/>
        <v>2824</v>
      </c>
      <c r="I116" s="143">
        <f t="shared" si="21"/>
        <v>2151</v>
      </c>
      <c r="J116" s="143">
        <f t="shared" si="21"/>
        <v>0</v>
      </c>
      <c r="K116" s="143">
        <f t="shared" si="21"/>
        <v>128867</v>
      </c>
      <c r="L116" s="143">
        <f t="shared" si="21"/>
        <v>0</v>
      </c>
      <c r="M116" s="143">
        <f t="shared" si="21"/>
        <v>0</v>
      </c>
      <c r="N116" s="143">
        <f t="shared" si="21"/>
        <v>0</v>
      </c>
      <c r="O116" s="143">
        <f t="shared" si="21"/>
        <v>0</v>
      </c>
      <c r="P116" s="143">
        <f t="shared" si="21"/>
        <v>0</v>
      </c>
      <c r="Q116" s="143">
        <f t="shared" si="21"/>
        <v>0</v>
      </c>
      <c r="R116" s="144">
        <f t="shared" si="21"/>
        <v>0</v>
      </c>
    </row>
    <row r="117" spans="1:18" ht="12.75">
      <c r="A117" s="162"/>
      <c r="B117" s="153"/>
      <c r="C117" s="153"/>
      <c r="D117" s="168"/>
      <c r="E117" s="143"/>
      <c r="F117" s="143"/>
      <c r="G117" s="143"/>
      <c r="H117" s="143"/>
      <c r="I117" s="143"/>
      <c r="J117" s="143"/>
      <c r="K117" s="143"/>
      <c r="L117" s="143"/>
      <c r="M117" s="143"/>
      <c r="N117" s="143"/>
      <c r="O117" s="143"/>
      <c r="P117" s="143"/>
      <c r="Q117" s="143"/>
      <c r="R117" s="144"/>
    </row>
    <row r="118" spans="1:18" ht="12.75">
      <c r="A118" s="1119" t="s">
        <v>737</v>
      </c>
      <c r="B118" s="1120"/>
      <c r="C118" s="1120"/>
      <c r="D118" s="168" t="s">
        <v>162</v>
      </c>
      <c r="E118" s="143">
        <f>SUM(E19+E22+E28+E43)</f>
        <v>4710</v>
      </c>
      <c r="F118" s="143">
        <f aca="true" t="shared" si="22" ref="F118:R118">SUM(F19+F22+F28+F43)</f>
        <v>25085</v>
      </c>
      <c r="G118" s="143">
        <f t="shared" si="22"/>
        <v>14004</v>
      </c>
      <c r="H118" s="143">
        <f t="shared" si="22"/>
        <v>3485</v>
      </c>
      <c r="I118" s="143">
        <f t="shared" si="22"/>
        <v>5880</v>
      </c>
      <c r="J118" s="143">
        <f t="shared" si="22"/>
        <v>0</v>
      </c>
      <c r="K118" s="143">
        <f t="shared" si="22"/>
        <v>0</v>
      </c>
      <c r="L118" s="143">
        <f t="shared" si="22"/>
        <v>0</v>
      </c>
      <c r="M118" s="143">
        <f t="shared" si="22"/>
        <v>0</v>
      </c>
      <c r="N118" s="143">
        <f t="shared" si="22"/>
        <v>716</v>
      </c>
      <c r="O118" s="143">
        <f t="shared" si="22"/>
        <v>1000</v>
      </c>
      <c r="P118" s="143">
        <f t="shared" si="22"/>
        <v>0</v>
      </c>
      <c r="Q118" s="143">
        <f t="shared" si="22"/>
        <v>0</v>
      </c>
      <c r="R118" s="144">
        <f t="shared" si="22"/>
        <v>0</v>
      </c>
    </row>
    <row r="119" spans="1:18" ht="12.75">
      <c r="A119" s="162"/>
      <c r="B119" s="153"/>
      <c r="C119" s="153"/>
      <c r="D119" s="168" t="s">
        <v>888</v>
      </c>
      <c r="E119" s="143">
        <f>SUM(E20+E23+E29+E44)</f>
        <v>5663</v>
      </c>
      <c r="F119" s="143">
        <f aca="true" t="shared" si="23" ref="F119:R119">SUM(F20+F23+F29+F44)</f>
        <v>24538</v>
      </c>
      <c r="G119" s="143">
        <f t="shared" si="23"/>
        <v>14004</v>
      </c>
      <c r="H119" s="143">
        <f t="shared" si="23"/>
        <v>3485</v>
      </c>
      <c r="I119" s="143">
        <f t="shared" si="23"/>
        <v>5333</v>
      </c>
      <c r="J119" s="143">
        <f t="shared" si="23"/>
        <v>0</v>
      </c>
      <c r="K119" s="143">
        <f t="shared" si="23"/>
        <v>0</v>
      </c>
      <c r="L119" s="143">
        <f t="shared" si="23"/>
        <v>0</v>
      </c>
      <c r="M119" s="143">
        <f t="shared" si="23"/>
        <v>0</v>
      </c>
      <c r="N119" s="143">
        <f t="shared" si="23"/>
        <v>716</v>
      </c>
      <c r="O119" s="143">
        <f t="shared" si="23"/>
        <v>1000</v>
      </c>
      <c r="P119" s="143">
        <f t="shared" si="23"/>
        <v>0</v>
      </c>
      <c r="Q119" s="143">
        <f t="shared" si="23"/>
        <v>0</v>
      </c>
      <c r="R119" s="144">
        <f t="shared" si="23"/>
        <v>0</v>
      </c>
    </row>
    <row r="120" spans="1:18" ht="12.75">
      <c r="A120" s="162"/>
      <c r="B120" s="153"/>
      <c r="C120" s="153"/>
      <c r="D120" s="168" t="s">
        <v>947</v>
      </c>
      <c r="E120" s="143">
        <f>SUM(E21+E24+E30+E45)</f>
        <v>3688</v>
      </c>
      <c r="F120" s="143">
        <f aca="true" t="shared" si="24" ref="F120:R120">SUM(F21+F24+F30+F45)</f>
        <v>22563</v>
      </c>
      <c r="G120" s="143">
        <f t="shared" si="24"/>
        <v>14004</v>
      </c>
      <c r="H120" s="143">
        <f t="shared" si="24"/>
        <v>3347</v>
      </c>
      <c r="I120" s="143">
        <f t="shared" si="24"/>
        <v>3496</v>
      </c>
      <c r="J120" s="143">
        <f t="shared" si="24"/>
        <v>0</v>
      </c>
      <c r="K120" s="143">
        <f t="shared" si="24"/>
        <v>0</v>
      </c>
      <c r="L120" s="143">
        <f t="shared" si="24"/>
        <v>0</v>
      </c>
      <c r="M120" s="143">
        <f t="shared" si="24"/>
        <v>0</v>
      </c>
      <c r="N120" s="143">
        <f t="shared" si="24"/>
        <v>716</v>
      </c>
      <c r="O120" s="143">
        <f t="shared" si="24"/>
        <v>1000</v>
      </c>
      <c r="P120" s="143">
        <f t="shared" si="24"/>
        <v>0</v>
      </c>
      <c r="Q120" s="143">
        <f t="shared" si="24"/>
        <v>0</v>
      </c>
      <c r="R120" s="144">
        <f t="shared" si="24"/>
        <v>0</v>
      </c>
    </row>
    <row r="121" spans="1:18" ht="12.75">
      <c r="A121" s="162"/>
      <c r="B121" s="153"/>
      <c r="C121" s="153"/>
      <c r="D121" s="168"/>
      <c r="E121" s="143"/>
      <c r="F121" s="143"/>
      <c r="G121" s="143"/>
      <c r="H121" s="143"/>
      <c r="I121" s="143"/>
      <c r="J121" s="143"/>
      <c r="K121" s="143"/>
      <c r="L121" s="143"/>
      <c r="M121" s="143"/>
      <c r="N121" s="143"/>
      <c r="O121" s="143"/>
      <c r="P121" s="143"/>
      <c r="Q121" s="143"/>
      <c r="R121" s="144"/>
    </row>
    <row r="122" spans="1:18" ht="12.75">
      <c r="A122" s="1119" t="s">
        <v>738</v>
      </c>
      <c r="B122" s="1120"/>
      <c r="C122" s="1120"/>
      <c r="D122" s="168" t="s">
        <v>162</v>
      </c>
      <c r="E122" s="143">
        <f>SUM(E10+E13+E25+E31+E52+E70+E88)</f>
        <v>14475</v>
      </c>
      <c r="F122" s="143">
        <f aca="true" t="shared" si="25" ref="F122:R122">SUM(F10+F13+F25+F31+F52+F70+F88)</f>
        <v>587519</v>
      </c>
      <c r="G122" s="143">
        <f t="shared" si="25"/>
        <v>345632</v>
      </c>
      <c r="H122" s="143">
        <f t="shared" si="25"/>
        <v>97978</v>
      </c>
      <c r="I122" s="143">
        <f t="shared" si="25"/>
        <v>124567</v>
      </c>
      <c r="J122" s="143">
        <f t="shared" si="25"/>
        <v>0</v>
      </c>
      <c r="K122" s="143">
        <f t="shared" si="25"/>
        <v>0</v>
      </c>
      <c r="L122" s="143">
        <f t="shared" si="25"/>
        <v>0</v>
      </c>
      <c r="M122" s="143">
        <f t="shared" si="25"/>
        <v>0</v>
      </c>
      <c r="N122" s="143">
        <f t="shared" si="25"/>
        <v>19342</v>
      </c>
      <c r="O122" s="143">
        <f t="shared" si="25"/>
        <v>0</v>
      </c>
      <c r="P122" s="143">
        <f t="shared" si="25"/>
        <v>0</v>
      </c>
      <c r="Q122" s="143">
        <f t="shared" si="25"/>
        <v>0</v>
      </c>
      <c r="R122" s="144">
        <f t="shared" si="25"/>
        <v>0</v>
      </c>
    </row>
    <row r="123" spans="1:18" ht="12.75">
      <c r="A123" s="738"/>
      <c r="B123" s="759"/>
      <c r="C123" s="760"/>
      <c r="D123" s="761" t="s">
        <v>888</v>
      </c>
      <c r="E123" s="762">
        <f>SUM(E11+E14+E26+E32+E53+E71+E89)</f>
        <v>26977</v>
      </c>
      <c r="F123" s="762">
        <f aca="true" t="shared" si="26" ref="F123:R123">SUM(F11+F14+F26+F32+F53+F71+F89)</f>
        <v>609615</v>
      </c>
      <c r="G123" s="762">
        <f t="shared" si="26"/>
        <v>358491</v>
      </c>
      <c r="H123" s="762">
        <f t="shared" si="26"/>
        <v>100482</v>
      </c>
      <c r="I123" s="762">
        <f t="shared" si="26"/>
        <v>129366</v>
      </c>
      <c r="J123" s="762">
        <f t="shared" si="26"/>
        <v>933</v>
      </c>
      <c r="K123" s="762">
        <f t="shared" si="26"/>
        <v>0</v>
      </c>
      <c r="L123" s="762">
        <f t="shared" si="26"/>
        <v>0</v>
      </c>
      <c r="M123" s="762">
        <f t="shared" si="26"/>
        <v>971</v>
      </c>
      <c r="N123" s="762">
        <f t="shared" si="26"/>
        <v>19372</v>
      </c>
      <c r="O123" s="762">
        <f t="shared" si="26"/>
        <v>0</v>
      </c>
      <c r="P123" s="762">
        <f t="shared" si="26"/>
        <v>0</v>
      </c>
      <c r="Q123" s="762">
        <f t="shared" si="26"/>
        <v>0</v>
      </c>
      <c r="R123" s="763">
        <f t="shared" si="26"/>
        <v>0</v>
      </c>
    </row>
    <row r="124" spans="1:18" ht="13.5" thickBot="1">
      <c r="A124" s="170"/>
      <c r="B124" s="233"/>
      <c r="C124" s="234"/>
      <c r="D124" s="918" t="s">
        <v>947</v>
      </c>
      <c r="E124" s="917">
        <f>SUM(E12+E15+E27+E33+E54+E72+E90)</f>
        <v>32396</v>
      </c>
      <c r="F124" s="917">
        <f aca="true" t="shared" si="27" ref="F124:R124">SUM(F12+F15+F27+F33+F54+F72+F90)</f>
        <v>608358</v>
      </c>
      <c r="G124" s="917">
        <f t="shared" si="27"/>
        <v>357063</v>
      </c>
      <c r="H124" s="917">
        <f t="shared" si="27"/>
        <v>99422</v>
      </c>
      <c r="I124" s="917">
        <f t="shared" si="27"/>
        <v>129746</v>
      </c>
      <c r="J124" s="917">
        <f t="shared" si="27"/>
        <v>1535</v>
      </c>
      <c r="K124" s="917">
        <f t="shared" si="27"/>
        <v>0</v>
      </c>
      <c r="L124" s="917">
        <f t="shared" si="27"/>
        <v>0</v>
      </c>
      <c r="M124" s="917">
        <f t="shared" si="27"/>
        <v>1220</v>
      </c>
      <c r="N124" s="917">
        <f t="shared" si="27"/>
        <v>19372</v>
      </c>
      <c r="O124" s="917">
        <f t="shared" si="27"/>
        <v>0</v>
      </c>
      <c r="P124" s="917">
        <f t="shared" si="27"/>
        <v>0</v>
      </c>
      <c r="Q124" s="917">
        <f t="shared" si="27"/>
        <v>0</v>
      </c>
      <c r="R124" s="919">
        <f t="shared" si="27"/>
        <v>0</v>
      </c>
    </row>
    <row r="126" ht="12.75">
      <c r="A126" s="242" t="s">
        <v>1134</v>
      </c>
    </row>
    <row r="127" ht="12.75">
      <c r="A127" s="1" t="s">
        <v>1133</v>
      </c>
    </row>
    <row r="128" ht="12.75">
      <c r="A128" s="1" t="s">
        <v>1132</v>
      </c>
    </row>
    <row r="129" ht="12.75">
      <c r="A129" s="1" t="s">
        <v>1131</v>
      </c>
    </row>
  </sheetData>
  <sheetProtection selectLockedCells="1" selectUnlockedCells="1"/>
  <mergeCells count="34">
    <mergeCell ref="M7:M8"/>
    <mergeCell ref="L7:L8"/>
    <mergeCell ref="G7:G8"/>
    <mergeCell ref="H7:H8"/>
    <mergeCell ref="I7:I8"/>
    <mergeCell ref="J7:J8"/>
    <mergeCell ref="R7:R8"/>
    <mergeCell ref="B1:C1"/>
    <mergeCell ref="B4:P4"/>
    <mergeCell ref="E6:E8"/>
    <mergeCell ref="F6:F8"/>
    <mergeCell ref="G6:L6"/>
    <mergeCell ref="P7:P8"/>
    <mergeCell ref="B3:R3"/>
    <mergeCell ref="M6:P6"/>
    <mergeCell ref="K7:K8"/>
    <mergeCell ref="A51:C51"/>
    <mergeCell ref="A9:C9"/>
    <mergeCell ref="A66:C66"/>
    <mergeCell ref="A69:C69"/>
    <mergeCell ref="Q7:Q8"/>
    <mergeCell ref="O7:O8"/>
    <mergeCell ref="A48:C48"/>
    <mergeCell ref="A6:D8"/>
    <mergeCell ref="Q6:R6"/>
    <mergeCell ref="N7:N8"/>
    <mergeCell ref="A84:C84"/>
    <mergeCell ref="A114:C114"/>
    <mergeCell ref="A118:C118"/>
    <mergeCell ref="A122:C122"/>
    <mergeCell ref="A87:C87"/>
    <mergeCell ref="A102:C102"/>
    <mergeCell ref="A106:C106"/>
    <mergeCell ref="A110:C110"/>
  </mergeCells>
  <printOptions horizontalCentered="1"/>
  <pageMargins left="0.2362204724409449" right="0.2362204724409449" top="0.6420833333333333" bottom="0.4504166666666667" header="0.31496062992125984" footer="0.31496062992125984"/>
  <pageSetup firstPageNumber="1" useFirstPageNumber="1" horizontalDpi="600" verticalDpi="600" orientation="landscape" paperSize="9" scale="46" r:id="rId1"/>
  <headerFooter alignWithMargins="0">
    <oddHeader xml:space="preserve">&amp;L 5. melléklet </oddHeader>
  </headerFooter>
  <rowBreaks count="1" manualBreakCount="1">
    <brk id="86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G141"/>
  <sheetViews>
    <sheetView view="pageLayout" zoomScaleSheetLayoutView="100" workbookViewId="0" topLeftCell="A1">
      <selection activeCell="R137" sqref="R137"/>
    </sheetView>
  </sheetViews>
  <sheetFormatPr defaultColWidth="9.00390625" defaultRowHeight="12.75"/>
  <cols>
    <col min="1" max="1" width="20.25390625" style="873" customWidth="1"/>
    <col min="2" max="2" width="12.625" style="873" customWidth="1"/>
    <col min="3" max="3" width="10.25390625" style="873" customWidth="1"/>
    <col min="4" max="4" width="12.75390625" style="882" customWidth="1"/>
    <col min="5" max="6" width="9.125" style="873" customWidth="1"/>
    <col min="7" max="7" width="10.125" style="873" customWidth="1"/>
    <col min="8" max="8" width="9.00390625" style="873" customWidth="1"/>
    <col min="9" max="9" width="8.25390625" style="873" customWidth="1"/>
    <col min="10" max="10" width="14.00390625" style="873" customWidth="1"/>
    <col min="11" max="11" width="8.75390625" style="873" customWidth="1"/>
    <col min="12" max="12" width="12.00390625" style="873" customWidth="1"/>
    <col min="13" max="13" width="10.75390625" style="873" customWidth="1"/>
    <col min="14" max="14" width="9.00390625" style="873" customWidth="1"/>
    <col min="15" max="15" width="11.625" style="873" customWidth="1"/>
    <col min="16" max="16" width="9.25390625" style="873" customWidth="1"/>
    <col min="17" max="17" width="11.125" style="873" customWidth="1"/>
    <col min="18" max="18" width="20.25390625" style="873" customWidth="1"/>
    <col min="19" max="19" width="12.625" style="873" customWidth="1"/>
    <col min="20" max="20" width="10.75390625" style="873" customWidth="1"/>
    <col min="21" max="21" width="10.125" style="875" customWidth="1"/>
    <col min="22" max="22" width="10.125" style="873" customWidth="1"/>
    <col min="23" max="23" width="9.25390625" style="873" customWidth="1"/>
    <col min="24" max="24" width="17.125" style="873" customWidth="1"/>
    <col min="25" max="25" width="9.25390625" style="873" customWidth="1"/>
    <col min="26" max="26" width="13.625" style="873" customWidth="1"/>
    <col min="27" max="27" width="9.375" style="873" customWidth="1"/>
    <col min="28" max="29" width="9.25390625" style="873" customWidth="1"/>
    <col min="30" max="30" width="11.125" style="873" customWidth="1"/>
    <col min="31" max="32" width="0" style="873" hidden="1" customWidth="1"/>
    <col min="33" max="33" width="9.25390625" style="873" customWidth="1"/>
    <col min="34" max="16384" width="9.125" style="873" customWidth="1"/>
  </cols>
  <sheetData>
    <row r="1" spans="1:30" ht="11.25">
      <c r="A1" s="1154" t="s">
        <v>899</v>
      </c>
      <c r="B1" s="1155"/>
      <c r="C1" s="1155"/>
      <c r="D1" s="1155"/>
      <c r="E1" s="1155"/>
      <c r="F1" s="1155"/>
      <c r="G1" s="1155"/>
      <c r="H1" s="1155"/>
      <c r="I1" s="1155"/>
      <c r="J1" s="1155"/>
      <c r="K1" s="1155"/>
      <c r="L1" s="1155"/>
      <c r="M1" s="1155"/>
      <c r="N1" s="1155"/>
      <c r="O1" s="1155"/>
      <c r="P1" s="1155"/>
      <c r="Q1" s="1156"/>
      <c r="R1" s="872"/>
      <c r="S1" s="872"/>
      <c r="T1" s="872"/>
      <c r="U1" s="1152" t="s">
        <v>900</v>
      </c>
      <c r="V1" s="1152"/>
      <c r="W1" s="1152"/>
      <c r="X1" s="1152"/>
      <c r="Y1" s="1152"/>
      <c r="Z1" s="1152"/>
      <c r="AA1" s="1152"/>
      <c r="AB1" s="1152"/>
      <c r="AC1" s="1152"/>
      <c r="AD1" s="1152"/>
    </row>
    <row r="2" spans="1:30" ht="12" thickBot="1">
      <c r="A2" s="872"/>
      <c r="B2" s="872"/>
      <c r="C2" s="872"/>
      <c r="D2" s="872"/>
      <c r="E2" s="872"/>
      <c r="F2" s="872"/>
      <c r="G2" s="872"/>
      <c r="H2" s="872"/>
      <c r="I2" s="872"/>
      <c r="J2" s="872"/>
      <c r="K2" s="872"/>
      <c r="L2" s="872"/>
      <c r="M2" s="872"/>
      <c r="N2" s="872"/>
      <c r="O2" s="872"/>
      <c r="P2" s="872"/>
      <c r="Q2" s="872"/>
      <c r="R2" s="872"/>
      <c r="S2" s="872"/>
      <c r="T2" s="872"/>
      <c r="U2" s="871"/>
      <c r="V2" s="871"/>
      <c r="W2" s="871"/>
      <c r="X2" s="871"/>
      <c r="Y2" s="871"/>
      <c r="Z2" s="871"/>
      <c r="AA2" s="871"/>
      <c r="AB2" s="871"/>
      <c r="AC2" s="871"/>
      <c r="AD2" s="871"/>
    </row>
    <row r="3" spans="1:33" ht="12.75" customHeight="1">
      <c r="A3" s="1150" t="s">
        <v>901</v>
      </c>
      <c r="B3" s="1145" t="s">
        <v>902</v>
      </c>
      <c r="C3" s="1145"/>
      <c r="D3" s="1153" t="s">
        <v>101</v>
      </c>
      <c r="E3" s="1153"/>
      <c r="F3" s="1153"/>
      <c r="G3" s="1145" t="s">
        <v>82</v>
      </c>
      <c r="H3" s="1145"/>
      <c r="I3" s="1145"/>
      <c r="J3" s="1145"/>
      <c r="K3" s="1145"/>
      <c r="L3" s="1145" t="s">
        <v>903</v>
      </c>
      <c r="M3" s="1145" t="s">
        <v>505</v>
      </c>
      <c r="N3" s="1145"/>
      <c r="O3" s="891"/>
      <c r="P3" s="1145" t="s">
        <v>904</v>
      </c>
      <c r="Q3" s="1148" t="s">
        <v>905</v>
      </c>
      <c r="R3" s="1150" t="s">
        <v>901</v>
      </c>
      <c r="S3" s="1145" t="s">
        <v>902</v>
      </c>
      <c r="T3" s="1145"/>
      <c r="U3" s="1147" t="s">
        <v>579</v>
      </c>
      <c r="V3" s="1147"/>
      <c r="W3" s="1147"/>
      <c r="X3" s="1147"/>
      <c r="Y3" s="1147"/>
      <c r="Z3" s="892"/>
      <c r="AA3" s="892"/>
      <c r="AB3" s="1147" t="s">
        <v>580</v>
      </c>
      <c r="AC3" s="1147"/>
      <c r="AD3" s="1148" t="s">
        <v>706</v>
      </c>
      <c r="AE3" s="875"/>
      <c r="AF3" s="875"/>
      <c r="AG3" s="875"/>
    </row>
    <row r="4" spans="1:33" ht="49.5" customHeight="1">
      <c r="A4" s="1151"/>
      <c r="B4" s="1146"/>
      <c r="C4" s="1146"/>
      <c r="D4" s="876" t="s">
        <v>906</v>
      </c>
      <c r="E4" s="874" t="s">
        <v>104</v>
      </c>
      <c r="F4" s="874" t="s">
        <v>707</v>
      </c>
      <c r="G4" s="874" t="s">
        <v>907</v>
      </c>
      <c r="H4" s="874" t="s">
        <v>908</v>
      </c>
      <c r="I4" s="874" t="s">
        <v>909</v>
      </c>
      <c r="J4" s="874" t="s">
        <v>910</v>
      </c>
      <c r="K4" s="874" t="s">
        <v>911</v>
      </c>
      <c r="L4" s="1146"/>
      <c r="M4" s="874" t="s">
        <v>912</v>
      </c>
      <c r="N4" s="874" t="s">
        <v>708</v>
      </c>
      <c r="O4" s="874" t="s">
        <v>913</v>
      </c>
      <c r="P4" s="1146"/>
      <c r="Q4" s="1149"/>
      <c r="R4" s="1151"/>
      <c r="S4" s="1146"/>
      <c r="T4" s="1146"/>
      <c r="U4" s="874" t="s">
        <v>511</v>
      </c>
      <c r="V4" s="874" t="s">
        <v>709</v>
      </c>
      <c r="W4" s="874" t="s">
        <v>914</v>
      </c>
      <c r="X4" s="874" t="s">
        <v>915</v>
      </c>
      <c r="Y4" s="874" t="s">
        <v>916</v>
      </c>
      <c r="Z4" s="874" t="s">
        <v>917</v>
      </c>
      <c r="AA4" s="874" t="s">
        <v>963</v>
      </c>
      <c r="AB4" s="874" t="s">
        <v>523</v>
      </c>
      <c r="AC4" s="874" t="s">
        <v>524</v>
      </c>
      <c r="AD4" s="1149"/>
      <c r="AE4" s="875"/>
      <c r="AF4" s="877" t="s">
        <v>918</v>
      </c>
      <c r="AG4" s="875"/>
    </row>
    <row r="5" spans="1:33" ht="11.25">
      <c r="A5" s="1141" t="s">
        <v>9</v>
      </c>
      <c r="B5" s="878" t="s">
        <v>590</v>
      </c>
      <c r="C5" s="879" t="s">
        <v>162</v>
      </c>
      <c r="D5" s="880">
        <v>2244</v>
      </c>
      <c r="E5" s="881">
        <v>5729</v>
      </c>
      <c r="F5" s="881">
        <v>2153</v>
      </c>
      <c r="G5" s="881">
        <v>0</v>
      </c>
      <c r="H5" s="881">
        <v>0</v>
      </c>
      <c r="I5" s="881">
        <v>0</v>
      </c>
      <c r="J5" s="881">
        <v>0</v>
      </c>
      <c r="K5" s="881">
        <v>0</v>
      </c>
      <c r="L5" s="881">
        <v>0</v>
      </c>
      <c r="M5" s="881">
        <v>0</v>
      </c>
      <c r="N5" s="881">
        <v>0</v>
      </c>
      <c r="O5" s="881">
        <v>77614</v>
      </c>
      <c r="P5" s="881">
        <v>10126</v>
      </c>
      <c r="Q5" s="893">
        <v>87740</v>
      </c>
      <c r="R5" s="1141" t="s">
        <v>9</v>
      </c>
      <c r="S5" s="878" t="s">
        <v>590</v>
      </c>
      <c r="T5" s="879" t="s">
        <v>162</v>
      </c>
      <c r="U5" s="881">
        <v>54556</v>
      </c>
      <c r="V5" s="881">
        <v>14593</v>
      </c>
      <c r="W5" s="881">
        <v>17071</v>
      </c>
      <c r="X5" s="881">
        <v>7238</v>
      </c>
      <c r="Y5" s="881">
        <v>0</v>
      </c>
      <c r="Z5" s="881">
        <v>0</v>
      </c>
      <c r="AA5" s="881"/>
      <c r="AB5" s="881">
        <v>1520</v>
      </c>
      <c r="AC5" s="881">
        <v>0</v>
      </c>
      <c r="AD5" s="893">
        <v>87740</v>
      </c>
      <c r="AE5" s="875"/>
      <c r="AF5" s="875">
        <v>87740</v>
      </c>
      <c r="AG5" s="875"/>
    </row>
    <row r="6" spans="1:33" ht="11.25">
      <c r="A6" s="1141"/>
      <c r="B6" s="878" t="s">
        <v>590</v>
      </c>
      <c r="C6" s="879" t="s">
        <v>919</v>
      </c>
      <c r="D6" s="880">
        <v>2244</v>
      </c>
      <c r="E6" s="881">
        <v>5729</v>
      </c>
      <c r="F6" s="881">
        <v>2153</v>
      </c>
      <c r="G6" s="881">
        <v>0</v>
      </c>
      <c r="H6" s="881">
        <v>0</v>
      </c>
      <c r="I6" s="881">
        <v>0</v>
      </c>
      <c r="J6" s="881">
        <v>0</v>
      </c>
      <c r="K6" s="881">
        <v>0</v>
      </c>
      <c r="L6" s="881">
        <v>0</v>
      </c>
      <c r="M6" s="881">
        <v>561</v>
      </c>
      <c r="N6" s="881">
        <v>0</v>
      </c>
      <c r="O6" s="881">
        <v>77931</v>
      </c>
      <c r="P6" s="881">
        <v>10687</v>
      </c>
      <c r="Q6" s="893">
        <v>88618</v>
      </c>
      <c r="R6" s="1141"/>
      <c r="S6" s="878" t="s">
        <v>590</v>
      </c>
      <c r="T6" s="879" t="s">
        <v>919</v>
      </c>
      <c r="U6" s="881">
        <v>55030</v>
      </c>
      <c r="V6" s="881">
        <v>14719</v>
      </c>
      <c r="W6" s="881">
        <v>17349</v>
      </c>
      <c r="X6" s="881">
        <v>7238</v>
      </c>
      <c r="Y6" s="881">
        <v>0</v>
      </c>
      <c r="Z6" s="881">
        <v>0</v>
      </c>
      <c r="AA6" s="881"/>
      <c r="AB6" s="881">
        <v>1520</v>
      </c>
      <c r="AC6" s="881">
        <v>0</v>
      </c>
      <c r="AD6" s="893">
        <v>88618</v>
      </c>
      <c r="AE6" s="875"/>
      <c r="AF6" s="875"/>
      <c r="AG6" s="875"/>
    </row>
    <row r="7" spans="1:33" ht="15" customHeight="1">
      <c r="A7" s="1141"/>
      <c r="B7" s="878" t="s">
        <v>590</v>
      </c>
      <c r="C7" s="879" t="s">
        <v>920</v>
      </c>
      <c r="D7" s="880">
        <v>2244</v>
      </c>
      <c r="E7" s="881">
        <v>5729</v>
      </c>
      <c r="F7" s="881">
        <v>2834</v>
      </c>
      <c r="G7" s="881">
        <v>0</v>
      </c>
      <c r="H7" s="881">
        <v>0</v>
      </c>
      <c r="I7" s="881">
        <v>0</v>
      </c>
      <c r="J7" s="881">
        <v>0</v>
      </c>
      <c r="K7" s="881">
        <v>0</v>
      </c>
      <c r="L7" s="881">
        <v>0</v>
      </c>
      <c r="M7" s="881">
        <v>561</v>
      </c>
      <c r="N7" s="881">
        <v>0</v>
      </c>
      <c r="O7" s="881">
        <v>80522</v>
      </c>
      <c r="P7" s="881">
        <v>11368</v>
      </c>
      <c r="Q7" s="893">
        <v>91890</v>
      </c>
      <c r="R7" s="1141"/>
      <c r="S7" s="878" t="s">
        <v>590</v>
      </c>
      <c r="T7" s="879" t="s">
        <v>920</v>
      </c>
      <c r="U7" s="881">
        <v>55741</v>
      </c>
      <c r="V7" s="881">
        <v>14910</v>
      </c>
      <c r="W7" s="881">
        <v>18049</v>
      </c>
      <c r="X7" s="881">
        <v>7238</v>
      </c>
      <c r="Y7" s="881">
        <v>0</v>
      </c>
      <c r="Z7" s="881">
        <v>0</v>
      </c>
      <c r="AA7" s="881"/>
      <c r="AB7" s="881">
        <v>3190</v>
      </c>
      <c r="AC7" s="881">
        <v>0</v>
      </c>
      <c r="AD7" s="893">
        <v>91890</v>
      </c>
      <c r="AE7" s="875"/>
      <c r="AF7" s="875"/>
      <c r="AG7" s="875"/>
    </row>
    <row r="8" spans="1:33" ht="15" customHeight="1">
      <c r="A8" s="1141"/>
      <c r="B8" s="878" t="s">
        <v>590</v>
      </c>
      <c r="C8" s="879" t="s">
        <v>921</v>
      </c>
      <c r="D8" s="880">
        <v>2244</v>
      </c>
      <c r="E8" s="881">
        <v>5729</v>
      </c>
      <c r="F8" s="881">
        <v>2834</v>
      </c>
      <c r="G8" s="881">
        <v>0</v>
      </c>
      <c r="H8" s="881">
        <v>0</v>
      </c>
      <c r="I8" s="881">
        <v>0</v>
      </c>
      <c r="J8" s="881">
        <v>0</v>
      </c>
      <c r="K8" s="881">
        <v>0</v>
      </c>
      <c r="L8" s="881">
        <v>0</v>
      </c>
      <c r="M8" s="881">
        <v>561</v>
      </c>
      <c r="N8" s="881">
        <v>0</v>
      </c>
      <c r="O8" s="881">
        <v>80522</v>
      </c>
      <c r="P8" s="881">
        <v>11368</v>
      </c>
      <c r="Q8" s="893">
        <v>91890</v>
      </c>
      <c r="R8" s="1141"/>
      <c r="S8" s="878" t="s">
        <v>590</v>
      </c>
      <c r="T8" s="879" t="s">
        <v>921</v>
      </c>
      <c r="U8" s="881">
        <v>55741</v>
      </c>
      <c r="V8" s="881">
        <v>14910</v>
      </c>
      <c r="W8" s="881">
        <v>18049</v>
      </c>
      <c r="X8" s="881">
        <v>7238</v>
      </c>
      <c r="Y8" s="881">
        <v>0</v>
      </c>
      <c r="Z8" s="881">
        <v>0</v>
      </c>
      <c r="AA8" s="881"/>
      <c r="AB8" s="881">
        <v>3190</v>
      </c>
      <c r="AC8" s="881">
        <v>0</v>
      </c>
      <c r="AD8" s="893">
        <v>91890</v>
      </c>
      <c r="AE8" s="875"/>
      <c r="AF8" s="875"/>
      <c r="AG8" s="875"/>
    </row>
    <row r="9" spans="1:33" ht="15" customHeight="1">
      <c r="A9" s="1141"/>
      <c r="B9" s="878" t="s">
        <v>590</v>
      </c>
      <c r="C9" s="879" t="s">
        <v>948</v>
      </c>
      <c r="D9" s="880">
        <v>1394</v>
      </c>
      <c r="E9" s="881">
        <v>6579</v>
      </c>
      <c r="F9" s="881">
        <v>2834</v>
      </c>
      <c r="G9" s="881">
        <v>0</v>
      </c>
      <c r="H9" s="881">
        <v>0</v>
      </c>
      <c r="I9" s="881">
        <v>0</v>
      </c>
      <c r="J9" s="881">
        <v>0</v>
      </c>
      <c r="K9" s="881">
        <v>0</v>
      </c>
      <c r="L9" s="881">
        <v>0</v>
      </c>
      <c r="M9" s="881">
        <v>561</v>
      </c>
      <c r="N9" s="881">
        <v>0</v>
      </c>
      <c r="O9" s="881">
        <f>AD9-P9</f>
        <v>81463</v>
      </c>
      <c r="P9" s="881">
        <v>11368</v>
      </c>
      <c r="Q9" s="893">
        <f>SUM(D9:O9)</f>
        <v>92831</v>
      </c>
      <c r="R9" s="1141"/>
      <c r="S9" s="878" t="s">
        <v>590</v>
      </c>
      <c r="T9" s="879" t="s">
        <v>948</v>
      </c>
      <c r="U9" s="881">
        <v>56285</v>
      </c>
      <c r="V9" s="881">
        <v>15057</v>
      </c>
      <c r="W9" s="881">
        <v>18299</v>
      </c>
      <c r="X9" s="881">
        <v>7238</v>
      </c>
      <c r="Y9" s="881">
        <v>0</v>
      </c>
      <c r="Z9" s="881">
        <v>0</v>
      </c>
      <c r="AA9" s="881"/>
      <c r="AB9" s="881">
        <v>3190</v>
      </c>
      <c r="AC9" s="881">
        <v>0</v>
      </c>
      <c r="AD9" s="893">
        <f>SUM(U9:AC9)-X9</f>
        <v>92831</v>
      </c>
      <c r="AE9" s="875"/>
      <c r="AF9" s="875"/>
      <c r="AG9" s="875"/>
    </row>
    <row r="10" spans="1:33" ht="12.75" customHeight="1">
      <c r="A10" s="1144" t="s">
        <v>10</v>
      </c>
      <c r="B10" s="878" t="s">
        <v>590</v>
      </c>
      <c r="C10" s="879" t="s">
        <v>162</v>
      </c>
      <c r="D10" s="880">
        <v>121</v>
      </c>
      <c r="E10" s="881">
        <v>1527</v>
      </c>
      <c r="F10" s="881">
        <v>445</v>
      </c>
      <c r="G10" s="881">
        <v>0</v>
      </c>
      <c r="H10" s="881">
        <v>0</v>
      </c>
      <c r="I10" s="881">
        <v>0</v>
      </c>
      <c r="J10" s="881">
        <v>0</v>
      </c>
      <c r="K10" s="881">
        <v>0</v>
      </c>
      <c r="L10" s="881">
        <v>0</v>
      </c>
      <c r="M10" s="881">
        <v>0</v>
      </c>
      <c r="N10" s="881">
        <v>0</v>
      </c>
      <c r="O10" s="881">
        <v>29744</v>
      </c>
      <c r="P10" s="881">
        <v>2093</v>
      </c>
      <c r="Q10" s="893">
        <v>31837</v>
      </c>
      <c r="R10" s="1142" t="s">
        <v>10</v>
      </c>
      <c r="S10" s="878" t="s">
        <v>590</v>
      </c>
      <c r="T10" s="879" t="s">
        <v>162</v>
      </c>
      <c r="U10" s="881">
        <v>19133</v>
      </c>
      <c r="V10" s="881">
        <v>5092</v>
      </c>
      <c r="W10" s="881">
        <v>7162</v>
      </c>
      <c r="X10" s="881">
        <v>3036</v>
      </c>
      <c r="Y10" s="881">
        <v>0</v>
      </c>
      <c r="Z10" s="881">
        <v>0</v>
      </c>
      <c r="AA10" s="881"/>
      <c r="AB10" s="881">
        <v>0</v>
      </c>
      <c r="AC10" s="881">
        <v>450</v>
      </c>
      <c r="AD10" s="893">
        <v>31837</v>
      </c>
      <c r="AE10" s="875"/>
      <c r="AF10" s="875">
        <v>31837</v>
      </c>
      <c r="AG10" s="875"/>
    </row>
    <row r="11" spans="1:33" ht="11.25">
      <c r="A11" s="1144"/>
      <c r="B11" s="878" t="s">
        <v>590</v>
      </c>
      <c r="C11" s="879" t="s">
        <v>919</v>
      </c>
      <c r="D11" s="880">
        <v>121</v>
      </c>
      <c r="E11" s="881">
        <v>1527</v>
      </c>
      <c r="F11" s="881">
        <v>445</v>
      </c>
      <c r="G11" s="881">
        <v>0</v>
      </c>
      <c r="H11" s="881">
        <v>0</v>
      </c>
      <c r="I11" s="881">
        <v>0</v>
      </c>
      <c r="J11" s="881">
        <v>0</v>
      </c>
      <c r="K11" s="881">
        <v>65</v>
      </c>
      <c r="L11" s="881">
        <v>0</v>
      </c>
      <c r="M11" s="881">
        <v>66</v>
      </c>
      <c r="N11" s="881">
        <v>0</v>
      </c>
      <c r="O11" s="881">
        <v>29749</v>
      </c>
      <c r="P11" s="881">
        <v>2224</v>
      </c>
      <c r="Q11" s="893">
        <v>31973</v>
      </c>
      <c r="R11" s="1142"/>
      <c r="S11" s="878" t="s">
        <v>590</v>
      </c>
      <c r="T11" s="879" t="s">
        <v>919</v>
      </c>
      <c r="U11" s="881">
        <v>19137</v>
      </c>
      <c r="V11" s="881">
        <v>5093</v>
      </c>
      <c r="W11" s="881">
        <v>7293</v>
      </c>
      <c r="X11" s="881">
        <v>3036</v>
      </c>
      <c r="Y11" s="881">
        <v>0</v>
      </c>
      <c r="Z11" s="881">
        <v>0</v>
      </c>
      <c r="AA11" s="881"/>
      <c r="AB11" s="881">
        <v>0</v>
      </c>
      <c r="AC11" s="881">
        <v>450</v>
      </c>
      <c r="AD11" s="893">
        <v>31973</v>
      </c>
      <c r="AE11" s="875"/>
      <c r="AF11" s="875"/>
      <c r="AG11" s="875"/>
    </row>
    <row r="12" spans="1:33" ht="11.25">
      <c r="A12" s="1144"/>
      <c r="B12" s="878" t="s">
        <v>590</v>
      </c>
      <c r="C12" s="879" t="s">
        <v>920</v>
      </c>
      <c r="D12" s="880">
        <v>121</v>
      </c>
      <c r="E12" s="881">
        <v>1527</v>
      </c>
      <c r="F12" s="881">
        <v>445</v>
      </c>
      <c r="G12" s="881">
        <v>0</v>
      </c>
      <c r="H12" s="881">
        <v>0</v>
      </c>
      <c r="I12" s="881">
        <v>0</v>
      </c>
      <c r="J12" s="881">
        <v>0</v>
      </c>
      <c r="K12" s="881">
        <v>65</v>
      </c>
      <c r="L12" s="881">
        <v>0</v>
      </c>
      <c r="M12" s="881">
        <v>66</v>
      </c>
      <c r="N12" s="909"/>
      <c r="O12" s="881">
        <v>30520</v>
      </c>
      <c r="P12" s="881">
        <v>2224</v>
      </c>
      <c r="Q12" s="893">
        <v>32744</v>
      </c>
      <c r="R12" s="1142"/>
      <c r="S12" s="878" t="s">
        <v>590</v>
      </c>
      <c r="T12" s="879" t="s">
        <v>920</v>
      </c>
      <c r="U12" s="881">
        <v>19281</v>
      </c>
      <c r="V12" s="881">
        <v>5132</v>
      </c>
      <c r="W12" s="881">
        <v>7467</v>
      </c>
      <c r="X12" s="881">
        <v>3036</v>
      </c>
      <c r="Y12" s="881">
        <v>0</v>
      </c>
      <c r="Z12" s="881">
        <v>0</v>
      </c>
      <c r="AA12" s="881"/>
      <c r="AB12" s="881">
        <v>414</v>
      </c>
      <c r="AC12" s="881">
        <v>450</v>
      </c>
      <c r="AD12" s="893">
        <v>32744</v>
      </c>
      <c r="AE12" s="875"/>
      <c r="AF12" s="875"/>
      <c r="AG12" s="875"/>
    </row>
    <row r="13" spans="1:33" ht="11.25">
      <c r="A13" s="1144"/>
      <c r="B13" s="878" t="s">
        <v>590</v>
      </c>
      <c r="C13" s="879" t="s">
        <v>921</v>
      </c>
      <c r="D13" s="880">
        <v>79</v>
      </c>
      <c r="E13" s="881">
        <v>831</v>
      </c>
      <c r="F13" s="881">
        <v>246</v>
      </c>
      <c r="G13" s="881">
        <v>0</v>
      </c>
      <c r="H13" s="881">
        <v>0</v>
      </c>
      <c r="I13" s="881">
        <v>0</v>
      </c>
      <c r="J13" s="881">
        <v>0</v>
      </c>
      <c r="K13" s="881">
        <v>65</v>
      </c>
      <c r="L13" s="881">
        <v>0</v>
      </c>
      <c r="M13" s="881">
        <v>66</v>
      </c>
      <c r="N13" s="881">
        <v>0</v>
      </c>
      <c r="O13" s="881">
        <v>17765</v>
      </c>
      <c r="P13" s="881">
        <v>1287</v>
      </c>
      <c r="Q13" s="893">
        <v>19052</v>
      </c>
      <c r="R13" s="1142"/>
      <c r="S13" s="878" t="s">
        <v>590</v>
      </c>
      <c r="T13" s="879" t="s">
        <v>921</v>
      </c>
      <c r="U13" s="881">
        <v>11968</v>
      </c>
      <c r="V13" s="881">
        <v>3042</v>
      </c>
      <c r="W13" s="881">
        <v>4042</v>
      </c>
      <c r="X13" s="881">
        <v>1749</v>
      </c>
      <c r="Y13" s="881">
        <v>0</v>
      </c>
      <c r="Z13" s="881">
        <v>0</v>
      </c>
      <c r="AA13" s="881"/>
      <c r="AB13" s="881">
        <v>0</v>
      </c>
      <c r="AC13" s="881">
        <v>0</v>
      </c>
      <c r="AD13" s="893">
        <v>19052</v>
      </c>
      <c r="AE13" s="875"/>
      <c r="AF13" s="875"/>
      <c r="AG13" s="875"/>
    </row>
    <row r="14" spans="1:33" ht="11.25">
      <c r="A14" s="1144"/>
      <c r="B14" s="878" t="s">
        <v>590</v>
      </c>
      <c r="C14" s="879" t="s">
        <v>948</v>
      </c>
      <c r="D14" s="880">
        <v>79</v>
      </c>
      <c r="E14" s="881">
        <v>831</v>
      </c>
      <c r="F14" s="881">
        <v>246</v>
      </c>
      <c r="G14" s="881">
        <v>0</v>
      </c>
      <c r="H14" s="881">
        <v>0</v>
      </c>
      <c r="I14" s="881">
        <v>0</v>
      </c>
      <c r="J14" s="881">
        <v>0</v>
      </c>
      <c r="K14" s="881">
        <v>65</v>
      </c>
      <c r="L14" s="881">
        <v>0</v>
      </c>
      <c r="M14" s="881">
        <v>66</v>
      </c>
      <c r="N14" s="881">
        <v>0</v>
      </c>
      <c r="O14" s="881">
        <v>17765</v>
      </c>
      <c r="P14" s="881">
        <v>1287</v>
      </c>
      <c r="Q14" s="893">
        <f>SUM(D14:O14)</f>
        <v>19052</v>
      </c>
      <c r="R14" s="1142"/>
      <c r="S14" s="878" t="s">
        <v>590</v>
      </c>
      <c r="T14" s="879" t="s">
        <v>948</v>
      </c>
      <c r="U14" s="881">
        <v>11968</v>
      </c>
      <c r="V14" s="881">
        <v>3042</v>
      </c>
      <c r="W14" s="881">
        <v>4042</v>
      </c>
      <c r="X14" s="881">
        <v>1749</v>
      </c>
      <c r="Y14" s="881">
        <v>0</v>
      </c>
      <c r="Z14" s="881">
        <v>0</v>
      </c>
      <c r="AA14" s="881"/>
      <c r="AB14" s="881">
        <v>0</v>
      </c>
      <c r="AC14" s="881">
        <v>0</v>
      </c>
      <c r="AD14" s="893">
        <v>19052</v>
      </c>
      <c r="AE14" s="875"/>
      <c r="AF14" s="875"/>
      <c r="AG14" s="875"/>
    </row>
    <row r="15" spans="1:33" ht="12.75" customHeight="1">
      <c r="A15" s="1141" t="s">
        <v>11</v>
      </c>
      <c r="B15" s="878" t="s">
        <v>590</v>
      </c>
      <c r="C15" s="879" t="s">
        <v>162</v>
      </c>
      <c r="D15" s="880">
        <v>348</v>
      </c>
      <c r="E15" s="881">
        <v>4580</v>
      </c>
      <c r="F15" s="881">
        <v>1330</v>
      </c>
      <c r="G15" s="881">
        <v>0</v>
      </c>
      <c r="H15" s="881">
        <v>0</v>
      </c>
      <c r="I15" s="881">
        <v>0</v>
      </c>
      <c r="J15" s="881">
        <v>0</v>
      </c>
      <c r="K15" s="881"/>
      <c r="L15" s="881">
        <v>0</v>
      </c>
      <c r="M15" s="881">
        <v>0</v>
      </c>
      <c r="N15" s="881">
        <v>0</v>
      </c>
      <c r="O15" s="881">
        <v>62357</v>
      </c>
      <c r="P15" s="881">
        <v>6258</v>
      </c>
      <c r="Q15" s="893">
        <v>68615</v>
      </c>
      <c r="R15" s="1142" t="s">
        <v>11</v>
      </c>
      <c r="S15" s="878" t="s">
        <v>590</v>
      </c>
      <c r="T15" s="879" t="s">
        <v>162</v>
      </c>
      <c r="U15" s="881">
        <v>43561</v>
      </c>
      <c r="V15" s="881">
        <v>11650</v>
      </c>
      <c r="W15" s="881">
        <v>12404</v>
      </c>
      <c r="X15" s="881">
        <v>5780</v>
      </c>
      <c r="Y15" s="881">
        <v>0</v>
      </c>
      <c r="Z15" s="881">
        <v>0</v>
      </c>
      <c r="AA15" s="881"/>
      <c r="AB15" s="881">
        <v>500</v>
      </c>
      <c r="AC15" s="881">
        <v>500</v>
      </c>
      <c r="AD15" s="893">
        <v>68615</v>
      </c>
      <c r="AE15" s="875"/>
      <c r="AF15" s="875">
        <v>68615</v>
      </c>
      <c r="AG15" s="875"/>
    </row>
    <row r="16" spans="1:33" ht="11.25">
      <c r="A16" s="1141"/>
      <c r="B16" s="878" t="s">
        <v>590</v>
      </c>
      <c r="C16" s="879" t="s">
        <v>919</v>
      </c>
      <c r="D16" s="880">
        <v>348</v>
      </c>
      <c r="E16" s="881">
        <v>4580</v>
      </c>
      <c r="F16" s="881">
        <v>1330</v>
      </c>
      <c r="G16" s="881">
        <v>0</v>
      </c>
      <c r="H16" s="881">
        <v>0</v>
      </c>
      <c r="I16" s="881">
        <v>0</v>
      </c>
      <c r="J16" s="881">
        <v>0</v>
      </c>
      <c r="K16" s="881">
        <v>215</v>
      </c>
      <c r="L16" s="881">
        <v>0</v>
      </c>
      <c r="M16" s="881">
        <v>102</v>
      </c>
      <c r="N16" s="881">
        <v>0</v>
      </c>
      <c r="O16" s="881">
        <v>62669</v>
      </c>
      <c r="P16" s="881">
        <v>6575</v>
      </c>
      <c r="Q16" s="893">
        <v>69244</v>
      </c>
      <c r="R16" s="1142"/>
      <c r="S16" s="878" t="s">
        <v>590</v>
      </c>
      <c r="T16" s="879" t="s">
        <v>919</v>
      </c>
      <c r="U16" s="881">
        <v>43807</v>
      </c>
      <c r="V16" s="881">
        <v>11716</v>
      </c>
      <c r="W16" s="881">
        <v>12721</v>
      </c>
      <c r="X16" s="881">
        <v>5780</v>
      </c>
      <c r="Y16" s="881">
        <v>0</v>
      </c>
      <c r="Z16" s="881">
        <v>0</v>
      </c>
      <c r="AA16" s="881"/>
      <c r="AB16" s="881">
        <v>500</v>
      </c>
      <c r="AC16" s="881">
        <v>500</v>
      </c>
      <c r="AD16" s="893">
        <v>69244</v>
      </c>
      <c r="AE16" s="875"/>
      <c r="AF16" s="875"/>
      <c r="AG16" s="875"/>
    </row>
    <row r="17" spans="1:33" ht="11.25">
      <c r="A17" s="1141"/>
      <c r="B17" s="878" t="s">
        <v>590</v>
      </c>
      <c r="C17" s="879" t="s">
        <v>920</v>
      </c>
      <c r="D17" s="880">
        <v>348</v>
      </c>
      <c r="E17" s="881">
        <v>4580</v>
      </c>
      <c r="F17" s="881">
        <v>1330</v>
      </c>
      <c r="G17" s="881">
        <v>0</v>
      </c>
      <c r="H17" s="881">
        <v>0</v>
      </c>
      <c r="I17" s="881">
        <v>0</v>
      </c>
      <c r="J17" s="881">
        <v>0</v>
      </c>
      <c r="K17" s="881">
        <v>215</v>
      </c>
      <c r="L17" s="881">
        <v>0</v>
      </c>
      <c r="M17" s="881">
        <v>102</v>
      </c>
      <c r="N17" s="881">
        <v>0</v>
      </c>
      <c r="O17" s="881">
        <v>65155</v>
      </c>
      <c r="P17" s="881">
        <v>6575</v>
      </c>
      <c r="Q17" s="893">
        <v>71730</v>
      </c>
      <c r="R17" s="1142"/>
      <c r="S17" s="878" t="s">
        <v>590</v>
      </c>
      <c r="T17" s="879" t="s">
        <v>920</v>
      </c>
      <c r="U17" s="881">
        <v>44449</v>
      </c>
      <c r="V17" s="881">
        <v>11890</v>
      </c>
      <c r="W17" s="881">
        <v>12442</v>
      </c>
      <c r="X17" s="881">
        <v>5780</v>
      </c>
      <c r="Y17" s="881">
        <v>0</v>
      </c>
      <c r="Z17" s="881">
        <v>0</v>
      </c>
      <c r="AA17" s="881"/>
      <c r="AB17" s="881">
        <v>2449</v>
      </c>
      <c r="AC17" s="881">
        <v>500</v>
      </c>
      <c r="AD17" s="893">
        <v>71730</v>
      </c>
      <c r="AE17" s="875"/>
      <c r="AF17" s="875"/>
      <c r="AG17" s="875"/>
    </row>
    <row r="18" spans="1:33" ht="11.25">
      <c r="A18" s="1141"/>
      <c r="B18" s="878" t="s">
        <v>590</v>
      </c>
      <c r="C18" s="879" t="s">
        <v>921</v>
      </c>
      <c r="D18" s="910">
        <v>348</v>
      </c>
      <c r="E18" s="881">
        <v>4580</v>
      </c>
      <c r="F18" s="881">
        <v>1330</v>
      </c>
      <c r="G18" s="881">
        <v>0</v>
      </c>
      <c r="H18" s="881">
        <v>0</v>
      </c>
      <c r="I18" s="881">
        <v>0</v>
      </c>
      <c r="J18" s="881">
        <v>0</v>
      </c>
      <c r="K18" s="881">
        <v>215</v>
      </c>
      <c r="L18" s="881">
        <v>0</v>
      </c>
      <c r="M18" s="881">
        <v>102</v>
      </c>
      <c r="N18" s="881">
        <v>0</v>
      </c>
      <c r="O18" s="881">
        <v>65155</v>
      </c>
      <c r="P18" s="881">
        <v>6575</v>
      </c>
      <c r="Q18" s="893">
        <v>71730</v>
      </c>
      <c r="R18" s="1142"/>
      <c r="S18" s="878" t="s">
        <v>590</v>
      </c>
      <c r="T18" s="879" t="s">
        <v>921</v>
      </c>
      <c r="U18" s="881">
        <v>44449</v>
      </c>
      <c r="V18" s="881">
        <v>11890</v>
      </c>
      <c r="W18" s="881">
        <v>12442</v>
      </c>
      <c r="X18" s="881">
        <v>5780</v>
      </c>
      <c r="Y18" s="881">
        <v>0</v>
      </c>
      <c r="Z18" s="881">
        <v>0</v>
      </c>
      <c r="AA18" s="881"/>
      <c r="AB18" s="881">
        <v>2449</v>
      </c>
      <c r="AC18" s="881">
        <v>500</v>
      </c>
      <c r="AD18" s="893">
        <v>71730</v>
      </c>
      <c r="AE18" s="875"/>
      <c r="AF18" s="875"/>
      <c r="AG18" s="875"/>
    </row>
    <row r="19" spans="1:33" ht="11.25">
      <c r="A19" s="1141"/>
      <c r="B19" s="878" t="s">
        <v>590</v>
      </c>
      <c r="C19" s="879" t="s">
        <v>948</v>
      </c>
      <c r="D19" s="910">
        <v>348</v>
      </c>
      <c r="E19" s="881">
        <v>4580</v>
      </c>
      <c r="F19" s="881">
        <v>1330</v>
      </c>
      <c r="G19" s="881">
        <v>0</v>
      </c>
      <c r="H19" s="881">
        <v>0</v>
      </c>
      <c r="I19" s="881">
        <v>0</v>
      </c>
      <c r="J19" s="881">
        <v>0</v>
      </c>
      <c r="K19" s="881">
        <v>215</v>
      </c>
      <c r="L19" s="881">
        <v>0</v>
      </c>
      <c r="M19" s="881">
        <v>102</v>
      </c>
      <c r="N19" s="881">
        <v>0</v>
      </c>
      <c r="O19" s="881">
        <f>AD19-P19</f>
        <v>65440</v>
      </c>
      <c r="P19" s="881">
        <v>6575</v>
      </c>
      <c r="Q19" s="893">
        <f>SUM(D19:O19)</f>
        <v>72015</v>
      </c>
      <c r="R19" s="1142"/>
      <c r="S19" s="878" t="s">
        <v>590</v>
      </c>
      <c r="T19" s="879" t="s">
        <v>948</v>
      </c>
      <c r="U19" s="881">
        <v>44673</v>
      </c>
      <c r="V19" s="881">
        <v>11951</v>
      </c>
      <c r="W19" s="881">
        <v>12422</v>
      </c>
      <c r="X19" s="881">
        <v>5780</v>
      </c>
      <c r="Y19" s="881">
        <v>0</v>
      </c>
      <c r="Z19" s="881">
        <v>0</v>
      </c>
      <c r="AA19" s="881"/>
      <c r="AB19" s="881">
        <v>2599</v>
      </c>
      <c r="AC19" s="881">
        <v>370</v>
      </c>
      <c r="AD19" s="893">
        <f>SUM(U19:AC19)-X19</f>
        <v>72015</v>
      </c>
      <c r="AE19" s="875"/>
      <c r="AF19" s="875"/>
      <c r="AG19" s="875"/>
    </row>
    <row r="20" spans="1:33" ht="12.75" customHeight="1">
      <c r="A20" s="1142" t="s">
        <v>922</v>
      </c>
      <c r="B20" s="878" t="s">
        <v>590</v>
      </c>
      <c r="C20" s="879" t="s">
        <v>921</v>
      </c>
      <c r="D20" s="880">
        <v>0</v>
      </c>
      <c r="E20" s="881">
        <v>514</v>
      </c>
      <c r="F20" s="881">
        <v>138</v>
      </c>
      <c r="G20" s="881"/>
      <c r="H20" s="881"/>
      <c r="I20" s="881"/>
      <c r="J20" s="881"/>
      <c r="K20" s="881"/>
      <c r="L20" s="881"/>
      <c r="M20" s="881"/>
      <c r="N20" s="881"/>
      <c r="O20" s="881">
        <v>8397</v>
      </c>
      <c r="P20" s="881">
        <v>652</v>
      </c>
      <c r="Q20" s="893">
        <v>9049</v>
      </c>
      <c r="R20" s="1142" t="s">
        <v>922</v>
      </c>
      <c r="S20" s="878" t="s">
        <v>590</v>
      </c>
      <c r="T20" s="879" t="s">
        <v>921</v>
      </c>
      <c r="U20" s="881">
        <v>4092</v>
      </c>
      <c r="V20" s="881">
        <v>1056</v>
      </c>
      <c r="W20" s="881">
        <v>2368</v>
      </c>
      <c r="X20" s="881">
        <v>650</v>
      </c>
      <c r="Y20" s="881">
        <v>0</v>
      </c>
      <c r="Z20" s="881">
        <v>0</v>
      </c>
      <c r="AA20" s="881"/>
      <c r="AB20" s="881">
        <v>1533</v>
      </c>
      <c r="AC20" s="881">
        <v>0</v>
      </c>
      <c r="AD20" s="893">
        <v>9049</v>
      </c>
      <c r="AE20" s="875"/>
      <c r="AF20" s="875"/>
      <c r="AG20" s="875"/>
    </row>
    <row r="21" spans="1:33" ht="12" customHeight="1">
      <c r="A21" s="1142"/>
      <c r="B21" s="878" t="s">
        <v>590</v>
      </c>
      <c r="C21" s="879" t="s">
        <v>948</v>
      </c>
      <c r="D21" s="880">
        <v>0</v>
      </c>
      <c r="E21" s="881">
        <v>514</v>
      </c>
      <c r="F21" s="881">
        <v>138</v>
      </c>
      <c r="G21" s="881"/>
      <c r="H21" s="881"/>
      <c r="I21" s="881"/>
      <c r="J21" s="881"/>
      <c r="K21" s="881"/>
      <c r="L21" s="881"/>
      <c r="M21" s="881"/>
      <c r="N21" s="881"/>
      <c r="O21" s="881">
        <f>AD21-P21</f>
        <v>8423</v>
      </c>
      <c r="P21" s="881">
        <v>652</v>
      </c>
      <c r="Q21" s="893">
        <f>SUM(D21:O21)</f>
        <v>9075</v>
      </c>
      <c r="R21" s="1142"/>
      <c r="S21" s="878" t="s">
        <v>590</v>
      </c>
      <c r="T21" s="879" t="s">
        <v>948</v>
      </c>
      <c r="U21" s="881">
        <v>4112</v>
      </c>
      <c r="V21" s="881">
        <v>1062</v>
      </c>
      <c r="W21" s="881">
        <v>2068</v>
      </c>
      <c r="X21" s="881">
        <v>650</v>
      </c>
      <c r="Y21" s="881">
        <v>0</v>
      </c>
      <c r="Z21" s="881">
        <v>0</v>
      </c>
      <c r="AA21" s="881"/>
      <c r="AB21" s="881">
        <v>1833</v>
      </c>
      <c r="AC21" s="881">
        <v>0</v>
      </c>
      <c r="AD21" s="893">
        <f>SUM(U21:AC21)-X21</f>
        <v>9075</v>
      </c>
      <c r="AE21" s="875"/>
      <c r="AF21" s="875"/>
      <c r="AG21" s="875"/>
    </row>
    <row r="22" spans="1:33" ht="12.75" customHeight="1">
      <c r="A22" s="1142" t="s">
        <v>923</v>
      </c>
      <c r="B22" s="878" t="s">
        <v>590</v>
      </c>
      <c r="C22" s="879" t="s">
        <v>921</v>
      </c>
      <c r="D22" s="880">
        <v>348</v>
      </c>
      <c r="E22" s="881">
        <v>5094</v>
      </c>
      <c r="F22" s="881">
        <v>1468</v>
      </c>
      <c r="G22" s="881">
        <v>0</v>
      </c>
      <c r="H22" s="881">
        <v>0</v>
      </c>
      <c r="I22" s="881">
        <v>0</v>
      </c>
      <c r="J22" s="881">
        <v>0</v>
      </c>
      <c r="K22" s="881">
        <v>215</v>
      </c>
      <c r="L22" s="881">
        <v>0</v>
      </c>
      <c r="M22" s="881">
        <v>102</v>
      </c>
      <c r="N22" s="881">
        <v>0</v>
      </c>
      <c r="O22" s="881">
        <v>73552</v>
      </c>
      <c r="P22" s="881">
        <v>7227</v>
      </c>
      <c r="Q22" s="893">
        <v>80779</v>
      </c>
      <c r="R22" s="1142" t="s">
        <v>923</v>
      </c>
      <c r="S22" s="878" t="s">
        <v>590</v>
      </c>
      <c r="T22" s="879" t="s">
        <v>921</v>
      </c>
      <c r="U22" s="881">
        <v>48541</v>
      </c>
      <c r="V22" s="881">
        <v>12946</v>
      </c>
      <c r="W22" s="881">
        <v>14810</v>
      </c>
      <c r="X22" s="881">
        <v>6430</v>
      </c>
      <c r="Y22" s="881">
        <v>0</v>
      </c>
      <c r="Z22" s="881">
        <v>0</v>
      </c>
      <c r="AA22" s="881"/>
      <c r="AB22" s="881">
        <v>3982</v>
      </c>
      <c r="AC22" s="881">
        <v>500</v>
      </c>
      <c r="AD22" s="893">
        <v>80779</v>
      </c>
      <c r="AE22" s="875"/>
      <c r="AF22" s="875"/>
      <c r="AG22" s="875"/>
    </row>
    <row r="23" spans="1:33" ht="11.25">
      <c r="A23" s="1142"/>
      <c r="B23" s="878" t="s">
        <v>590</v>
      </c>
      <c r="C23" s="879" t="s">
        <v>948</v>
      </c>
      <c r="D23" s="880">
        <v>348</v>
      </c>
      <c r="E23" s="881">
        <v>5094</v>
      </c>
      <c r="F23" s="881">
        <v>1468</v>
      </c>
      <c r="G23" s="881">
        <v>0</v>
      </c>
      <c r="H23" s="881">
        <v>0</v>
      </c>
      <c r="I23" s="881">
        <v>0</v>
      </c>
      <c r="J23" s="881">
        <v>0</v>
      </c>
      <c r="K23" s="881">
        <v>215</v>
      </c>
      <c r="L23" s="881">
        <v>0</v>
      </c>
      <c r="M23" s="881">
        <v>102</v>
      </c>
      <c r="N23" s="881">
        <v>0</v>
      </c>
      <c r="O23" s="881">
        <f>AD23-P23</f>
        <v>73863</v>
      </c>
      <c r="P23" s="881">
        <v>7227</v>
      </c>
      <c r="Q23" s="893">
        <v>81090</v>
      </c>
      <c r="R23" s="1142"/>
      <c r="S23" s="878" t="s">
        <v>590</v>
      </c>
      <c r="T23" s="879" t="s">
        <v>948</v>
      </c>
      <c r="U23" s="881">
        <f>U19+U21</f>
        <v>48785</v>
      </c>
      <c r="V23" s="881">
        <v>13013</v>
      </c>
      <c r="W23" s="881">
        <v>14490</v>
      </c>
      <c r="X23" s="881">
        <v>6430</v>
      </c>
      <c r="Y23" s="881">
        <v>0</v>
      </c>
      <c r="Z23" s="881">
        <v>0</v>
      </c>
      <c r="AA23" s="881"/>
      <c r="AB23" s="881">
        <v>4432</v>
      </c>
      <c r="AC23" s="881">
        <v>370</v>
      </c>
      <c r="AD23" s="893">
        <f>SUM(U23:AC23)-X23</f>
        <v>81090</v>
      </c>
      <c r="AE23" s="875"/>
      <c r="AF23" s="875"/>
      <c r="AG23" s="875"/>
    </row>
    <row r="24" spans="1:33" ht="12.75" customHeight="1">
      <c r="A24" s="1141" t="s">
        <v>924</v>
      </c>
      <c r="B24" s="878" t="s">
        <v>590</v>
      </c>
      <c r="C24" s="879" t="s">
        <v>162</v>
      </c>
      <c r="D24" s="880">
        <v>6677</v>
      </c>
      <c r="E24" s="881">
        <v>5171</v>
      </c>
      <c r="F24" s="881">
        <v>3199</v>
      </c>
      <c r="G24" s="881">
        <v>0</v>
      </c>
      <c r="H24" s="881">
        <v>0</v>
      </c>
      <c r="I24" s="881">
        <v>0</v>
      </c>
      <c r="J24" s="881">
        <v>0</v>
      </c>
      <c r="K24" s="881"/>
      <c r="L24" s="881">
        <v>0</v>
      </c>
      <c r="M24" s="881">
        <v>0</v>
      </c>
      <c r="N24" s="881">
        <v>0</v>
      </c>
      <c r="O24" s="881">
        <v>80648</v>
      </c>
      <c r="P24" s="881">
        <v>15047</v>
      </c>
      <c r="Q24" s="893">
        <v>95695</v>
      </c>
      <c r="R24" s="1142" t="s">
        <v>924</v>
      </c>
      <c r="S24" s="878" t="s">
        <v>590</v>
      </c>
      <c r="T24" s="879" t="s">
        <v>162</v>
      </c>
      <c r="U24" s="881">
        <v>53948</v>
      </c>
      <c r="V24" s="881">
        <v>14288</v>
      </c>
      <c r="W24" s="881">
        <v>27459</v>
      </c>
      <c r="X24" s="881">
        <v>7392</v>
      </c>
      <c r="Y24" s="881">
        <v>0</v>
      </c>
      <c r="Z24" s="881">
        <v>0</v>
      </c>
      <c r="AA24" s="881"/>
      <c r="AB24" s="881">
        <v>0</v>
      </c>
      <c r="AC24" s="881">
        <v>0</v>
      </c>
      <c r="AD24" s="893">
        <v>95695</v>
      </c>
      <c r="AE24" s="875"/>
      <c r="AF24" s="875">
        <v>95695</v>
      </c>
      <c r="AG24" s="875"/>
    </row>
    <row r="25" spans="1:33" ht="11.25">
      <c r="A25" s="1141"/>
      <c r="B25" s="878" t="s">
        <v>590</v>
      </c>
      <c r="C25" s="879" t="s">
        <v>919</v>
      </c>
      <c r="D25" s="880">
        <v>6677</v>
      </c>
      <c r="E25" s="881">
        <v>5171</v>
      </c>
      <c r="F25" s="881">
        <v>3199</v>
      </c>
      <c r="G25" s="881">
        <v>0</v>
      </c>
      <c r="H25" s="881">
        <v>0</v>
      </c>
      <c r="I25" s="881">
        <v>0</v>
      </c>
      <c r="J25" s="881">
        <v>0</v>
      </c>
      <c r="K25" s="881"/>
      <c r="L25" s="881">
        <v>0</v>
      </c>
      <c r="M25" s="881">
        <v>514</v>
      </c>
      <c r="N25" s="881">
        <v>0</v>
      </c>
      <c r="O25" s="881">
        <v>80747</v>
      </c>
      <c r="P25" s="881">
        <v>15561</v>
      </c>
      <c r="Q25" s="893">
        <v>96308</v>
      </c>
      <c r="R25" s="1142"/>
      <c r="S25" s="878" t="s">
        <v>590</v>
      </c>
      <c r="T25" s="879" t="s">
        <v>919</v>
      </c>
      <c r="U25" s="881">
        <v>54027</v>
      </c>
      <c r="V25" s="881">
        <v>14308</v>
      </c>
      <c r="W25" s="881">
        <v>27764</v>
      </c>
      <c r="X25" s="881">
        <v>7392</v>
      </c>
      <c r="Y25" s="881">
        <v>0</v>
      </c>
      <c r="Z25" s="881">
        <v>209</v>
      </c>
      <c r="AA25" s="881"/>
      <c r="AB25" s="881">
        <v>0</v>
      </c>
      <c r="AC25" s="881">
        <v>0</v>
      </c>
      <c r="AD25" s="893">
        <v>96308</v>
      </c>
      <c r="AE25" s="875"/>
      <c r="AF25" s="875"/>
      <c r="AG25" s="875"/>
    </row>
    <row r="26" spans="1:33" ht="11.25">
      <c r="A26" s="1141"/>
      <c r="B26" s="878" t="s">
        <v>590</v>
      </c>
      <c r="C26" s="879" t="s">
        <v>920</v>
      </c>
      <c r="D26" s="880">
        <v>7110</v>
      </c>
      <c r="E26" s="881">
        <v>5171</v>
      </c>
      <c r="F26" s="881">
        <v>5451</v>
      </c>
      <c r="G26" s="881">
        <v>50</v>
      </c>
      <c r="H26" s="881">
        <v>0</v>
      </c>
      <c r="I26" s="881">
        <v>0</v>
      </c>
      <c r="J26" s="881">
        <v>0</v>
      </c>
      <c r="K26" s="881"/>
      <c r="L26" s="881">
        <v>0</v>
      </c>
      <c r="M26" s="881">
        <v>514</v>
      </c>
      <c r="N26" s="881">
        <v>0</v>
      </c>
      <c r="O26" s="881">
        <v>82413</v>
      </c>
      <c r="P26" s="881">
        <v>18296</v>
      </c>
      <c r="Q26" s="893">
        <v>100709</v>
      </c>
      <c r="R26" s="1142"/>
      <c r="S26" s="878" t="s">
        <v>590</v>
      </c>
      <c r="T26" s="879" t="s">
        <v>920</v>
      </c>
      <c r="U26" s="881">
        <v>54650</v>
      </c>
      <c r="V26" s="881">
        <v>14477</v>
      </c>
      <c r="W26" s="881">
        <v>30441</v>
      </c>
      <c r="X26" s="881">
        <v>7392</v>
      </c>
      <c r="Y26" s="881">
        <v>0</v>
      </c>
      <c r="Z26" s="881">
        <v>209</v>
      </c>
      <c r="AA26" s="881"/>
      <c r="AB26" s="881">
        <v>932</v>
      </c>
      <c r="AC26" s="881">
        <v>0</v>
      </c>
      <c r="AD26" s="893">
        <v>100709</v>
      </c>
      <c r="AE26" s="875"/>
      <c r="AF26" s="875"/>
      <c r="AG26" s="875"/>
    </row>
    <row r="27" spans="1:33" ht="11.25">
      <c r="A27" s="1141"/>
      <c r="B27" s="878" t="s">
        <v>590</v>
      </c>
      <c r="C27" s="879" t="s">
        <v>921</v>
      </c>
      <c r="D27" s="880">
        <v>7110</v>
      </c>
      <c r="E27" s="881">
        <v>5171</v>
      </c>
      <c r="F27" s="881">
        <v>5451</v>
      </c>
      <c r="G27" s="881">
        <v>50</v>
      </c>
      <c r="H27" s="881">
        <v>0</v>
      </c>
      <c r="I27" s="881">
        <v>0</v>
      </c>
      <c r="J27" s="881">
        <v>0</v>
      </c>
      <c r="K27" s="881"/>
      <c r="L27" s="881">
        <v>0</v>
      </c>
      <c r="M27" s="881">
        <v>514</v>
      </c>
      <c r="N27" s="881">
        <v>0</v>
      </c>
      <c r="O27" s="881">
        <v>82413</v>
      </c>
      <c r="P27" s="881">
        <v>18296</v>
      </c>
      <c r="Q27" s="893">
        <v>100709</v>
      </c>
      <c r="R27" s="1142"/>
      <c r="S27" s="878" t="s">
        <v>590</v>
      </c>
      <c r="T27" s="879" t="s">
        <v>921</v>
      </c>
      <c r="U27" s="881">
        <v>54650</v>
      </c>
      <c r="V27" s="881">
        <v>14477</v>
      </c>
      <c r="W27" s="881">
        <v>30441</v>
      </c>
      <c r="X27" s="881">
        <v>7392</v>
      </c>
      <c r="Y27" s="881">
        <v>0</v>
      </c>
      <c r="Z27" s="881">
        <v>209</v>
      </c>
      <c r="AA27" s="881"/>
      <c r="AB27" s="881">
        <v>932</v>
      </c>
      <c r="AC27" s="881">
        <v>0</v>
      </c>
      <c r="AD27" s="893">
        <v>100709</v>
      </c>
      <c r="AE27" s="875"/>
      <c r="AF27" s="875"/>
      <c r="AG27" s="875"/>
    </row>
    <row r="28" spans="1:33" ht="11.25">
      <c r="A28" s="1141"/>
      <c r="B28" s="878" t="s">
        <v>590</v>
      </c>
      <c r="C28" s="879" t="s">
        <v>948</v>
      </c>
      <c r="D28" s="880">
        <v>5852</v>
      </c>
      <c r="E28" s="881">
        <v>6429</v>
      </c>
      <c r="F28" s="881">
        <v>5451</v>
      </c>
      <c r="G28" s="881">
        <v>50</v>
      </c>
      <c r="H28" s="881">
        <v>0</v>
      </c>
      <c r="I28" s="881">
        <v>0</v>
      </c>
      <c r="J28" s="881">
        <v>0</v>
      </c>
      <c r="K28" s="881"/>
      <c r="L28" s="881">
        <v>0</v>
      </c>
      <c r="M28" s="881">
        <v>514</v>
      </c>
      <c r="N28" s="881">
        <v>0</v>
      </c>
      <c r="O28" s="881">
        <f>AD28-P28</f>
        <v>82447</v>
      </c>
      <c r="P28" s="881">
        <v>18296</v>
      </c>
      <c r="Q28" s="893">
        <f>SUM(D28:O28)</f>
        <v>100743</v>
      </c>
      <c r="R28" s="1142"/>
      <c r="S28" s="878" t="s">
        <v>590</v>
      </c>
      <c r="T28" s="879" t="s">
        <v>948</v>
      </c>
      <c r="U28" s="881">
        <v>54677</v>
      </c>
      <c r="V28" s="881">
        <v>14484</v>
      </c>
      <c r="W28" s="881">
        <v>30441</v>
      </c>
      <c r="X28" s="881">
        <v>7392</v>
      </c>
      <c r="Y28" s="881">
        <v>0</v>
      </c>
      <c r="Z28" s="881">
        <v>209</v>
      </c>
      <c r="AA28" s="881"/>
      <c r="AB28" s="881">
        <v>932</v>
      </c>
      <c r="AC28" s="881">
        <v>0</v>
      </c>
      <c r="AD28" s="893">
        <f>SUM(U28:AC28)-X28</f>
        <v>100743</v>
      </c>
      <c r="AE28" s="875"/>
      <c r="AF28" s="875"/>
      <c r="AG28" s="875"/>
    </row>
    <row r="29" spans="1:33" ht="12.75" customHeight="1">
      <c r="A29" s="1141" t="s">
        <v>13</v>
      </c>
      <c r="B29" s="878" t="s">
        <v>590</v>
      </c>
      <c r="C29" s="879" t="s">
        <v>162</v>
      </c>
      <c r="D29" s="880">
        <v>16897</v>
      </c>
      <c r="E29" s="881">
        <v>3396</v>
      </c>
      <c r="F29" s="881">
        <v>5479</v>
      </c>
      <c r="G29" s="881">
        <v>0</v>
      </c>
      <c r="H29" s="881">
        <v>0</v>
      </c>
      <c r="I29" s="881">
        <v>0</v>
      </c>
      <c r="J29" s="881">
        <v>0</v>
      </c>
      <c r="K29" s="881"/>
      <c r="L29" s="881">
        <v>0</v>
      </c>
      <c r="M29" s="881">
        <v>0</v>
      </c>
      <c r="N29" s="881">
        <v>0</v>
      </c>
      <c r="O29" s="881">
        <v>52845</v>
      </c>
      <c r="P29" s="881">
        <v>25772</v>
      </c>
      <c r="Q29" s="893">
        <v>78617</v>
      </c>
      <c r="R29" s="1142" t="s">
        <v>13</v>
      </c>
      <c r="S29" s="878" t="s">
        <v>590</v>
      </c>
      <c r="T29" s="879" t="s">
        <v>162</v>
      </c>
      <c r="U29" s="881">
        <v>38606</v>
      </c>
      <c r="V29" s="881">
        <v>10289</v>
      </c>
      <c r="W29" s="881">
        <v>29422</v>
      </c>
      <c r="X29" s="881">
        <v>3754</v>
      </c>
      <c r="Y29" s="881">
        <v>0</v>
      </c>
      <c r="Z29" s="881">
        <v>0</v>
      </c>
      <c r="AA29" s="881"/>
      <c r="AB29" s="881">
        <v>0</v>
      </c>
      <c r="AC29" s="881">
        <v>300</v>
      </c>
      <c r="AD29" s="893">
        <v>78617</v>
      </c>
      <c r="AE29" s="875"/>
      <c r="AF29" s="875">
        <v>78617</v>
      </c>
      <c r="AG29" s="875"/>
    </row>
    <row r="30" spans="1:33" ht="11.25">
      <c r="A30" s="1141"/>
      <c r="B30" s="878" t="s">
        <v>590</v>
      </c>
      <c r="C30" s="879" t="s">
        <v>919</v>
      </c>
      <c r="D30" s="880">
        <v>16897</v>
      </c>
      <c r="E30" s="881">
        <v>3396</v>
      </c>
      <c r="F30" s="881">
        <v>5479</v>
      </c>
      <c r="G30" s="881">
        <v>0</v>
      </c>
      <c r="H30" s="881">
        <v>0</v>
      </c>
      <c r="I30" s="881">
        <v>0</v>
      </c>
      <c r="J30" s="881">
        <v>0</v>
      </c>
      <c r="K30" s="881"/>
      <c r="L30" s="881">
        <v>0</v>
      </c>
      <c r="M30" s="881">
        <v>1915</v>
      </c>
      <c r="N30" s="881">
        <v>0</v>
      </c>
      <c r="O30" s="881">
        <v>53146</v>
      </c>
      <c r="P30" s="881">
        <v>27687</v>
      </c>
      <c r="Q30" s="893">
        <v>80833</v>
      </c>
      <c r="R30" s="1142"/>
      <c r="S30" s="878" t="s">
        <v>590</v>
      </c>
      <c r="T30" s="879" t="s">
        <v>919</v>
      </c>
      <c r="U30" s="881">
        <v>39392</v>
      </c>
      <c r="V30" s="881">
        <v>10502</v>
      </c>
      <c r="W30" s="881">
        <v>29832</v>
      </c>
      <c r="X30" s="881">
        <v>3754</v>
      </c>
      <c r="Y30" s="881">
        <v>0</v>
      </c>
      <c r="Z30" s="881">
        <v>807</v>
      </c>
      <c r="AA30" s="881"/>
      <c r="AB30" s="881">
        <v>0</v>
      </c>
      <c r="AC30" s="881">
        <v>300</v>
      </c>
      <c r="AD30" s="893">
        <v>80833</v>
      </c>
      <c r="AE30" s="875"/>
      <c r="AF30" s="875"/>
      <c r="AG30" s="875"/>
    </row>
    <row r="31" spans="1:33" ht="11.25">
      <c r="A31" s="1141"/>
      <c r="B31" s="878" t="s">
        <v>590</v>
      </c>
      <c r="C31" s="879" t="s">
        <v>920</v>
      </c>
      <c r="D31" s="880">
        <v>16897</v>
      </c>
      <c r="E31" s="881">
        <v>3396</v>
      </c>
      <c r="F31" s="881">
        <v>9829</v>
      </c>
      <c r="G31" s="881">
        <v>0</v>
      </c>
      <c r="H31" s="881">
        <v>0</v>
      </c>
      <c r="I31" s="881">
        <v>0</v>
      </c>
      <c r="J31" s="881">
        <v>0</v>
      </c>
      <c r="K31" s="881"/>
      <c r="L31" s="881">
        <v>0</v>
      </c>
      <c r="M31" s="881">
        <v>1915</v>
      </c>
      <c r="N31" s="881">
        <v>0</v>
      </c>
      <c r="O31" s="881">
        <v>56578</v>
      </c>
      <c r="P31" s="881">
        <v>32037</v>
      </c>
      <c r="Q31" s="893">
        <v>88615</v>
      </c>
      <c r="R31" s="1142"/>
      <c r="S31" s="878" t="s">
        <v>590</v>
      </c>
      <c r="T31" s="879" t="s">
        <v>920</v>
      </c>
      <c r="U31" s="881">
        <v>40899</v>
      </c>
      <c r="V31" s="881">
        <v>10910</v>
      </c>
      <c r="W31" s="881">
        <v>34211</v>
      </c>
      <c r="X31" s="881">
        <v>3754</v>
      </c>
      <c r="Y31" s="881">
        <v>0</v>
      </c>
      <c r="Z31" s="881">
        <v>807</v>
      </c>
      <c r="AA31" s="881"/>
      <c r="AB31" s="881">
        <v>1488</v>
      </c>
      <c r="AC31" s="881">
        <v>300</v>
      </c>
      <c r="AD31" s="893">
        <v>88615</v>
      </c>
      <c r="AE31" s="875"/>
      <c r="AF31" s="875"/>
      <c r="AG31" s="875"/>
    </row>
    <row r="32" spans="1:33" ht="11.25">
      <c r="A32" s="1141"/>
      <c r="B32" s="878" t="s">
        <v>590</v>
      </c>
      <c r="C32" s="879" t="s">
        <v>921</v>
      </c>
      <c r="D32" s="880">
        <v>16897</v>
      </c>
      <c r="E32" s="881">
        <v>3396</v>
      </c>
      <c r="F32" s="881">
        <v>9829</v>
      </c>
      <c r="G32" s="881">
        <v>0</v>
      </c>
      <c r="H32" s="881">
        <v>0</v>
      </c>
      <c r="I32" s="881">
        <v>0</v>
      </c>
      <c r="J32" s="881">
        <v>0</v>
      </c>
      <c r="K32" s="881"/>
      <c r="L32" s="881">
        <v>0</v>
      </c>
      <c r="M32" s="881">
        <v>1915</v>
      </c>
      <c r="N32" s="881">
        <v>0</v>
      </c>
      <c r="O32" s="881">
        <v>56578</v>
      </c>
      <c r="P32" s="881">
        <v>32037</v>
      </c>
      <c r="Q32" s="893">
        <v>88615</v>
      </c>
      <c r="R32" s="1142"/>
      <c r="S32" s="878" t="s">
        <v>590</v>
      </c>
      <c r="T32" s="879" t="s">
        <v>921</v>
      </c>
      <c r="U32" s="881">
        <v>40899</v>
      </c>
      <c r="V32" s="881">
        <v>10910</v>
      </c>
      <c r="W32" s="881">
        <v>34211</v>
      </c>
      <c r="X32" s="881">
        <v>3754</v>
      </c>
      <c r="Y32" s="881">
        <v>0</v>
      </c>
      <c r="Z32" s="881">
        <v>807</v>
      </c>
      <c r="AA32" s="881"/>
      <c r="AB32" s="881">
        <v>1488</v>
      </c>
      <c r="AC32" s="881">
        <v>300</v>
      </c>
      <c r="AD32" s="893">
        <v>88615</v>
      </c>
      <c r="AE32" s="875"/>
      <c r="AF32" s="875"/>
      <c r="AG32" s="875"/>
    </row>
    <row r="33" spans="1:33" ht="11.25">
      <c r="A33" s="1141"/>
      <c r="B33" s="878" t="s">
        <v>590</v>
      </c>
      <c r="C33" s="879" t="s">
        <v>948</v>
      </c>
      <c r="D33" s="880">
        <v>15912</v>
      </c>
      <c r="E33" s="881">
        <v>4381</v>
      </c>
      <c r="F33" s="881">
        <v>9829</v>
      </c>
      <c r="G33" s="881">
        <v>0</v>
      </c>
      <c r="H33" s="881">
        <v>0</v>
      </c>
      <c r="I33" s="881">
        <v>0</v>
      </c>
      <c r="J33" s="881">
        <v>0</v>
      </c>
      <c r="K33" s="881"/>
      <c r="L33" s="881">
        <v>0</v>
      </c>
      <c r="M33" s="881">
        <v>1915</v>
      </c>
      <c r="N33" s="881">
        <v>0</v>
      </c>
      <c r="O33" s="881">
        <f>AD33-P33</f>
        <v>57590</v>
      </c>
      <c r="P33" s="881">
        <v>32037</v>
      </c>
      <c r="Q33" s="893">
        <f>SUM(D33:O33)</f>
        <v>89627</v>
      </c>
      <c r="R33" s="1142"/>
      <c r="S33" s="878" t="s">
        <v>590</v>
      </c>
      <c r="T33" s="879" t="s">
        <v>948</v>
      </c>
      <c r="U33" s="881">
        <v>41627</v>
      </c>
      <c r="V33" s="881">
        <v>11108</v>
      </c>
      <c r="W33" s="881">
        <v>34297</v>
      </c>
      <c r="X33" s="881">
        <v>3754</v>
      </c>
      <c r="Y33" s="881">
        <v>0</v>
      </c>
      <c r="Z33" s="881">
        <v>807</v>
      </c>
      <c r="AA33" s="881"/>
      <c r="AB33" s="881">
        <v>1488</v>
      </c>
      <c r="AC33" s="881">
        <v>300</v>
      </c>
      <c r="AD33" s="893">
        <f>SUM(U33:AC33)-X33</f>
        <v>89627</v>
      </c>
      <c r="AE33" s="875"/>
      <c r="AF33" s="875"/>
      <c r="AG33" s="875"/>
    </row>
    <row r="34" spans="1:33" ht="12.75" customHeight="1">
      <c r="A34" s="1141" t="s">
        <v>14</v>
      </c>
      <c r="B34" s="878" t="s">
        <v>590</v>
      </c>
      <c r="C34" s="879" t="s">
        <v>162</v>
      </c>
      <c r="D34" s="880">
        <v>366</v>
      </c>
      <c r="E34" s="881">
        <v>4665</v>
      </c>
      <c r="F34" s="881">
        <v>1358</v>
      </c>
      <c r="G34" s="881">
        <v>0</v>
      </c>
      <c r="H34" s="881">
        <v>505</v>
      </c>
      <c r="I34" s="881">
        <v>0</v>
      </c>
      <c r="J34" s="881">
        <v>900</v>
      </c>
      <c r="K34" s="881"/>
      <c r="L34" s="881">
        <v>0</v>
      </c>
      <c r="M34" s="881">
        <v>0</v>
      </c>
      <c r="N34" s="881">
        <v>0</v>
      </c>
      <c r="O34" s="881">
        <v>59448</v>
      </c>
      <c r="P34" s="881">
        <v>7794</v>
      </c>
      <c r="Q34" s="893">
        <v>67242</v>
      </c>
      <c r="R34" s="1142" t="s">
        <v>14</v>
      </c>
      <c r="S34" s="878" t="s">
        <v>590</v>
      </c>
      <c r="T34" s="879" t="s">
        <v>162</v>
      </c>
      <c r="U34" s="881">
        <v>42147</v>
      </c>
      <c r="V34" s="881">
        <v>11175</v>
      </c>
      <c r="W34" s="881">
        <v>13020</v>
      </c>
      <c r="X34" s="881">
        <v>6518</v>
      </c>
      <c r="Y34" s="881">
        <v>0</v>
      </c>
      <c r="Z34" s="881">
        <v>0</v>
      </c>
      <c r="AA34" s="881"/>
      <c r="AB34" s="881">
        <v>900</v>
      </c>
      <c r="AC34" s="881">
        <v>0</v>
      </c>
      <c r="AD34" s="893">
        <v>67242</v>
      </c>
      <c r="AE34" s="875"/>
      <c r="AF34" s="875">
        <v>67242</v>
      </c>
      <c r="AG34" s="875"/>
    </row>
    <row r="35" spans="1:33" ht="11.25">
      <c r="A35" s="1141"/>
      <c r="B35" s="878" t="s">
        <v>590</v>
      </c>
      <c r="C35" s="879" t="s">
        <v>919</v>
      </c>
      <c r="D35" s="880">
        <v>366</v>
      </c>
      <c r="E35" s="881">
        <v>4665</v>
      </c>
      <c r="F35" s="881">
        <v>1358</v>
      </c>
      <c r="G35" s="881">
        <v>0</v>
      </c>
      <c r="H35" s="881">
        <v>505</v>
      </c>
      <c r="I35" s="881">
        <v>0</v>
      </c>
      <c r="J35" s="881">
        <v>900</v>
      </c>
      <c r="K35" s="881">
        <v>1539</v>
      </c>
      <c r="L35" s="881">
        <v>0</v>
      </c>
      <c r="M35" s="881">
        <v>88</v>
      </c>
      <c r="N35" s="881">
        <v>0</v>
      </c>
      <c r="O35" s="881">
        <v>59692</v>
      </c>
      <c r="P35" s="881">
        <v>9421</v>
      </c>
      <c r="Q35" s="893">
        <v>69113</v>
      </c>
      <c r="R35" s="1142"/>
      <c r="S35" s="878" t="s">
        <v>590</v>
      </c>
      <c r="T35" s="879" t="s">
        <v>919</v>
      </c>
      <c r="U35" s="881">
        <v>43385</v>
      </c>
      <c r="V35" s="881">
        <v>11510</v>
      </c>
      <c r="W35" s="881">
        <v>13318</v>
      </c>
      <c r="X35" s="881">
        <v>6518</v>
      </c>
      <c r="Y35" s="881">
        <v>0</v>
      </c>
      <c r="Z35" s="881">
        <v>0</v>
      </c>
      <c r="AA35" s="881"/>
      <c r="AB35" s="881">
        <v>900</v>
      </c>
      <c r="AC35" s="881">
        <v>0</v>
      </c>
      <c r="AD35" s="893">
        <v>69113</v>
      </c>
      <c r="AE35" s="875"/>
      <c r="AF35" s="875"/>
      <c r="AG35" s="875"/>
    </row>
    <row r="36" spans="1:33" ht="11.25">
      <c r="A36" s="1141"/>
      <c r="B36" s="878" t="s">
        <v>590</v>
      </c>
      <c r="C36" s="879" t="s">
        <v>920</v>
      </c>
      <c r="D36" s="880">
        <v>366</v>
      </c>
      <c r="E36" s="881">
        <v>4665</v>
      </c>
      <c r="F36" s="881">
        <v>1358</v>
      </c>
      <c r="G36" s="881">
        <v>0</v>
      </c>
      <c r="H36" s="881">
        <v>505</v>
      </c>
      <c r="I36" s="881">
        <v>0</v>
      </c>
      <c r="J36" s="881">
        <v>900</v>
      </c>
      <c r="K36" s="881">
        <v>1539</v>
      </c>
      <c r="L36" s="881">
        <v>0</v>
      </c>
      <c r="M36" s="881">
        <v>88</v>
      </c>
      <c r="N36" s="881">
        <v>0</v>
      </c>
      <c r="O36" s="881">
        <v>62335</v>
      </c>
      <c r="P36" s="881">
        <v>9421</v>
      </c>
      <c r="Q36" s="893">
        <v>71756</v>
      </c>
      <c r="R36" s="1142"/>
      <c r="S36" s="878" t="s">
        <v>590</v>
      </c>
      <c r="T36" s="879" t="s">
        <v>920</v>
      </c>
      <c r="U36" s="881">
        <v>44232</v>
      </c>
      <c r="V36" s="881">
        <v>11740</v>
      </c>
      <c r="W36" s="881">
        <v>12690</v>
      </c>
      <c r="X36" s="881">
        <v>6518</v>
      </c>
      <c r="Y36" s="881">
        <v>0</v>
      </c>
      <c r="Z36" s="881">
        <v>0</v>
      </c>
      <c r="AA36" s="881"/>
      <c r="AB36" s="881">
        <v>3094</v>
      </c>
      <c r="AC36" s="881">
        <v>0</v>
      </c>
      <c r="AD36" s="893">
        <v>71756</v>
      </c>
      <c r="AE36" s="875"/>
      <c r="AF36" s="875"/>
      <c r="AG36" s="875"/>
    </row>
    <row r="37" spans="1:33" ht="11.25">
      <c r="A37" s="1141"/>
      <c r="B37" s="878" t="s">
        <v>590</v>
      </c>
      <c r="C37" s="879" t="s">
        <v>921</v>
      </c>
      <c r="D37" s="880">
        <v>366</v>
      </c>
      <c r="E37" s="881">
        <v>4665</v>
      </c>
      <c r="F37" s="881">
        <v>1358</v>
      </c>
      <c r="G37" s="881">
        <v>0</v>
      </c>
      <c r="H37" s="881">
        <v>505</v>
      </c>
      <c r="I37" s="881">
        <v>0</v>
      </c>
      <c r="J37" s="881">
        <v>900</v>
      </c>
      <c r="K37" s="881">
        <v>1539</v>
      </c>
      <c r="L37" s="881">
        <v>0</v>
      </c>
      <c r="M37" s="881">
        <v>88</v>
      </c>
      <c r="N37" s="881">
        <v>0</v>
      </c>
      <c r="O37" s="881">
        <v>62335</v>
      </c>
      <c r="P37" s="881">
        <v>9421</v>
      </c>
      <c r="Q37" s="893">
        <v>71756</v>
      </c>
      <c r="R37" s="1142"/>
      <c r="S37" s="878" t="s">
        <v>590</v>
      </c>
      <c r="T37" s="879" t="s">
        <v>921</v>
      </c>
      <c r="U37" s="881">
        <v>44232</v>
      </c>
      <c r="V37" s="881">
        <v>11740</v>
      </c>
      <c r="W37" s="881">
        <v>12690</v>
      </c>
      <c r="X37" s="881">
        <v>6518</v>
      </c>
      <c r="Y37" s="881">
        <v>0</v>
      </c>
      <c r="Z37" s="881">
        <v>0</v>
      </c>
      <c r="AA37" s="881"/>
      <c r="AB37" s="881">
        <v>3094</v>
      </c>
      <c r="AC37" s="881">
        <v>0</v>
      </c>
      <c r="AD37" s="893">
        <v>71756</v>
      </c>
      <c r="AE37" s="875"/>
      <c r="AF37" s="875"/>
      <c r="AG37" s="875"/>
    </row>
    <row r="38" spans="1:33" ht="11.25">
      <c r="A38" s="1141"/>
      <c r="B38" s="878" t="s">
        <v>590</v>
      </c>
      <c r="C38" s="879" t="s">
        <v>948</v>
      </c>
      <c r="D38" s="880">
        <v>366</v>
      </c>
      <c r="E38" s="881">
        <v>4665</v>
      </c>
      <c r="F38" s="881">
        <v>1358</v>
      </c>
      <c r="G38" s="881">
        <v>0</v>
      </c>
      <c r="H38" s="881">
        <v>505</v>
      </c>
      <c r="I38" s="881">
        <v>0</v>
      </c>
      <c r="J38" s="881">
        <v>900</v>
      </c>
      <c r="K38" s="881">
        <v>1539</v>
      </c>
      <c r="L38" s="881">
        <v>0</v>
      </c>
      <c r="M38" s="881">
        <v>88</v>
      </c>
      <c r="N38" s="881">
        <v>0</v>
      </c>
      <c r="O38" s="881">
        <f>AD38-P38</f>
        <v>63059</v>
      </c>
      <c r="P38" s="881">
        <v>9421</v>
      </c>
      <c r="Q38" s="893">
        <f>SUM(D38:O38)</f>
        <v>72480</v>
      </c>
      <c r="R38" s="1142"/>
      <c r="S38" s="878" t="s">
        <v>590</v>
      </c>
      <c r="T38" s="879" t="s">
        <v>948</v>
      </c>
      <c r="U38" s="881">
        <v>44390</v>
      </c>
      <c r="V38" s="881">
        <v>11782</v>
      </c>
      <c r="W38" s="881">
        <v>13083</v>
      </c>
      <c r="X38" s="881">
        <v>6518</v>
      </c>
      <c r="Y38" s="881">
        <v>0</v>
      </c>
      <c r="Z38" s="881">
        <v>0</v>
      </c>
      <c r="AA38" s="881"/>
      <c r="AB38" s="881">
        <v>3225</v>
      </c>
      <c r="AC38" s="881">
        <v>0</v>
      </c>
      <c r="AD38" s="893">
        <f>SUM(U38:AC38)-X38</f>
        <v>72480</v>
      </c>
      <c r="AE38" s="875"/>
      <c r="AF38" s="875"/>
      <c r="AG38" s="875"/>
    </row>
    <row r="39" spans="1:33" ht="12.75" customHeight="1">
      <c r="A39" s="1142" t="s">
        <v>925</v>
      </c>
      <c r="B39" s="878" t="s">
        <v>590</v>
      </c>
      <c r="C39" s="879" t="s">
        <v>921</v>
      </c>
      <c r="D39" s="880">
        <v>42</v>
      </c>
      <c r="E39" s="881">
        <v>696</v>
      </c>
      <c r="F39" s="881">
        <v>199</v>
      </c>
      <c r="G39" s="881"/>
      <c r="H39" s="881"/>
      <c r="I39" s="881"/>
      <c r="J39" s="881"/>
      <c r="K39" s="881"/>
      <c r="L39" s="881"/>
      <c r="M39" s="881"/>
      <c r="N39" s="881"/>
      <c r="O39" s="881">
        <v>12755</v>
      </c>
      <c r="P39" s="881">
        <v>937</v>
      </c>
      <c r="Q39" s="893">
        <v>13692</v>
      </c>
      <c r="R39" s="1142" t="s">
        <v>925</v>
      </c>
      <c r="S39" s="878" t="s">
        <v>590</v>
      </c>
      <c r="T39" s="879" t="s">
        <v>921</v>
      </c>
      <c r="U39" s="881">
        <v>7313</v>
      </c>
      <c r="V39" s="881">
        <v>2090</v>
      </c>
      <c r="W39" s="881">
        <v>3425</v>
      </c>
      <c r="X39" s="881">
        <v>1287</v>
      </c>
      <c r="Y39" s="881"/>
      <c r="Z39" s="881"/>
      <c r="AA39" s="881"/>
      <c r="AB39" s="881">
        <v>414</v>
      </c>
      <c r="AC39" s="881">
        <v>450</v>
      </c>
      <c r="AD39" s="893">
        <v>13692</v>
      </c>
      <c r="AE39" s="875"/>
      <c r="AF39" s="875"/>
      <c r="AG39" s="875"/>
    </row>
    <row r="40" spans="1:33" ht="12.75" customHeight="1">
      <c r="A40" s="1142"/>
      <c r="B40" s="878" t="s">
        <v>590</v>
      </c>
      <c r="C40" s="879" t="s">
        <v>948</v>
      </c>
      <c r="D40" s="880">
        <v>42</v>
      </c>
      <c r="E40" s="881">
        <v>696</v>
      </c>
      <c r="F40" s="881">
        <v>199</v>
      </c>
      <c r="G40" s="881"/>
      <c r="H40" s="881"/>
      <c r="I40" s="881"/>
      <c r="J40" s="881"/>
      <c r="K40" s="881"/>
      <c r="L40" s="881"/>
      <c r="M40" s="881"/>
      <c r="N40" s="881"/>
      <c r="O40" s="881">
        <f>AD40-P40</f>
        <v>12755</v>
      </c>
      <c r="P40" s="881">
        <v>937</v>
      </c>
      <c r="Q40" s="893">
        <f>SUM(D40:O40)</f>
        <v>13692</v>
      </c>
      <c r="R40" s="1142"/>
      <c r="S40" s="878" t="s">
        <v>590</v>
      </c>
      <c r="T40" s="879" t="s">
        <v>948</v>
      </c>
      <c r="U40" s="881">
        <v>7313</v>
      </c>
      <c r="V40" s="881">
        <v>2090</v>
      </c>
      <c r="W40" s="881">
        <v>3425</v>
      </c>
      <c r="X40" s="881">
        <v>1287</v>
      </c>
      <c r="Y40" s="881"/>
      <c r="Z40" s="881"/>
      <c r="AA40" s="881"/>
      <c r="AB40" s="881">
        <v>414</v>
      </c>
      <c r="AC40" s="881">
        <v>450</v>
      </c>
      <c r="AD40" s="893">
        <f>SUM(U40:AC40)-X40</f>
        <v>13692</v>
      </c>
      <c r="AE40" s="875"/>
      <c r="AF40" s="875"/>
      <c r="AG40" s="875"/>
    </row>
    <row r="41" spans="1:33" ht="12.75" customHeight="1">
      <c r="A41" s="1142" t="s">
        <v>926</v>
      </c>
      <c r="B41" s="878" t="s">
        <v>590</v>
      </c>
      <c r="C41" s="879" t="s">
        <v>921</v>
      </c>
      <c r="D41" s="880">
        <v>408</v>
      </c>
      <c r="E41" s="881">
        <v>5361</v>
      </c>
      <c r="F41" s="881">
        <v>1557</v>
      </c>
      <c r="G41" s="881">
        <v>0</v>
      </c>
      <c r="H41" s="881">
        <v>505</v>
      </c>
      <c r="I41" s="881">
        <v>0</v>
      </c>
      <c r="J41" s="881">
        <v>900</v>
      </c>
      <c r="K41" s="881">
        <v>1539</v>
      </c>
      <c r="L41" s="881">
        <v>0</v>
      </c>
      <c r="M41" s="881">
        <v>88</v>
      </c>
      <c r="N41" s="881">
        <v>0</v>
      </c>
      <c r="O41" s="881">
        <v>75090</v>
      </c>
      <c r="P41" s="881">
        <v>10358</v>
      </c>
      <c r="Q41" s="893">
        <v>85448</v>
      </c>
      <c r="R41" s="1142" t="s">
        <v>926</v>
      </c>
      <c r="S41" s="878" t="s">
        <v>590</v>
      </c>
      <c r="T41" s="879" t="s">
        <v>921</v>
      </c>
      <c r="U41" s="881">
        <v>51545</v>
      </c>
      <c r="V41" s="881">
        <v>13830</v>
      </c>
      <c r="W41" s="881">
        <v>16115</v>
      </c>
      <c r="X41" s="881">
        <v>7805</v>
      </c>
      <c r="Y41" s="881">
        <v>0</v>
      </c>
      <c r="Z41" s="881">
        <v>0</v>
      </c>
      <c r="AA41" s="881"/>
      <c r="AB41" s="881">
        <v>3508</v>
      </c>
      <c r="AC41" s="881">
        <v>450</v>
      </c>
      <c r="AD41" s="893">
        <v>85448</v>
      </c>
      <c r="AE41" s="875"/>
      <c r="AF41" s="875"/>
      <c r="AG41" s="875"/>
    </row>
    <row r="42" spans="1:33" ht="11.25">
      <c r="A42" s="1142"/>
      <c r="B42" s="878" t="s">
        <v>590</v>
      </c>
      <c r="C42" s="879" t="s">
        <v>948</v>
      </c>
      <c r="D42" s="880">
        <v>408</v>
      </c>
      <c r="E42" s="881">
        <v>5361</v>
      </c>
      <c r="F42" s="881">
        <v>1557</v>
      </c>
      <c r="G42" s="881">
        <v>0</v>
      </c>
      <c r="H42" s="881">
        <v>505</v>
      </c>
      <c r="I42" s="881">
        <v>0</v>
      </c>
      <c r="J42" s="881">
        <v>900</v>
      </c>
      <c r="K42" s="881">
        <v>1539</v>
      </c>
      <c r="L42" s="881">
        <v>0</v>
      </c>
      <c r="M42" s="881">
        <v>88</v>
      </c>
      <c r="N42" s="881">
        <v>0</v>
      </c>
      <c r="O42" s="881">
        <f>AD42-P42</f>
        <v>75814</v>
      </c>
      <c r="P42" s="881">
        <v>10358</v>
      </c>
      <c r="Q42" s="893">
        <f>SUM(D42:O42)</f>
        <v>86172</v>
      </c>
      <c r="R42" s="1142"/>
      <c r="S42" s="878" t="s">
        <v>590</v>
      </c>
      <c r="T42" s="879" t="s">
        <v>948</v>
      </c>
      <c r="U42" s="881">
        <f>U38+U40</f>
        <v>51703</v>
      </c>
      <c r="V42" s="881">
        <v>13872</v>
      </c>
      <c r="W42" s="881">
        <v>16508</v>
      </c>
      <c r="X42" s="881">
        <v>7805</v>
      </c>
      <c r="Y42" s="881">
        <v>0</v>
      </c>
      <c r="Z42" s="881">
        <v>0</v>
      </c>
      <c r="AA42" s="881"/>
      <c r="AB42" s="881">
        <v>3639</v>
      </c>
      <c r="AC42" s="881">
        <v>450</v>
      </c>
      <c r="AD42" s="893">
        <f>SUM(U42:AC42)-X42</f>
        <v>86172</v>
      </c>
      <c r="AE42" s="875"/>
      <c r="AF42" s="875"/>
      <c r="AG42" s="875"/>
    </row>
    <row r="43" spans="1:33" ht="12.75" customHeight="1">
      <c r="A43" s="1141" t="s">
        <v>927</v>
      </c>
      <c r="B43" s="878" t="s">
        <v>590</v>
      </c>
      <c r="C43" s="879" t="s">
        <v>162</v>
      </c>
      <c r="D43" s="880">
        <v>0</v>
      </c>
      <c r="E43" s="881">
        <v>1072</v>
      </c>
      <c r="F43" s="881">
        <v>289</v>
      </c>
      <c r="G43" s="881">
        <v>0</v>
      </c>
      <c r="H43" s="881">
        <v>0</v>
      </c>
      <c r="I43" s="881">
        <v>0</v>
      </c>
      <c r="J43" s="881">
        <v>0</v>
      </c>
      <c r="K43" s="881"/>
      <c r="L43" s="881">
        <v>0</v>
      </c>
      <c r="M43" s="881">
        <v>0</v>
      </c>
      <c r="N43" s="881">
        <v>0</v>
      </c>
      <c r="O43" s="881">
        <v>16253</v>
      </c>
      <c r="P43" s="881">
        <v>1361</v>
      </c>
      <c r="Q43" s="893">
        <v>17614</v>
      </c>
      <c r="R43" s="1142" t="s">
        <v>927</v>
      </c>
      <c r="S43" s="878" t="s">
        <v>590</v>
      </c>
      <c r="T43" s="879" t="s">
        <v>162</v>
      </c>
      <c r="U43" s="881">
        <v>10537</v>
      </c>
      <c r="V43" s="881">
        <v>2845</v>
      </c>
      <c r="W43" s="881">
        <v>4232</v>
      </c>
      <c r="X43" s="881">
        <v>1355</v>
      </c>
      <c r="Y43" s="881">
        <v>0</v>
      </c>
      <c r="Z43" s="881">
        <v>0</v>
      </c>
      <c r="AA43" s="881"/>
      <c r="AB43" s="881">
        <v>0</v>
      </c>
      <c r="AC43" s="881">
        <v>0</v>
      </c>
      <c r="AD43" s="893">
        <v>17614</v>
      </c>
      <c r="AE43" s="875"/>
      <c r="AF43" s="875">
        <v>17614</v>
      </c>
      <c r="AG43" s="875"/>
    </row>
    <row r="44" spans="1:33" ht="11.25">
      <c r="A44" s="1141"/>
      <c r="B44" s="878" t="s">
        <v>590</v>
      </c>
      <c r="C44" s="879" t="s">
        <v>919</v>
      </c>
      <c r="D44" s="880">
        <v>0</v>
      </c>
      <c r="E44" s="881">
        <v>1072</v>
      </c>
      <c r="F44" s="881">
        <v>289</v>
      </c>
      <c r="G44" s="881">
        <v>0</v>
      </c>
      <c r="H44" s="881">
        <v>0</v>
      </c>
      <c r="I44" s="881">
        <v>0</v>
      </c>
      <c r="J44" s="881">
        <v>0</v>
      </c>
      <c r="K44" s="881">
        <v>61</v>
      </c>
      <c r="L44" s="881">
        <v>0</v>
      </c>
      <c r="M44" s="881">
        <v>53</v>
      </c>
      <c r="N44" s="881">
        <v>0</v>
      </c>
      <c r="O44" s="881">
        <v>16319</v>
      </c>
      <c r="P44" s="881">
        <v>1475</v>
      </c>
      <c r="Q44" s="893">
        <v>17794</v>
      </c>
      <c r="R44" s="1142"/>
      <c r="S44" s="878" t="s">
        <v>590</v>
      </c>
      <c r="T44" s="879" t="s">
        <v>919</v>
      </c>
      <c r="U44" s="881">
        <v>10588</v>
      </c>
      <c r="V44" s="881">
        <v>2860</v>
      </c>
      <c r="W44" s="881">
        <v>4346</v>
      </c>
      <c r="X44" s="881">
        <v>1355</v>
      </c>
      <c r="Y44" s="881">
        <v>0</v>
      </c>
      <c r="Z44" s="881">
        <v>0</v>
      </c>
      <c r="AA44" s="881"/>
      <c r="AB44" s="881">
        <v>0</v>
      </c>
      <c r="AC44" s="881">
        <v>0</v>
      </c>
      <c r="AD44" s="893">
        <v>17794</v>
      </c>
      <c r="AE44" s="875"/>
      <c r="AF44" s="875"/>
      <c r="AG44" s="875"/>
    </row>
    <row r="45" spans="1:33" ht="11.25">
      <c r="A45" s="1141"/>
      <c r="B45" s="878" t="s">
        <v>590</v>
      </c>
      <c r="C45" s="879" t="s">
        <v>920</v>
      </c>
      <c r="D45" s="880">
        <v>0</v>
      </c>
      <c r="E45" s="881">
        <v>1072</v>
      </c>
      <c r="F45" s="881">
        <v>289</v>
      </c>
      <c r="G45" s="881">
        <v>0</v>
      </c>
      <c r="H45" s="881">
        <v>0</v>
      </c>
      <c r="I45" s="881">
        <v>0</v>
      </c>
      <c r="J45" s="881">
        <v>0</v>
      </c>
      <c r="K45" s="881">
        <v>61</v>
      </c>
      <c r="L45" s="881">
        <v>0</v>
      </c>
      <c r="M45" s="881">
        <v>53</v>
      </c>
      <c r="N45" s="881">
        <v>0</v>
      </c>
      <c r="O45" s="881">
        <v>17960</v>
      </c>
      <c r="P45" s="881">
        <v>1475</v>
      </c>
      <c r="Q45" s="893">
        <v>19435</v>
      </c>
      <c r="R45" s="1142"/>
      <c r="S45" s="878" t="s">
        <v>590</v>
      </c>
      <c r="T45" s="879" t="s">
        <v>920</v>
      </c>
      <c r="U45" s="881">
        <v>10718</v>
      </c>
      <c r="V45" s="881">
        <v>2896</v>
      </c>
      <c r="W45" s="881">
        <v>4213</v>
      </c>
      <c r="X45" s="881">
        <v>1355</v>
      </c>
      <c r="Y45" s="881">
        <v>0</v>
      </c>
      <c r="Z45" s="881">
        <v>0</v>
      </c>
      <c r="AA45" s="881"/>
      <c r="AB45" s="881">
        <v>1608</v>
      </c>
      <c r="AC45" s="881">
        <v>0</v>
      </c>
      <c r="AD45" s="893">
        <v>19435</v>
      </c>
      <c r="AE45" s="875"/>
      <c r="AF45" s="875"/>
      <c r="AG45" s="875"/>
    </row>
    <row r="46" spans="1:33" ht="11.25">
      <c r="A46" s="1141"/>
      <c r="B46" s="878" t="s">
        <v>590</v>
      </c>
      <c r="C46" s="879" t="s">
        <v>921</v>
      </c>
      <c r="D46" s="880">
        <v>0</v>
      </c>
      <c r="E46" s="881">
        <v>558</v>
      </c>
      <c r="F46" s="881">
        <v>151</v>
      </c>
      <c r="G46" s="881">
        <v>0</v>
      </c>
      <c r="H46" s="881">
        <v>0</v>
      </c>
      <c r="I46" s="881">
        <v>0</v>
      </c>
      <c r="J46" s="881">
        <v>0</v>
      </c>
      <c r="K46" s="881">
        <v>61</v>
      </c>
      <c r="L46" s="881">
        <v>0</v>
      </c>
      <c r="M46" s="881">
        <v>53</v>
      </c>
      <c r="N46" s="881">
        <v>0</v>
      </c>
      <c r="O46" s="881">
        <v>9616</v>
      </c>
      <c r="P46" s="881">
        <v>823</v>
      </c>
      <c r="Q46" s="893">
        <v>10439</v>
      </c>
      <c r="R46" s="1142"/>
      <c r="S46" s="878" t="s">
        <v>590</v>
      </c>
      <c r="T46" s="879" t="s">
        <v>921</v>
      </c>
      <c r="U46" s="881">
        <v>6626</v>
      </c>
      <c r="V46" s="881">
        <v>1840</v>
      </c>
      <c r="W46" s="881">
        <v>1898</v>
      </c>
      <c r="X46" s="881">
        <v>705</v>
      </c>
      <c r="Y46" s="881">
        <v>0</v>
      </c>
      <c r="Z46" s="881">
        <v>0</v>
      </c>
      <c r="AA46" s="881"/>
      <c r="AB46" s="881">
        <v>75</v>
      </c>
      <c r="AC46" s="881">
        <v>0</v>
      </c>
      <c r="AD46" s="893">
        <v>10439</v>
      </c>
      <c r="AE46" s="875"/>
      <c r="AF46" s="875"/>
      <c r="AG46" s="875"/>
    </row>
    <row r="47" spans="1:33" ht="11.25">
      <c r="A47" s="1141"/>
      <c r="B47" s="878" t="s">
        <v>590</v>
      </c>
      <c r="C47" s="879" t="s">
        <v>948</v>
      </c>
      <c r="D47" s="880">
        <v>0</v>
      </c>
      <c r="E47" s="881">
        <v>558</v>
      </c>
      <c r="F47" s="881">
        <v>151</v>
      </c>
      <c r="G47" s="881">
        <v>0</v>
      </c>
      <c r="H47" s="881">
        <v>0</v>
      </c>
      <c r="I47" s="881">
        <v>0</v>
      </c>
      <c r="J47" s="881">
        <v>0</v>
      </c>
      <c r="K47" s="881">
        <v>61</v>
      </c>
      <c r="L47" s="881">
        <v>0</v>
      </c>
      <c r="M47" s="881">
        <v>53</v>
      </c>
      <c r="N47" s="881">
        <v>0</v>
      </c>
      <c r="O47" s="881">
        <v>9616</v>
      </c>
      <c r="P47" s="881">
        <v>823</v>
      </c>
      <c r="Q47" s="893">
        <f>SUM(D47:O47)</f>
        <v>10439</v>
      </c>
      <c r="R47" s="1142"/>
      <c r="S47" s="878" t="s">
        <v>590</v>
      </c>
      <c r="T47" s="879" t="s">
        <v>948</v>
      </c>
      <c r="U47" s="881">
        <v>6626</v>
      </c>
      <c r="V47" s="881">
        <v>1840</v>
      </c>
      <c r="W47" s="881">
        <v>1898</v>
      </c>
      <c r="X47" s="881">
        <v>705</v>
      </c>
      <c r="Y47" s="881">
        <v>0</v>
      </c>
      <c r="Z47" s="881">
        <v>0</v>
      </c>
      <c r="AA47" s="881"/>
      <c r="AB47" s="881">
        <v>75</v>
      </c>
      <c r="AC47" s="881">
        <v>0</v>
      </c>
      <c r="AD47" s="893">
        <f>SUM(U47:AC47)-X47</f>
        <v>10439</v>
      </c>
      <c r="AE47" s="875"/>
      <c r="AF47" s="875"/>
      <c r="AG47" s="875"/>
    </row>
    <row r="48" spans="1:33" ht="12.75" customHeight="1">
      <c r="A48" s="1141" t="s">
        <v>949</v>
      </c>
      <c r="B48" s="878" t="s">
        <v>590</v>
      </c>
      <c r="C48" s="879" t="s">
        <v>162</v>
      </c>
      <c r="D48" s="880">
        <v>3378</v>
      </c>
      <c r="E48" s="881">
        <v>4258</v>
      </c>
      <c r="F48" s="881">
        <v>1252</v>
      </c>
      <c r="G48" s="881">
        <v>0</v>
      </c>
      <c r="H48" s="881">
        <v>0</v>
      </c>
      <c r="I48" s="881">
        <v>0</v>
      </c>
      <c r="J48" s="881">
        <v>0</v>
      </c>
      <c r="K48" s="881"/>
      <c r="L48" s="881">
        <v>0</v>
      </c>
      <c r="M48" s="881">
        <v>0</v>
      </c>
      <c r="N48" s="881">
        <v>0</v>
      </c>
      <c r="O48" s="881">
        <v>78632</v>
      </c>
      <c r="P48" s="881">
        <v>8888</v>
      </c>
      <c r="Q48" s="893">
        <v>87520</v>
      </c>
      <c r="R48" s="1142" t="s">
        <v>928</v>
      </c>
      <c r="S48" s="878" t="s">
        <v>590</v>
      </c>
      <c r="T48" s="879" t="s">
        <v>162</v>
      </c>
      <c r="U48" s="881">
        <v>53032</v>
      </c>
      <c r="V48" s="881">
        <v>13725</v>
      </c>
      <c r="W48" s="881">
        <v>20063</v>
      </c>
      <c r="X48" s="881">
        <v>5788</v>
      </c>
      <c r="Y48" s="881">
        <v>0</v>
      </c>
      <c r="Z48" s="881">
        <v>0</v>
      </c>
      <c r="AA48" s="881"/>
      <c r="AB48" s="881">
        <v>700</v>
      </c>
      <c r="AC48" s="881">
        <v>0</v>
      </c>
      <c r="AD48" s="893">
        <v>87520</v>
      </c>
      <c r="AE48" s="875"/>
      <c r="AF48" s="875">
        <v>87520</v>
      </c>
      <c r="AG48" s="875"/>
    </row>
    <row r="49" spans="1:33" ht="11.25">
      <c r="A49" s="1141"/>
      <c r="B49" s="878" t="s">
        <v>590</v>
      </c>
      <c r="C49" s="879" t="s">
        <v>919</v>
      </c>
      <c r="D49" s="880">
        <v>3978</v>
      </c>
      <c r="E49" s="881">
        <v>4258</v>
      </c>
      <c r="F49" s="881">
        <v>1252</v>
      </c>
      <c r="G49" s="881">
        <v>0</v>
      </c>
      <c r="H49" s="881">
        <v>0</v>
      </c>
      <c r="I49" s="881">
        <v>0</v>
      </c>
      <c r="J49" s="881">
        <v>0</v>
      </c>
      <c r="K49" s="881">
        <v>1343</v>
      </c>
      <c r="L49" s="881">
        <v>0</v>
      </c>
      <c r="M49" s="881">
        <v>265</v>
      </c>
      <c r="N49" s="881">
        <v>0</v>
      </c>
      <c r="O49" s="881">
        <v>81649</v>
      </c>
      <c r="P49" s="881">
        <v>11096</v>
      </c>
      <c r="Q49" s="893">
        <v>92745</v>
      </c>
      <c r="R49" s="1142"/>
      <c r="S49" s="878" t="s">
        <v>590</v>
      </c>
      <c r="T49" s="879" t="s">
        <v>919</v>
      </c>
      <c r="U49" s="881">
        <v>55407</v>
      </c>
      <c r="V49" s="881">
        <v>14367</v>
      </c>
      <c r="W49" s="881">
        <v>22271</v>
      </c>
      <c r="X49" s="881">
        <v>5788</v>
      </c>
      <c r="Y49" s="881">
        <v>0</v>
      </c>
      <c r="Z49" s="881">
        <v>0</v>
      </c>
      <c r="AA49" s="881"/>
      <c r="AB49" s="881">
        <v>700</v>
      </c>
      <c r="AC49" s="881">
        <v>0</v>
      </c>
      <c r="AD49" s="893">
        <v>92745</v>
      </c>
      <c r="AE49" s="875"/>
      <c r="AF49" s="875"/>
      <c r="AG49" s="875"/>
    </row>
    <row r="50" spans="1:33" ht="11.25">
      <c r="A50" s="1141"/>
      <c r="B50" s="878" t="s">
        <v>590</v>
      </c>
      <c r="C50" s="879" t="s">
        <v>920</v>
      </c>
      <c r="D50" s="880">
        <v>15912</v>
      </c>
      <c r="E50" s="881">
        <v>4258</v>
      </c>
      <c r="F50" s="881">
        <v>8004</v>
      </c>
      <c r="G50" s="881">
        <v>102</v>
      </c>
      <c r="H50" s="881">
        <v>0</v>
      </c>
      <c r="I50" s="881">
        <v>0</v>
      </c>
      <c r="J50" s="881">
        <v>0</v>
      </c>
      <c r="K50" s="881">
        <v>1343</v>
      </c>
      <c r="L50" s="881">
        <v>0</v>
      </c>
      <c r="M50" s="881">
        <v>265</v>
      </c>
      <c r="N50" s="881">
        <v>0</v>
      </c>
      <c r="O50" s="881">
        <v>83420</v>
      </c>
      <c r="P50" s="881">
        <v>29884</v>
      </c>
      <c r="Q50" s="893">
        <v>113304</v>
      </c>
      <c r="R50" s="1142"/>
      <c r="S50" s="878" t="s">
        <v>590</v>
      </c>
      <c r="T50" s="879" t="s">
        <v>920</v>
      </c>
      <c r="U50" s="881">
        <v>59335</v>
      </c>
      <c r="V50" s="881">
        <v>15400</v>
      </c>
      <c r="W50" s="881">
        <v>37376</v>
      </c>
      <c r="X50" s="881">
        <v>5788</v>
      </c>
      <c r="Y50" s="881">
        <v>0</v>
      </c>
      <c r="Z50" s="881">
        <v>0</v>
      </c>
      <c r="AA50" s="881"/>
      <c r="AB50" s="881">
        <v>1193</v>
      </c>
      <c r="AC50" s="881">
        <v>0</v>
      </c>
      <c r="AD50" s="893">
        <v>113304</v>
      </c>
      <c r="AE50" s="875"/>
      <c r="AF50" s="875"/>
      <c r="AG50" s="875"/>
    </row>
    <row r="51" spans="1:33" ht="11.25">
      <c r="A51" s="1141"/>
      <c r="B51" s="878" t="s">
        <v>590</v>
      </c>
      <c r="C51" s="879" t="s">
        <v>921</v>
      </c>
      <c r="D51" s="880">
        <v>15912</v>
      </c>
      <c r="E51" s="881">
        <v>4258</v>
      </c>
      <c r="F51" s="881">
        <v>8004</v>
      </c>
      <c r="G51" s="881">
        <v>102</v>
      </c>
      <c r="H51" s="881">
        <v>0</v>
      </c>
      <c r="I51" s="881">
        <v>0</v>
      </c>
      <c r="J51" s="881">
        <v>0</v>
      </c>
      <c r="K51" s="881">
        <v>1343</v>
      </c>
      <c r="L51" s="881">
        <v>0</v>
      </c>
      <c r="M51" s="881">
        <v>265</v>
      </c>
      <c r="N51" s="881">
        <v>0</v>
      </c>
      <c r="O51" s="881">
        <v>83420</v>
      </c>
      <c r="P51" s="881">
        <v>29884</v>
      </c>
      <c r="Q51" s="893">
        <v>113304</v>
      </c>
      <c r="R51" s="1142"/>
      <c r="S51" s="878" t="s">
        <v>590</v>
      </c>
      <c r="T51" s="879" t="s">
        <v>921</v>
      </c>
      <c r="U51" s="881">
        <v>59335</v>
      </c>
      <c r="V51" s="881">
        <v>15400</v>
      </c>
      <c r="W51" s="881">
        <v>37376</v>
      </c>
      <c r="X51" s="881">
        <v>5788</v>
      </c>
      <c r="Y51" s="881">
        <v>0</v>
      </c>
      <c r="Z51" s="881">
        <v>0</v>
      </c>
      <c r="AA51" s="881"/>
      <c r="AB51" s="881">
        <v>1193</v>
      </c>
      <c r="AC51" s="881">
        <v>0</v>
      </c>
      <c r="AD51" s="893">
        <v>113304</v>
      </c>
      <c r="AE51" s="875"/>
      <c r="AF51" s="875"/>
      <c r="AG51" s="875"/>
    </row>
    <row r="52" spans="1:33" ht="11.25">
      <c r="A52" s="1141"/>
      <c r="B52" s="878" t="s">
        <v>590</v>
      </c>
      <c r="C52" s="879" t="s">
        <v>948</v>
      </c>
      <c r="D52" s="880">
        <v>16876</v>
      </c>
      <c r="E52" s="881">
        <v>4691</v>
      </c>
      <c r="F52" s="881">
        <v>8121</v>
      </c>
      <c r="G52" s="881">
        <v>102</v>
      </c>
      <c r="H52" s="881">
        <v>0</v>
      </c>
      <c r="I52" s="881">
        <v>0</v>
      </c>
      <c r="J52" s="881">
        <v>0</v>
      </c>
      <c r="K52" s="881">
        <v>1343</v>
      </c>
      <c r="L52" s="881">
        <v>0</v>
      </c>
      <c r="M52" s="881">
        <v>265</v>
      </c>
      <c r="N52" s="881">
        <v>0</v>
      </c>
      <c r="O52" s="881">
        <f>AD52-P52</f>
        <v>85523</v>
      </c>
      <c r="P52" s="881">
        <v>31398</v>
      </c>
      <c r="Q52" s="893">
        <f>SUM(D52:O52)</f>
        <v>116921</v>
      </c>
      <c r="R52" s="1142"/>
      <c r="S52" s="878" t="s">
        <v>590</v>
      </c>
      <c r="T52" s="879" t="s">
        <v>948</v>
      </c>
      <c r="U52" s="881">
        <v>60047</v>
      </c>
      <c r="V52" s="881">
        <v>15593</v>
      </c>
      <c r="W52" s="881">
        <f>40088-300</f>
        <v>39788</v>
      </c>
      <c r="X52" s="881">
        <v>5788</v>
      </c>
      <c r="Y52" s="881">
        <v>0</v>
      </c>
      <c r="Z52" s="881">
        <v>0</v>
      </c>
      <c r="AA52" s="881"/>
      <c r="AB52" s="881">
        <f>1193+300</f>
        <v>1493</v>
      </c>
      <c r="AC52" s="881">
        <v>0</v>
      </c>
      <c r="AD52" s="893">
        <f>SUM(U52:AC52)-X52</f>
        <v>116921</v>
      </c>
      <c r="AE52" s="875"/>
      <c r="AF52" s="875"/>
      <c r="AG52" s="875"/>
    </row>
    <row r="53" spans="1:33" ht="12.75" customHeight="1">
      <c r="A53" s="1142" t="s">
        <v>929</v>
      </c>
      <c r="B53" s="878" t="s">
        <v>590</v>
      </c>
      <c r="C53" s="879" t="s">
        <v>162</v>
      </c>
      <c r="D53" s="880">
        <v>3027</v>
      </c>
      <c r="E53" s="881">
        <v>14011</v>
      </c>
      <c r="F53" s="881">
        <v>4600</v>
      </c>
      <c r="G53" s="881">
        <v>0</v>
      </c>
      <c r="H53" s="881">
        <v>0</v>
      </c>
      <c r="I53" s="881">
        <v>0</v>
      </c>
      <c r="J53" s="881">
        <v>0</v>
      </c>
      <c r="K53" s="881"/>
      <c r="L53" s="881">
        <v>0</v>
      </c>
      <c r="M53" s="881">
        <v>0</v>
      </c>
      <c r="N53" s="881">
        <v>0</v>
      </c>
      <c r="O53" s="881">
        <v>86738</v>
      </c>
      <c r="P53" s="881">
        <v>21638</v>
      </c>
      <c r="Q53" s="893">
        <v>108376</v>
      </c>
      <c r="R53" s="1142" t="s">
        <v>929</v>
      </c>
      <c r="S53" s="878" t="s">
        <v>590</v>
      </c>
      <c r="T53" s="879" t="s">
        <v>162</v>
      </c>
      <c r="U53" s="881">
        <v>0</v>
      </c>
      <c r="V53" s="881">
        <v>0</v>
      </c>
      <c r="W53" s="881">
        <v>83376</v>
      </c>
      <c r="X53" s="881">
        <v>43224</v>
      </c>
      <c r="Y53" s="881">
        <v>0</v>
      </c>
      <c r="Z53" s="881">
        <v>0</v>
      </c>
      <c r="AA53" s="881"/>
      <c r="AB53" s="881">
        <v>0</v>
      </c>
      <c r="AC53" s="881">
        <v>25000</v>
      </c>
      <c r="AD53" s="893">
        <v>108376</v>
      </c>
      <c r="AE53" s="875"/>
      <c r="AF53" s="875">
        <v>108376</v>
      </c>
      <c r="AG53" s="875"/>
    </row>
    <row r="54" spans="1:33" ht="11.25">
      <c r="A54" s="1142"/>
      <c r="B54" s="878" t="s">
        <v>590</v>
      </c>
      <c r="C54" s="879" t="s">
        <v>919</v>
      </c>
      <c r="D54" s="880">
        <v>3027</v>
      </c>
      <c r="E54" s="881">
        <v>14011</v>
      </c>
      <c r="F54" s="881">
        <v>4600</v>
      </c>
      <c r="G54" s="881">
        <v>0</v>
      </c>
      <c r="H54" s="881">
        <v>0</v>
      </c>
      <c r="I54" s="881">
        <v>0</v>
      </c>
      <c r="J54" s="881">
        <v>0</v>
      </c>
      <c r="K54" s="881"/>
      <c r="L54" s="881">
        <v>0</v>
      </c>
      <c r="M54" s="881">
        <v>0</v>
      </c>
      <c r="N54" s="881">
        <v>0</v>
      </c>
      <c r="O54" s="881">
        <v>86738</v>
      </c>
      <c r="P54" s="881">
        <v>21638</v>
      </c>
      <c r="Q54" s="893">
        <v>108376</v>
      </c>
      <c r="R54" s="1142"/>
      <c r="S54" s="878" t="s">
        <v>590</v>
      </c>
      <c r="T54" s="879" t="s">
        <v>919</v>
      </c>
      <c r="U54" s="881">
        <v>0</v>
      </c>
      <c r="V54" s="881">
        <v>0</v>
      </c>
      <c r="W54" s="881">
        <v>83376</v>
      </c>
      <c r="X54" s="881">
        <v>43224</v>
      </c>
      <c r="Y54" s="881">
        <v>0</v>
      </c>
      <c r="Z54" s="881">
        <v>0</v>
      </c>
      <c r="AA54" s="881"/>
      <c r="AB54" s="881">
        <v>0</v>
      </c>
      <c r="AC54" s="881">
        <v>25000</v>
      </c>
      <c r="AD54" s="893">
        <v>108376</v>
      </c>
      <c r="AE54" s="875"/>
      <c r="AF54" s="875"/>
      <c r="AG54" s="875"/>
    </row>
    <row r="55" spans="1:33" ht="11.25">
      <c r="A55" s="1142"/>
      <c r="B55" s="878" t="s">
        <v>590</v>
      </c>
      <c r="C55" s="879" t="s">
        <v>920</v>
      </c>
      <c r="D55" s="880">
        <v>3027</v>
      </c>
      <c r="E55" s="881">
        <v>14011</v>
      </c>
      <c r="F55" s="881">
        <v>4600</v>
      </c>
      <c r="G55" s="881">
        <v>0</v>
      </c>
      <c r="H55" s="881">
        <v>0</v>
      </c>
      <c r="I55" s="881">
        <v>0</v>
      </c>
      <c r="J55" s="881">
        <v>0</v>
      </c>
      <c r="K55" s="881"/>
      <c r="L55" s="881">
        <v>0</v>
      </c>
      <c r="M55" s="881">
        <v>0</v>
      </c>
      <c r="N55" s="881">
        <v>0</v>
      </c>
      <c r="O55" s="881">
        <v>94475</v>
      </c>
      <c r="P55" s="881">
        <v>21638</v>
      </c>
      <c r="Q55" s="893">
        <v>116113</v>
      </c>
      <c r="R55" s="1142"/>
      <c r="S55" s="878" t="s">
        <v>590</v>
      </c>
      <c r="T55" s="879" t="s">
        <v>920</v>
      </c>
      <c r="U55" s="881">
        <v>0</v>
      </c>
      <c r="V55" s="881">
        <v>0</v>
      </c>
      <c r="W55" s="881">
        <v>82558</v>
      </c>
      <c r="X55" s="881">
        <v>43224</v>
      </c>
      <c r="Y55" s="881">
        <v>0</v>
      </c>
      <c r="Z55" s="881">
        <v>0</v>
      </c>
      <c r="AA55" s="881"/>
      <c r="AB55" s="881">
        <v>55</v>
      </c>
      <c r="AC55" s="881">
        <v>33500</v>
      </c>
      <c r="AD55" s="893">
        <v>116113</v>
      </c>
      <c r="AE55" s="875"/>
      <c r="AF55" s="875"/>
      <c r="AG55" s="875"/>
    </row>
    <row r="56" spans="1:33" ht="11.25">
      <c r="A56" s="1142"/>
      <c r="B56" s="878" t="s">
        <v>590</v>
      </c>
      <c r="C56" s="879" t="s">
        <v>921</v>
      </c>
      <c r="D56" s="880">
        <v>3027</v>
      </c>
      <c r="E56" s="881">
        <v>14011</v>
      </c>
      <c r="F56" s="881">
        <v>4600</v>
      </c>
      <c r="G56" s="881">
        <v>0</v>
      </c>
      <c r="H56" s="881">
        <v>0</v>
      </c>
      <c r="I56" s="881">
        <v>0</v>
      </c>
      <c r="J56" s="881">
        <v>0</v>
      </c>
      <c r="K56" s="881"/>
      <c r="L56" s="881">
        <v>0</v>
      </c>
      <c r="M56" s="881">
        <v>0</v>
      </c>
      <c r="N56" s="881">
        <v>0</v>
      </c>
      <c r="O56" s="881">
        <v>94475</v>
      </c>
      <c r="P56" s="881">
        <v>21638</v>
      </c>
      <c r="Q56" s="893">
        <v>116113</v>
      </c>
      <c r="R56" s="1142"/>
      <c r="S56" s="878" t="s">
        <v>590</v>
      </c>
      <c r="T56" s="879" t="s">
        <v>921</v>
      </c>
      <c r="U56" s="881">
        <v>0</v>
      </c>
      <c r="V56" s="881">
        <v>0</v>
      </c>
      <c r="W56" s="881">
        <v>82558</v>
      </c>
      <c r="X56" s="881">
        <v>43224</v>
      </c>
      <c r="Y56" s="881">
        <v>0</v>
      </c>
      <c r="Z56" s="881">
        <v>0</v>
      </c>
      <c r="AA56" s="881"/>
      <c r="AB56" s="881">
        <v>55</v>
      </c>
      <c r="AC56" s="881">
        <v>33500</v>
      </c>
      <c r="AD56" s="893">
        <v>116113</v>
      </c>
      <c r="AE56" s="875"/>
      <c r="AF56" s="875"/>
      <c r="AG56" s="875"/>
    </row>
    <row r="57" spans="1:33" ht="11.25">
      <c r="A57" s="1142"/>
      <c r="B57" s="878" t="s">
        <v>590</v>
      </c>
      <c r="C57" s="879" t="s">
        <v>948</v>
      </c>
      <c r="D57" s="880">
        <v>3027</v>
      </c>
      <c r="E57" s="881">
        <v>14011</v>
      </c>
      <c r="F57" s="881">
        <v>4600</v>
      </c>
      <c r="G57" s="881">
        <v>0</v>
      </c>
      <c r="H57" s="881">
        <v>0</v>
      </c>
      <c r="I57" s="881">
        <v>0</v>
      </c>
      <c r="J57" s="881">
        <v>0</v>
      </c>
      <c r="K57" s="881"/>
      <c r="L57" s="881">
        <v>0</v>
      </c>
      <c r="M57" s="881">
        <v>0</v>
      </c>
      <c r="N57" s="881">
        <v>0</v>
      </c>
      <c r="O57" s="881">
        <f>AD57-P57</f>
        <v>94475</v>
      </c>
      <c r="P57" s="881">
        <v>21638</v>
      </c>
      <c r="Q57" s="893">
        <f>SUM(D57:O57)</f>
        <v>116113</v>
      </c>
      <c r="R57" s="1142"/>
      <c r="S57" s="878" t="s">
        <v>590</v>
      </c>
      <c r="T57" s="879" t="s">
        <v>948</v>
      </c>
      <c r="U57" s="881">
        <v>0</v>
      </c>
      <c r="V57" s="881">
        <v>0</v>
      </c>
      <c r="W57" s="881">
        <f>82558-385-472</f>
        <v>81701</v>
      </c>
      <c r="X57" s="881">
        <v>43224</v>
      </c>
      <c r="Y57" s="881">
        <v>0</v>
      </c>
      <c r="Z57" s="881">
        <v>0</v>
      </c>
      <c r="AA57" s="881"/>
      <c r="AB57" s="881">
        <f>55+385+472</f>
        <v>912</v>
      </c>
      <c r="AC57" s="881">
        <v>33500</v>
      </c>
      <c r="AD57" s="893">
        <f>SUM(U57:AC57)-X57</f>
        <v>116113</v>
      </c>
      <c r="AE57" s="875"/>
      <c r="AF57" s="875"/>
      <c r="AG57" s="875"/>
    </row>
    <row r="58" spans="1:33" ht="12.75" customHeight="1">
      <c r="A58" s="1142" t="s">
        <v>930</v>
      </c>
      <c r="B58" s="878" t="s">
        <v>590</v>
      </c>
      <c r="C58" s="879" t="s">
        <v>162</v>
      </c>
      <c r="D58" s="880">
        <v>0</v>
      </c>
      <c r="E58" s="881">
        <v>0</v>
      </c>
      <c r="F58" s="881">
        <v>0</v>
      </c>
      <c r="G58" s="881">
        <v>0</v>
      </c>
      <c r="H58" s="881">
        <v>0</v>
      </c>
      <c r="I58" s="881">
        <v>0</v>
      </c>
      <c r="J58" s="881">
        <v>0</v>
      </c>
      <c r="K58" s="881"/>
      <c r="L58" s="881">
        <v>0</v>
      </c>
      <c r="M58" s="881">
        <v>0</v>
      </c>
      <c r="N58" s="881">
        <v>0</v>
      </c>
      <c r="O58" s="881">
        <v>1763</v>
      </c>
      <c r="P58" s="881">
        <v>0</v>
      </c>
      <c r="Q58" s="893">
        <v>1763</v>
      </c>
      <c r="R58" s="1142" t="s">
        <v>930</v>
      </c>
      <c r="S58" s="878" t="s">
        <v>590</v>
      </c>
      <c r="T58" s="879" t="s">
        <v>162</v>
      </c>
      <c r="U58" s="881">
        <v>0</v>
      </c>
      <c r="V58" s="881">
        <v>0</v>
      </c>
      <c r="W58" s="881">
        <v>1763</v>
      </c>
      <c r="X58" s="881">
        <v>0</v>
      </c>
      <c r="Y58" s="881">
        <v>0</v>
      </c>
      <c r="Z58" s="881">
        <v>0</v>
      </c>
      <c r="AA58" s="881"/>
      <c r="AB58" s="881">
        <v>0</v>
      </c>
      <c r="AC58" s="881">
        <v>0</v>
      </c>
      <c r="AD58" s="893">
        <v>1763</v>
      </c>
      <c r="AE58" s="875"/>
      <c r="AF58" s="875">
        <v>1763</v>
      </c>
      <c r="AG58" s="875"/>
    </row>
    <row r="59" spans="1:33" ht="11.25">
      <c r="A59" s="1142"/>
      <c r="B59" s="878" t="s">
        <v>590</v>
      </c>
      <c r="C59" s="879" t="s">
        <v>919</v>
      </c>
      <c r="D59" s="880">
        <v>0</v>
      </c>
      <c r="E59" s="881">
        <v>0</v>
      </c>
      <c r="F59" s="881">
        <v>0</v>
      </c>
      <c r="G59" s="881">
        <v>0</v>
      </c>
      <c r="H59" s="881">
        <v>0</v>
      </c>
      <c r="I59" s="881">
        <v>0</v>
      </c>
      <c r="J59" s="881">
        <v>0</v>
      </c>
      <c r="K59" s="881"/>
      <c r="L59" s="881">
        <v>0</v>
      </c>
      <c r="M59" s="881">
        <v>0</v>
      </c>
      <c r="N59" s="881">
        <v>0</v>
      </c>
      <c r="O59" s="881">
        <v>1763</v>
      </c>
      <c r="P59" s="881">
        <v>0</v>
      </c>
      <c r="Q59" s="893">
        <v>1763</v>
      </c>
      <c r="R59" s="1142"/>
      <c r="S59" s="878" t="s">
        <v>590</v>
      </c>
      <c r="T59" s="879" t="s">
        <v>919</v>
      </c>
      <c r="U59" s="881">
        <v>0</v>
      </c>
      <c r="V59" s="881">
        <v>0</v>
      </c>
      <c r="W59" s="881">
        <v>1763</v>
      </c>
      <c r="X59" s="881">
        <v>0</v>
      </c>
      <c r="Y59" s="881">
        <v>0</v>
      </c>
      <c r="Z59" s="881">
        <v>0</v>
      </c>
      <c r="AA59" s="881"/>
      <c r="AB59" s="881">
        <v>0</v>
      </c>
      <c r="AC59" s="881">
        <v>0</v>
      </c>
      <c r="AD59" s="893">
        <v>1763</v>
      </c>
      <c r="AE59" s="875"/>
      <c r="AF59" s="875"/>
      <c r="AG59" s="875"/>
    </row>
    <row r="60" spans="1:33" ht="11.25">
      <c r="A60" s="1142"/>
      <c r="B60" s="878" t="s">
        <v>590</v>
      </c>
      <c r="C60" s="879" t="s">
        <v>920</v>
      </c>
      <c r="D60" s="880">
        <v>0</v>
      </c>
      <c r="E60" s="881">
        <v>0</v>
      </c>
      <c r="F60" s="881">
        <v>0</v>
      </c>
      <c r="G60" s="881">
        <v>0</v>
      </c>
      <c r="H60" s="881">
        <v>0</v>
      </c>
      <c r="I60" s="881">
        <v>0</v>
      </c>
      <c r="J60" s="881">
        <v>0</v>
      </c>
      <c r="K60" s="881"/>
      <c r="L60" s="881">
        <v>0</v>
      </c>
      <c r="M60" s="881">
        <v>0</v>
      </c>
      <c r="N60" s="881">
        <v>0</v>
      </c>
      <c r="O60" s="881">
        <v>1763</v>
      </c>
      <c r="P60" s="881">
        <v>0</v>
      </c>
      <c r="Q60" s="893">
        <v>1763</v>
      </c>
      <c r="R60" s="1142"/>
      <c r="S60" s="878" t="s">
        <v>590</v>
      </c>
      <c r="T60" s="879" t="s">
        <v>920</v>
      </c>
      <c r="U60" s="881">
        <v>0</v>
      </c>
      <c r="V60" s="881">
        <v>0</v>
      </c>
      <c r="W60" s="881">
        <v>1763</v>
      </c>
      <c r="X60" s="881">
        <v>0</v>
      </c>
      <c r="Y60" s="881">
        <v>0</v>
      </c>
      <c r="Z60" s="881">
        <v>0</v>
      </c>
      <c r="AA60" s="881"/>
      <c r="AB60" s="881">
        <v>0</v>
      </c>
      <c r="AC60" s="881">
        <v>0</v>
      </c>
      <c r="AD60" s="893">
        <v>1763</v>
      </c>
      <c r="AE60" s="875"/>
      <c r="AF60" s="875"/>
      <c r="AG60" s="875"/>
    </row>
    <row r="61" spans="1:33" ht="11.25">
      <c r="A61" s="1142"/>
      <c r="B61" s="878" t="s">
        <v>590</v>
      </c>
      <c r="C61" s="879" t="s">
        <v>921</v>
      </c>
      <c r="D61" s="880">
        <v>0</v>
      </c>
      <c r="E61" s="881">
        <v>0</v>
      </c>
      <c r="F61" s="881">
        <v>0</v>
      </c>
      <c r="G61" s="881">
        <v>0</v>
      </c>
      <c r="H61" s="881">
        <v>0</v>
      </c>
      <c r="I61" s="881">
        <v>0</v>
      </c>
      <c r="J61" s="881">
        <v>0</v>
      </c>
      <c r="K61" s="881"/>
      <c r="L61" s="881">
        <v>0</v>
      </c>
      <c r="M61" s="881">
        <v>0</v>
      </c>
      <c r="N61" s="881">
        <v>0</v>
      </c>
      <c r="O61" s="881">
        <v>1763</v>
      </c>
      <c r="P61" s="881">
        <v>0</v>
      </c>
      <c r="Q61" s="893">
        <v>1763</v>
      </c>
      <c r="R61" s="1142"/>
      <c r="S61" s="878" t="s">
        <v>590</v>
      </c>
      <c r="T61" s="879" t="s">
        <v>921</v>
      </c>
      <c r="U61" s="881">
        <v>0</v>
      </c>
      <c r="V61" s="881">
        <v>0</v>
      </c>
      <c r="W61" s="881">
        <v>1763</v>
      </c>
      <c r="X61" s="881">
        <v>0</v>
      </c>
      <c r="Y61" s="881">
        <v>0</v>
      </c>
      <c r="Z61" s="881">
        <v>0</v>
      </c>
      <c r="AA61" s="881"/>
      <c r="AB61" s="881">
        <v>0</v>
      </c>
      <c r="AC61" s="881">
        <v>0</v>
      </c>
      <c r="AD61" s="893">
        <v>1763</v>
      </c>
      <c r="AE61" s="875"/>
      <c r="AF61" s="875"/>
      <c r="AG61" s="875"/>
    </row>
    <row r="62" spans="1:33" ht="11.25">
      <c r="A62" s="1142"/>
      <c r="B62" s="878" t="s">
        <v>590</v>
      </c>
      <c r="C62" s="879" t="s">
        <v>948</v>
      </c>
      <c r="D62" s="880">
        <v>0</v>
      </c>
      <c r="E62" s="881">
        <v>0</v>
      </c>
      <c r="F62" s="881">
        <v>0</v>
      </c>
      <c r="G62" s="881">
        <v>0</v>
      </c>
      <c r="H62" s="881">
        <v>0</v>
      </c>
      <c r="I62" s="881">
        <v>0</v>
      </c>
      <c r="J62" s="881">
        <v>0</v>
      </c>
      <c r="K62" s="881"/>
      <c r="L62" s="881">
        <v>0</v>
      </c>
      <c r="M62" s="881">
        <v>0</v>
      </c>
      <c r="N62" s="881">
        <v>0</v>
      </c>
      <c r="O62" s="881">
        <f>AD62-P62</f>
        <v>1763</v>
      </c>
      <c r="P62" s="881">
        <v>0</v>
      </c>
      <c r="Q62" s="893">
        <f>SUM(D62:O62)</f>
        <v>1763</v>
      </c>
      <c r="R62" s="1142"/>
      <c r="S62" s="878" t="s">
        <v>590</v>
      </c>
      <c r="T62" s="879" t="s">
        <v>948</v>
      </c>
      <c r="U62" s="881">
        <v>0</v>
      </c>
      <c r="V62" s="881">
        <v>0</v>
      </c>
      <c r="W62" s="881">
        <v>1763</v>
      </c>
      <c r="X62" s="881">
        <v>0</v>
      </c>
      <c r="Y62" s="881">
        <v>0</v>
      </c>
      <c r="Z62" s="881">
        <v>0</v>
      </c>
      <c r="AA62" s="881"/>
      <c r="AB62" s="881">
        <v>0</v>
      </c>
      <c r="AC62" s="881">
        <v>0</v>
      </c>
      <c r="AD62" s="893">
        <f>SUM(U62:AC62)-X62</f>
        <v>1763</v>
      </c>
      <c r="AE62" s="875"/>
      <c r="AF62" s="875"/>
      <c r="AG62" s="875"/>
    </row>
    <row r="63" spans="1:33" ht="12.75" customHeight="1">
      <c r="A63" s="1142" t="s">
        <v>950</v>
      </c>
      <c r="B63" s="878" t="s">
        <v>590</v>
      </c>
      <c r="C63" s="879" t="s">
        <v>162</v>
      </c>
      <c r="D63" s="880">
        <v>220</v>
      </c>
      <c r="E63" s="881">
        <v>8284</v>
      </c>
      <c r="F63" s="881">
        <v>2242</v>
      </c>
      <c r="G63" s="881">
        <v>0</v>
      </c>
      <c r="H63" s="881">
        <v>0</v>
      </c>
      <c r="I63" s="881">
        <v>0</v>
      </c>
      <c r="J63" s="881">
        <v>0</v>
      </c>
      <c r="K63" s="881"/>
      <c r="L63" s="881">
        <v>0</v>
      </c>
      <c r="M63" s="881">
        <v>0</v>
      </c>
      <c r="N63" s="881">
        <v>0</v>
      </c>
      <c r="O63" s="881">
        <v>21372</v>
      </c>
      <c r="P63" s="881">
        <v>10746</v>
      </c>
      <c r="Q63" s="893">
        <v>32118</v>
      </c>
      <c r="R63" s="1142" t="s">
        <v>931</v>
      </c>
      <c r="S63" s="878" t="s">
        <v>590</v>
      </c>
      <c r="T63" s="879" t="s">
        <v>162</v>
      </c>
      <c r="U63" s="881">
        <v>0</v>
      </c>
      <c r="V63" s="881">
        <v>0</v>
      </c>
      <c r="W63" s="881">
        <v>31468</v>
      </c>
      <c r="X63" s="881">
        <v>20841</v>
      </c>
      <c r="Y63" s="881">
        <v>0</v>
      </c>
      <c r="Z63" s="881">
        <v>0</v>
      </c>
      <c r="AA63" s="881"/>
      <c r="AB63" s="881">
        <v>0</v>
      </c>
      <c r="AC63" s="881">
        <v>650</v>
      </c>
      <c r="AD63" s="893">
        <v>32118</v>
      </c>
      <c r="AE63" s="875"/>
      <c r="AF63" s="875">
        <v>32118</v>
      </c>
      <c r="AG63" s="875"/>
    </row>
    <row r="64" spans="1:33" ht="11.25">
      <c r="A64" s="1142"/>
      <c r="B64" s="878" t="s">
        <v>590</v>
      </c>
      <c r="C64" s="879" t="s">
        <v>919</v>
      </c>
      <c r="D64" s="880">
        <v>220</v>
      </c>
      <c r="E64" s="881">
        <v>8284</v>
      </c>
      <c r="F64" s="881">
        <v>2242</v>
      </c>
      <c r="G64" s="881">
        <v>0</v>
      </c>
      <c r="H64" s="881">
        <v>0</v>
      </c>
      <c r="I64" s="881">
        <v>0</v>
      </c>
      <c r="J64" s="881">
        <v>0</v>
      </c>
      <c r="K64" s="881"/>
      <c r="L64" s="881">
        <v>0</v>
      </c>
      <c r="M64" s="881">
        <v>0</v>
      </c>
      <c r="N64" s="881">
        <v>0</v>
      </c>
      <c r="O64" s="881">
        <v>21372</v>
      </c>
      <c r="P64" s="881">
        <v>10746</v>
      </c>
      <c r="Q64" s="893">
        <v>32118</v>
      </c>
      <c r="R64" s="1142"/>
      <c r="S64" s="878" t="s">
        <v>590</v>
      </c>
      <c r="T64" s="879" t="s">
        <v>919</v>
      </c>
      <c r="U64" s="881">
        <v>0</v>
      </c>
      <c r="V64" s="881">
        <v>0</v>
      </c>
      <c r="W64" s="881">
        <v>31468</v>
      </c>
      <c r="X64" s="881">
        <v>20841</v>
      </c>
      <c r="Y64" s="881">
        <v>0</v>
      </c>
      <c r="Z64" s="881">
        <v>0</v>
      </c>
      <c r="AA64" s="881"/>
      <c r="AB64" s="881">
        <v>0</v>
      </c>
      <c r="AC64" s="881">
        <v>650</v>
      </c>
      <c r="AD64" s="893">
        <v>32118</v>
      </c>
      <c r="AE64" s="875"/>
      <c r="AF64" s="875"/>
      <c r="AG64" s="875"/>
    </row>
    <row r="65" spans="1:33" ht="11.25">
      <c r="A65" s="1142"/>
      <c r="B65" s="878" t="s">
        <v>590</v>
      </c>
      <c r="C65" s="879" t="s">
        <v>920</v>
      </c>
      <c r="D65" s="880">
        <v>220</v>
      </c>
      <c r="E65" s="881">
        <v>8284</v>
      </c>
      <c r="F65" s="881">
        <v>2242</v>
      </c>
      <c r="G65" s="881">
        <v>0</v>
      </c>
      <c r="H65" s="881">
        <v>0</v>
      </c>
      <c r="I65" s="881">
        <v>0</v>
      </c>
      <c r="J65" s="881">
        <v>0</v>
      </c>
      <c r="K65" s="881"/>
      <c r="L65" s="881">
        <v>0</v>
      </c>
      <c r="M65" s="881">
        <v>0</v>
      </c>
      <c r="N65" s="881">
        <v>0</v>
      </c>
      <c r="O65" s="881">
        <v>22135</v>
      </c>
      <c r="P65" s="881">
        <v>10746</v>
      </c>
      <c r="Q65" s="893">
        <v>32881</v>
      </c>
      <c r="R65" s="1142"/>
      <c r="S65" s="878" t="s">
        <v>590</v>
      </c>
      <c r="T65" s="879" t="s">
        <v>920</v>
      </c>
      <c r="U65" s="881">
        <v>0</v>
      </c>
      <c r="V65" s="881">
        <v>0</v>
      </c>
      <c r="W65" s="881">
        <v>32231</v>
      </c>
      <c r="X65" s="881">
        <v>20841</v>
      </c>
      <c r="Y65" s="881">
        <v>0</v>
      </c>
      <c r="Z65" s="881">
        <v>0</v>
      </c>
      <c r="AA65" s="881"/>
      <c r="AB65" s="881">
        <v>0</v>
      </c>
      <c r="AC65" s="881">
        <v>650</v>
      </c>
      <c r="AD65" s="893">
        <v>32881</v>
      </c>
      <c r="AE65" s="875"/>
      <c r="AF65" s="875"/>
      <c r="AG65" s="875"/>
    </row>
    <row r="66" spans="1:33" ht="11.25">
      <c r="A66" s="1142"/>
      <c r="B66" s="878" t="s">
        <v>590</v>
      </c>
      <c r="C66" s="879" t="s">
        <v>921</v>
      </c>
      <c r="D66" s="880">
        <v>220</v>
      </c>
      <c r="E66" s="881">
        <v>8284</v>
      </c>
      <c r="F66" s="881">
        <v>2242</v>
      </c>
      <c r="G66" s="881">
        <v>0</v>
      </c>
      <c r="H66" s="881">
        <v>0</v>
      </c>
      <c r="I66" s="881">
        <v>0</v>
      </c>
      <c r="J66" s="881">
        <v>0</v>
      </c>
      <c r="K66" s="881"/>
      <c r="L66" s="881">
        <v>0</v>
      </c>
      <c r="M66" s="881">
        <v>0</v>
      </c>
      <c r="N66" s="881">
        <v>0</v>
      </c>
      <c r="O66" s="881">
        <v>22135</v>
      </c>
      <c r="P66" s="881">
        <v>10746</v>
      </c>
      <c r="Q66" s="893">
        <v>32881</v>
      </c>
      <c r="R66" s="1142"/>
      <c r="S66" s="878" t="s">
        <v>590</v>
      </c>
      <c r="T66" s="879" t="s">
        <v>921</v>
      </c>
      <c r="U66" s="881">
        <v>0</v>
      </c>
      <c r="V66" s="881">
        <v>0</v>
      </c>
      <c r="W66" s="881">
        <v>32231</v>
      </c>
      <c r="X66" s="881">
        <v>20841</v>
      </c>
      <c r="Y66" s="881">
        <v>0</v>
      </c>
      <c r="Z66" s="881">
        <v>0</v>
      </c>
      <c r="AA66" s="881"/>
      <c r="AB66" s="881">
        <v>0</v>
      </c>
      <c r="AC66" s="881">
        <v>650</v>
      </c>
      <c r="AD66" s="893">
        <v>32881</v>
      </c>
      <c r="AE66" s="875"/>
      <c r="AF66" s="875"/>
      <c r="AG66" s="875"/>
    </row>
    <row r="67" spans="1:33" ht="11.25">
      <c r="A67" s="1142"/>
      <c r="B67" s="878" t="s">
        <v>590</v>
      </c>
      <c r="C67" s="879" t="s">
        <v>948</v>
      </c>
      <c r="D67" s="880">
        <v>220</v>
      </c>
      <c r="E67" s="881">
        <v>8284</v>
      </c>
      <c r="F67" s="881">
        <v>2242</v>
      </c>
      <c r="G67" s="881">
        <v>0</v>
      </c>
      <c r="H67" s="881">
        <v>0</v>
      </c>
      <c r="I67" s="881">
        <v>0</v>
      </c>
      <c r="J67" s="881">
        <v>0</v>
      </c>
      <c r="K67" s="881"/>
      <c r="L67" s="881">
        <v>0</v>
      </c>
      <c r="M67" s="881">
        <v>0</v>
      </c>
      <c r="N67" s="881">
        <v>0</v>
      </c>
      <c r="O67" s="881">
        <f>AD67-P67</f>
        <v>22135</v>
      </c>
      <c r="P67" s="881">
        <v>10746</v>
      </c>
      <c r="Q67" s="893">
        <f>SUM(D67:O67)</f>
        <v>32881</v>
      </c>
      <c r="R67" s="1142"/>
      <c r="S67" s="878" t="s">
        <v>590</v>
      </c>
      <c r="T67" s="879" t="s">
        <v>948</v>
      </c>
      <c r="U67" s="881">
        <v>0</v>
      </c>
      <c r="V67" s="881">
        <v>0</v>
      </c>
      <c r="W67" s="881">
        <f>32226-208</f>
        <v>32018</v>
      </c>
      <c r="X67" s="881">
        <v>20841</v>
      </c>
      <c r="Y67" s="881">
        <v>0</v>
      </c>
      <c r="Z67" s="881">
        <v>0</v>
      </c>
      <c r="AA67" s="881"/>
      <c r="AB67" s="881">
        <f>5+208</f>
        <v>213</v>
      </c>
      <c r="AC67" s="881">
        <v>650</v>
      </c>
      <c r="AD67" s="893">
        <f>SUM(U67:AC67)-X67</f>
        <v>32881</v>
      </c>
      <c r="AE67" s="875"/>
      <c r="AF67" s="875"/>
      <c r="AG67" s="875"/>
    </row>
    <row r="68" spans="1:33" s="888" customFormat="1" ht="12.75" customHeight="1">
      <c r="A68" s="1143" t="s">
        <v>932</v>
      </c>
      <c r="B68" s="883" t="s">
        <v>590</v>
      </c>
      <c r="C68" s="884" t="s">
        <v>162</v>
      </c>
      <c r="D68" s="885">
        <v>3247</v>
      </c>
      <c r="E68" s="886">
        <v>22295</v>
      </c>
      <c r="F68" s="886">
        <v>6842</v>
      </c>
      <c r="G68" s="881">
        <v>0</v>
      </c>
      <c r="H68" s="881">
        <v>0</v>
      </c>
      <c r="I68" s="881">
        <v>0</v>
      </c>
      <c r="J68" s="881">
        <v>0</v>
      </c>
      <c r="K68" s="886"/>
      <c r="L68" s="881">
        <v>0</v>
      </c>
      <c r="M68" s="881">
        <v>0</v>
      </c>
      <c r="N68" s="881">
        <v>0</v>
      </c>
      <c r="O68" s="886">
        <v>109873</v>
      </c>
      <c r="P68" s="886">
        <v>32384</v>
      </c>
      <c r="Q68" s="894">
        <v>142257</v>
      </c>
      <c r="R68" s="1137" t="s">
        <v>932</v>
      </c>
      <c r="S68" s="883" t="s">
        <v>590</v>
      </c>
      <c r="T68" s="884" t="s">
        <v>162</v>
      </c>
      <c r="U68" s="886">
        <v>0</v>
      </c>
      <c r="V68" s="886">
        <v>0</v>
      </c>
      <c r="W68" s="886">
        <v>116607</v>
      </c>
      <c r="X68" s="886">
        <v>64065</v>
      </c>
      <c r="Y68" s="881">
        <v>0</v>
      </c>
      <c r="Z68" s="881">
        <v>0</v>
      </c>
      <c r="AA68" s="881"/>
      <c r="AB68" s="886">
        <v>0</v>
      </c>
      <c r="AC68" s="886">
        <v>25650</v>
      </c>
      <c r="AD68" s="894">
        <v>142257</v>
      </c>
      <c r="AE68" s="887">
        <v>0</v>
      </c>
      <c r="AF68" s="887"/>
      <c r="AG68" s="887"/>
    </row>
    <row r="69" spans="1:33" s="888" customFormat="1" ht="11.25">
      <c r="A69" s="1143"/>
      <c r="B69" s="883" t="s">
        <v>590</v>
      </c>
      <c r="C69" s="884" t="s">
        <v>919</v>
      </c>
      <c r="D69" s="885">
        <v>3247</v>
      </c>
      <c r="E69" s="886">
        <v>22295</v>
      </c>
      <c r="F69" s="886">
        <v>6842</v>
      </c>
      <c r="G69" s="881">
        <v>0</v>
      </c>
      <c r="H69" s="881">
        <v>0</v>
      </c>
      <c r="I69" s="881">
        <v>0</v>
      </c>
      <c r="J69" s="881">
        <v>0</v>
      </c>
      <c r="K69" s="886">
        <v>0</v>
      </c>
      <c r="L69" s="881">
        <v>0</v>
      </c>
      <c r="M69" s="881">
        <v>0</v>
      </c>
      <c r="N69" s="881">
        <v>0</v>
      </c>
      <c r="O69" s="886">
        <v>109873</v>
      </c>
      <c r="P69" s="886">
        <v>32384</v>
      </c>
      <c r="Q69" s="894">
        <v>142257</v>
      </c>
      <c r="R69" s="1137"/>
      <c r="S69" s="883" t="s">
        <v>590</v>
      </c>
      <c r="T69" s="884" t="s">
        <v>919</v>
      </c>
      <c r="U69" s="886">
        <v>0</v>
      </c>
      <c r="V69" s="886">
        <v>0</v>
      </c>
      <c r="W69" s="886">
        <v>116607</v>
      </c>
      <c r="X69" s="886">
        <v>64065</v>
      </c>
      <c r="Y69" s="881">
        <v>0</v>
      </c>
      <c r="Z69" s="881">
        <v>0</v>
      </c>
      <c r="AA69" s="881"/>
      <c r="AB69" s="886">
        <v>0</v>
      </c>
      <c r="AC69" s="886">
        <v>25650</v>
      </c>
      <c r="AD69" s="894">
        <v>142257</v>
      </c>
      <c r="AE69" s="887"/>
      <c r="AF69" s="887"/>
      <c r="AG69" s="887"/>
    </row>
    <row r="70" spans="1:33" s="888" customFormat="1" ht="11.25">
      <c r="A70" s="1143"/>
      <c r="B70" s="883" t="s">
        <v>590</v>
      </c>
      <c r="C70" s="884" t="s">
        <v>920</v>
      </c>
      <c r="D70" s="885">
        <v>3247</v>
      </c>
      <c r="E70" s="886">
        <v>22295</v>
      </c>
      <c r="F70" s="886">
        <v>6842</v>
      </c>
      <c r="G70" s="881">
        <v>0</v>
      </c>
      <c r="H70" s="881">
        <v>0</v>
      </c>
      <c r="I70" s="881">
        <v>0</v>
      </c>
      <c r="J70" s="881">
        <v>0</v>
      </c>
      <c r="K70" s="886">
        <v>0</v>
      </c>
      <c r="L70" s="881">
        <v>0</v>
      </c>
      <c r="M70" s="881">
        <v>0</v>
      </c>
      <c r="N70" s="881">
        <v>0</v>
      </c>
      <c r="O70" s="886">
        <v>118373</v>
      </c>
      <c r="P70" s="886">
        <v>32384</v>
      </c>
      <c r="Q70" s="894">
        <v>150757</v>
      </c>
      <c r="R70" s="1137"/>
      <c r="S70" s="883" t="s">
        <v>590</v>
      </c>
      <c r="T70" s="884" t="s">
        <v>920</v>
      </c>
      <c r="U70" s="886">
        <v>0</v>
      </c>
      <c r="V70" s="886">
        <v>0</v>
      </c>
      <c r="W70" s="886">
        <v>116552</v>
      </c>
      <c r="X70" s="886">
        <v>64065</v>
      </c>
      <c r="Y70" s="881">
        <v>0</v>
      </c>
      <c r="Z70" s="881">
        <v>0</v>
      </c>
      <c r="AA70" s="881"/>
      <c r="AB70" s="886">
        <v>55</v>
      </c>
      <c r="AC70" s="886">
        <v>34150</v>
      </c>
      <c r="AD70" s="894">
        <v>150757</v>
      </c>
      <c r="AE70" s="887"/>
      <c r="AF70" s="887"/>
      <c r="AG70" s="887"/>
    </row>
    <row r="71" spans="1:33" s="888" customFormat="1" ht="11.25">
      <c r="A71" s="1143"/>
      <c r="B71" s="883" t="s">
        <v>590</v>
      </c>
      <c r="C71" s="884" t="s">
        <v>921</v>
      </c>
      <c r="D71" s="885">
        <v>3247</v>
      </c>
      <c r="E71" s="886">
        <v>22295</v>
      </c>
      <c r="F71" s="886">
        <v>6842</v>
      </c>
      <c r="G71" s="881">
        <v>0</v>
      </c>
      <c r="H71" s="881">
        <v>0</v>
      </c>
      <c r="I71" s="881">
        <v>0</v>
      </c>
      <c r="J71" s="881">
        <v>0</v>
      </c>
      <c r="K71" s="886">
        <v>0</v>
      </c>
      <c r="L71" s="881">
        <v>0</v>
      </c>
      <c r="M71" s="881">
        <v>0</v>
      </c>
      <c r="N71" s="881">
        <v>0</v>
      </c>
      <c r="O71" s="886">
        <v>118373</v>
      </c>
      <c r="P71" s="886">
        <v>32384</v>
      </c>
      <c r="Q71" s="894">
        <v>150757</v>
      </c>
      <c r="R71" s="1137"/>
      <c r="S71" s="883" t="s">
        <v>590</v>
      </c>
      <c r="T71" s="884" t="s">
        <v>921</v>
      </c>
      <c r="U71" s="886">
        <v>0</v>
      </c>
      <c r="V71" s="886">
        <v>0</v>
      </c>
      <c r="W71" s="886">
        <v>116552</v>
      </c>
      <c r="X71" s="886">
        <v>64065</v>
      </c>
      <c r="Y71" s="881">
        <v>0</v>
      </c>
      <c r="Z71" s="881">
        <v>0</v>
      </c>
      <c r="AA71" s="881"/>
      <c r="AB71" s="886">
        <v>55</v>
      </c>
      <c r="AC71" s="886">
        <v>34150</v>
      </c>
      <c r="AD71" s="894">
        <v>150757</v>
      </c>
      <c r="AE71" s="887"/>
      <c r="AF71" s="887"/>
      <c r="AG71" s="887"/>
    </row>
    <row r="72" spans="1:33" s="888" customFormat="1" ht="11.25" thickBot="1">
      <c r="A72" s="1159"/>
      <c r="B72" s="895" t="s">
        <v>590</v>
      </c>
      <c r="C72" s="906" t="s">
        <v>948</v>
      </c>
      <c r="D72" s="911">
        <f>D57+D67+D62</f>
        <v>3247</v>
      </c>
      <c r="E72" s="911">
        <f aca="true" t="shared" si="0" ref="E72:N72">E57+E67+E62</f>
        <v>22295</v>
      </c>
      <c r="F72" s="911">
        <f t="shared" si="0"/>
        <v>6842</v>
      </c>
      <c r="G72" s="911">
        <f t="shared" si="0"/>
        <v>0</v>
      </c>
      <c r="H72" s="911">
        <f t="shared" si="0"/>
        <v>0</v>
      </c>
      <c r="I72" s="911">
        <f t="shared" si="0"/>
        <v>0</v>
      </c>
      <c r="J72" s="911">
        <f t="shared" si="0"/>
        <v>0</v>
      </c>
      <c r="K72" s="911">
        <f t="shared" si="0"/>
        <v>0</v>
      </c>
      <c r="L72" s="911">
        <f t="shared" si="0"/>
        <v>0</v>
      </c>
      <c r="M72" s="911">
        <f t="shared" si="0"/>
        <v>0</v>
      </c>
      <c r="N72" s="911">
        <f t="shared" si="0"/>
        <v>0</v>
      </c>
      <c r="O72" s="896">
        <f>AD72-P72</f>
        <v>118373</v>
      </c>
      <c r="P72" s="911">
        <f>P57+P67+P62</f>
        <v>32384</v>
      </c>
      <c r="Q72" s="912">
        <f>Q57+Q67+Q62</f>
        <v>150757</v>
      </c>
      <c r="R72" s="1139"/>
      <c r="S72" s="895" t="s">
        <v>590</v>
      </c>
      <c r="T72" s="906" t="s">
        <v>948</v>
      </c>
      <c r="U72" s="896">
        <v>0</v>
      </c>
      <c r="V72" s="896">
        <v>0</v>
      </c>
      <c r="W72" s="896">
        <f aca="true" t="shared" si="1" ref="W72:AC72">W57+W62+W67</f>
        <v>115482</v>
      </c>
      <c r="X72" s="896">
        <f t="shared" si="1"/>
        <v>64065</v>
      </c>
      <c r="Y72" s="896">
        <f t="shared" si="1"/>
        <v>0</v>
      </c>
      <c r="Z72" s="896">
        <f t="shared" si="1"/>
        <v>0</v>
      </c>
      <c r="AA72" s="896">
        <f t="shared" si="1"/>
        <v>0</v>
      </c>
      <c r="AB72" s="896">
        <f t="shared" si="1"/>
        <v>1125</v>
      </c>
      <c r="AC72" s="896">
        <f t="shared" si="1"/>
        <v>34150</v>
      </c>
      <c r="AD72" s="897">
        <f>SUM(U72:AC72)-X72</f>
        <v>150757</v>
      </c>
      <c r="AE72" s="887"/>
      <c r="AF72" s="887"/>
      <c r="AG72" s="887"/>
    </row>
    <row r="73" spans="1:33" ht="12.75" customHeight="1">
      <c r="A73" s="1157" t="s">
        <v>710</v>
      </c>
      <c r="B73" s="900" t="s">
        <v>590</v>
      </c>
      <c r="C73" s="901" t="s">
        <v>162</v>
      </c>
      <c r="D73" s="913">
        <v>5148</v>
      </c>
      <c r="E73" s="903">
        <v>18374</v>
      </c>
      <c r="F73" s="903">
        <v>5993</v>
      </c>
      <c r="G73" s="903">
        <v>0</v>
      </c>
      <c r="H73" s="903">
        <v>0</v>
      </c>
      <c r="I73" s="903">
        <v>0</v>
      </c>
      <c r="J73" s="903">
        <v>0</v>
      </c>
      <c r="K73" s="903"/>
      <c r="L73" s="903">
        <v>0</v>
      </c>
      <c r="M73" s="903">
        <v>0</v>
      </c>
      <c r="N73" s="903">
        <v>0</v>
      </c>
      <c r="O73" s="903">
        <v>94900</v>
      </c>
      <c r="P73" s="903">
        <v>29515</v>
      </c>
      <c r="Q73" s="904">
        <v>124415</v>
      </c>
      <c r="R73" s="1158" t="s">
        <v>710</v>
      </c>
      <c r="S73" s="900" t="s">
        <v>590</v>
      </c>
      <c r="T73" s="901" t="s">
        <v>162</v>
      </c>
      <c r="U73" s="902">
        <v>0</v>
      </c>
      <c r="V73" s="903">
        <v>0</v>
      </c>
      <c r="W73" s="903">
        <v>122415</v>
      </c>
      <c r="X73" s="903">
        <v>47459</v>
      </c>
      <c r="Y73" s="903">
        <v>0</v>
      </c>
      <c r="Z73" s="903">
        <v>0</v>
      </c>
      <c r="AA73" s="903"/>
      <c r="AB73" s="903">
        <v>0</v>
      </c>
      <c r="AC73" s="903">
        <v>2000</v>
      </c>
      <c r="AD73" s="904">
        <v>124415</v>
      </c>
      <c r="AE73" s="875"/>
      <c r="AF73" s="875">
        <v>124415</v>
      </c>
      <c r="AG73" s="875"/>
    </row>
    <row r="74" spans="1:33" ht="11.25">
      <c r="A74" s="1141"/>
      <c r="B74" s="878" t="s">
        <v>590</v>
      </c>
      <c r="C74" s="879" t="s">
        <v>919</v>
      </c>
      <c r="D74" s="880">
        <v>5148</v>
      </c>
      <c r="E74" s="881">
        <v>18374</v>
      </c>
      <c r="F74" s="881">
        <v>5993</v>
      </c>
      <c r="G74" s="881">
        <v>0</v>
      </c>
      <c r="H74" s="881">
        <v>0</v>
      </c>
      <c r="I74" s="881">
        <v>0</v>
      </c>
      <c r="J74" s="881">
        <v>0</v>
      </c>
      <c r="K74" s="881"/>
      <c r="L74" s="881">
        <v>0</v>
      </c>
      <c r="M74" s="881">
        <v>0</v>
      </c>
      <c r="N74" s="881">
        <v>0</v>
      </c>
      <c r="O74" s="881">
        <v>94900</v>
      </c>
      <c r="P74" s="881">
        <v>29515</v>
      </c>
      <c r="Q74" s="893">
        <v>124415</v>
      </c>
      <c r="R74" s="1142"/>
      <c r="S74" s="878" t="s">
        <v>590</v>
      </c>
      <c r="T74" s="879" t="s">
        <v>919</v>
      </c>
      <c r="U74" s="886">
        <v>0</v>
      </c>
      <c r="V74" s="881">
        <v>0</v>
      </c>
      <c r="W74" s="881">
        <v>122415</v>
      </c>
      <c r="X74" s="881">
        <v>47459</v>
      </c>
      <c r="Y74" s="881">
        <v>0</v>
      </c>
      <c r="Z74" s="881">
        <v>0</v>
      </c>
      <c r="AA74" s="881"/>
      <c r="AB74" s="881">
        <v>0</v>
      </c>
      <c r="AC74" s="881">
        <v>2000</v>
      </c>
      <c r="AD74" s="893">
        <v>124415</v>
      </c>
      <c r="AE74" s="875"/>
      <c r="AF74" s="875"/>
      <c r="AG74" s="875"/>
    </row>
    <row r="75" spans="1:33" ht="11.25">
      <c r="A75" s="1141"/>
      <c r="B75" s="878" t="s">
        <v>590</v>
      </c>
      <c r="C75" s="879" t="s">
        <v>920</v>
      </c>
      <c r="D75" s="880">
        <v>5148</v>
      </c>
      <c r="E75" s="881">
        <v>18374</v>
      </c>
      <c r="F75" s="881">
        <v>5993</v>
      </c>
      <c r="G75" s="881">
        <v>0</v>
      </c>
      <c r="H75" s="881">
        <v>0</v>
      </c>
      <c r="I75" s="881">
        <v>0</v>
      </c>
      <c r="J75" s="881">
        <v>0</v>
      </c>
      <c r="K75" s="881"/>
      <c r="L75" s="881">
        <v>0</v>
      </c>
      <c r="M75" s="881">
        <v>0</v>
      </c>
      <c r="N75" s="881">
        <v>0</v>
      </c>
      <c r="O75" s="881">
        <v>94900</v>
      </c>
      <c r="P75" s="881">
        <v>29515</v>
      </c>
      <c r="Q75" s="893">
        <v>124415</v>
      </c>
      <c r="R75" s="1142"/>
      <c r="S75" s="878" t="s">
        <v>590</v>
      </c>
      <c r="T75" s="879" t="s">
        <v>920</v>
      </c>
      <c r="U75" s="886">
        <v>0</v>
      </c>
      <c r="V75" s="881">
        <v>0</v>
      </c>
      <c r="W75" s="881">
        <v>122395</v>
      </c>
      <c r="X75" s="881">
        <v>47459</v>
      </c>
      <c r="Y75" s="881">
        <v>0</v>
      </c>
      <c r="Z75" s="881">
        <v>0</v>
      </c>
      <c r="AA75" s="881"/>
      <c r="AB75" s="881">
        <v>20</v>
      </c>
      <c r="AC75" s="881">
        <v>2000</v>
      </c>
      <c r="AD75" s="893">
        <v>124415</v>
      </c>
      <c r="AE75" s="875"/>
      <c r="AF75" s="875"/>
      <c r="AG75" s="875"/>
    </row>
    <row r="76" spans="1:33" ht="11.25">
      <c r="A76" s="1141"/>
      <c r="B76" s="878" t="s">
        <v>590</v>
      </c>
      <c r="C76" s="879" t="s">
        <v>921</v>
      </c>
      <c r="D76" s="880">
        <v>5148</v>
      </c>
      <c r="E76" s="881">
        <v>18374</v>
      </c>
      <c r="F76" s="881">
        <v>5993</v>
      </c>
      <c r="G76" s="881">
        <v>0</v>
      </c>
      <c r="H76" s="881">
        <v>0</v>
      </c>
      <c r="I76" s="881">
        <v>0</v>
      </c>
      <c r="J76" s="881">
        <v>0</v>
      </c>
      <c r="K76" s="881"/>
      <c r="L76" s="881">
        <v>0</v>
      </c>
      <c r="M76" s="881">
        <v>0</v>
      </c>
      <c r="N76" s="881">
        <v>0</v>
      </c>
      <c r="O76" s="881">
        <v>94900</v>
      </c>
      <c r="P76" s="881">
        <v>29515</v>
      </c>
      <c r="Q76" s="893">
        <v>124415</v>
      </c>
      <c r="R76" s="1142"/>
      <c r="S76" s="878" t="s">
        <v>590</v>
      </c>
      <c r="T76" s="879" t="s">
        <v>921</v>
      </c>
      <c r="U76" s="886">
        <v>0</v>
      </c>
      <c r="V76" s="881">
        <v>0</v>
      </c>
      <c r="W76" s="881">
        <v>122395</v>
      </c>
      <c r="X76" s="881">
        <v>47459</v>
      </c>
      <c r="Y76" s="881">
        <v>0</v>
      </c>
      <c r="Z76" s="881">
        <v>0</v>
      </c>
      <c r="AA76" s="881"/>
      <c r="AB76" s="881">
        <v>20</v>
      </c>
      <c r="AC76" s="881">
        <v>2000</v>
      </c>
      <c r="AD76" s="893">
        <v>124415</v>
      </c>
      <c r="AE76" s="875"/>
      <c r="AF76" s="875"/>
      <c r="AG76" s="875"/>
    </row>
    <row r="77" spans="1:33" ht="11.25">
      <c r="A77" s="1141"/>
      <c r="B77" s="878" t="s">
        <v>590</v>
      </c>
      <c r="C77" s="879" t="s">
        <v>948</v>
      </c>
      <c r="D77" s="880">
        <v>5148</v>
      </c>
      <c r="E77" s="881">
        <v>18374</v>
      </c>
      <c r="F77" s="881">
        <v>5993</v>
      </c>
      <c r="G77" s="881">
        <v>0</v>
      </c>
      <c r="H77" s="881">
        <v>0</v>
      </c>
      <c r="I77" s="881">
        <v>0</v>
      </c>
      <c r="J77" s="881">
        <v>0</v>
      </c>
      <c r="K77" s="881"/>
      <c r="L77" s="881">
        <v>0</v>
      </c>
      <c r="M77" s="881">
        <v>0</v>
      </c>
      <c r="N77" s="881">
        <v>0</v>
      </c>
      <c r="O77" s="881">
        <f>AD77-P77</f>
        <v>94900</v>
      </c>
      <c r="P77" s="881">
        <v>29515</v>
      </c>
      <c r="Q77" s="893">
        <v>124415</v>
      </c>
      <c r="R77" s="1142"/>
      <c r="S77" s="878" t="s">
        <v>590</v>
      </c>
      <c r="T77" s="879" t="s">
        <v>948</v>
      </c>
      <c r="U77" s="886">
        <v>0</v>
      </c>
      <c r="V77" s="881">
        <v>0</v>
      </c>
      <c r="W77" s="881">
        <f>122162-124</f>
        <v>122038</v>
      </c>
      <c r="X77" s="881">
        <v>47459</v>
      </c>
      <c r="Y77" s="881">
        <v>0</v>
      </c>
      <c r="Z77" s="881">
        <v>0</v>
      </c>
      <c r="AA77" s="881"/>
      <c r="AB77" s="881">
        <f>253+124</f>
        <v>377</v>
      </c>
      <c r="AC77" s="881">
        <v>2000</v>
      </c>
      <c r="AD77" s="893">
        <f>SUM(U77:AC77)-X77</f>
        <v>124415</v>
      </c>
      <c r="AE77" s="875"/>
      <c r="AF77" s="875"/>
      <c r="AG77" s="875"/>
    </row>
    <row r="78" spans="1:33" ht="12.75" customHeight="1">
      <c r="A78" s="1142" t="s">
        <v>951</v>
      </c>
      <c r="B78" s="878" t="s">
        <v>590</v>
      </c>
      <c r="C78" s="879" t="s">
        <v>162</v>
      </c>
      <c r="D78" s="880">
        <v>400</v>
      </c>
      <c r="E78" s="881">
        <v>6492</v>
      </c>
      <c r="F78" s="881">
        <v>1798</v>
      </c>
      <c r="G78" s="881">
        <v>0</v>
      </c>
      <c r="H78" s="881">
        <v>0</v>
      </c>
      <c r="I78" s="881">
        <v>0</v>
      </c>
      <c r="J78" s="881">
        <v>0</v>
      </c>
      <c r="K78" s="881"/>
      <c r="L78" s="881">
        <v>0</v>
      </c>
      <c r="M78" s="881">
        <v>0</v>
      </c>
      <c r="N78" s="881">
        <v>0</v>
      </c>
      <c r="O78" s="881">
        <v>29160</v>
      </c>
      <c r="P78" s="881">
        <v>8690</v>
      </c>
      <c r="Q78" s="893">
        <v>37850</v>
      </c>
      <c r="R78" s="1142" t="s">
        <v>987</v>
      </c>
      <c r="S78" s="878" t="s">
        <v>590</v>
      </c>
      <c r="T78" s="879" t="s">
        <v>162</v>
      </c>
      <c r="U78" s="881">
        <v>0</v>
      </c>
      <c r="V78" s="881">
        <v>0</v>
      </c>
      <c r="W78" s="881">
        <v>35269</v>
      </c>
      <c r="X78" s="881">
        <v>17490</v>
      </c>
      <c r="Y78" s="881">
        <v>0</v>
      </c>
      <c r="Z78" s="881">
        <v>0</v>
      </c>
      <c r="AA78" s="881"/>
      <c r="AB78" s="881">
        <v>0</v>
      </c>
      <c r="AC78" s="881">
        <v>2581</v>
      </c>
      <c r="AD78" s="893">
        <v>37850</v>
      </c>
      <c r="AE78" s="875"/>
      <c r="AF78" s="875">
        <v>37850</v>
      </c>
      <c r="AG78" s="875"/>
    </row>
    <row r="79" spans="1:33" ht="11.25">
      <c r="A79" s="1142"/>
      <c r="B79" s="878" t="s">
        <v>590</v>
      </c>
      <c r="C79" s="879" t="s">
        <v>919</v>
      </c>
      <c r="D79" s="880">
        <v>400</v>
      </c>
      <c r="E79" s="881">
        <v>6492</v>
      </c>
      <c r="F79" s="881">
        <v>1798</v>
      </c>
      <c r="G79" s="881">
        <v>0</v>
      </c>
      <c r="H79" s="881">
        <v>0</v>
      </c>
      <c r="I79" s="881">
        <v>0</v>
      </c>
      <c r="J79" s="881">
        <v>0</v>
      </c>
      <c r="K79" s="881"/>
      <c r="L79" s="881">
        <v>0</v>
      </c>
      <c r="M79" s="881">
        <v>0</v>
      </c>
      <c r="N79" s="881">
        <v>0</v>
      </c>
      <c r="O79" s="881">
        <v>29160</v>
      </c>
      <c r="P79" s="881">
        <v>8690</v>
      </c>
      <c r="Q79" s="893">
        <v>37850</v>
      </c>
      <c r="R79" s="1142"/>
      <c r="S79" s="878" t="s">
        <v>590</v>
      </c>
      <c r="T79" s="879" t="s">
        <v>919</v>
      </c>
      <c r="U79" s="881">
        <v>0</v>
      </c>
      <c r="V79" s="881">
        <v>0</v>
      </c>
      <c r="W79" s="881">
        <v>35269</v>
      </c>
      <c r="X79" s="881">
        <v>17490</v>
      </c>
      <c r="Y79" s="881">
        <v>0</v>
      </c>
      <c r="Z79" s="881">
        <v>0</v>
      </c>
      <c r="AA79" s="881"/>
      <c r="AB79" s="881">
        <v>0</v>
      </c>
      <c r="AC79" s="881">
        <v>2581</v>
      </c>
      <c r="AD79" s="893">
        <v>37850</v>
      </c>
      <c r="AE79" s="875"/>
      <c r="AF79" s="875"/>
      <c r="AG79" s="875"/>
    </row>
    <row r="80" spans="1:33" ht="11.25">
      <c r="A80" s="1142"/>
      <c r="B80" s="878" t="s">
        <v>590</v>
      </c>
      <c r="C80" s="879" t="s">
        <v>920</v>
      </c>
      <c r="D80" s="880">
        <v>400</v>
      </c>
      <c r="E80" s="881">
        <v>6492</v>
      </c>
      <c r="F80" s="881">
        <v>1798</v>
      </c>
      <c r="G80" s="881">
        <v>0</v>
      </c>
      <c r="H80" s="881">
        <v>0</v>
      </c>
      <c r="I80" s="881">
        <v>0</v>
      </c>
      <c r="J80" s="881">
        <v>0</v>
      </c>
      <c r="K80" s="881"/>
      <c r="L80" s="881">
        <v>0</v>
      </c>
      <c r="M80" s="881">
        <v>0</v>
      </c>
      <c r="N80" s="881">
        <v>0</v>
      </c>
      <c r="O80" s="881">
        <v>29445</v>
      </c>
      <c r="P80" s="881">
        <v>8690</v>
      </c>
      <c r="Q80" s="893">
        <v>38135</v>
      </c>
      <c r="R80" s="1142"/>
      <c r="S80" s="878" t="s">
        <v>590</v>
      </c>
      <c r="T80" s="879" t="s">
        <v>920</v>
      </c>
      <c r="U80" s="881">
        <v>0</v>
      </c>
      <c r="V80" s="881">
        <v>0</v>
      </c>
      <c r="W80" s="881">
        <v>35554</v>
      </c>
      <c r="X80" s="881">
        <v>17490</v>
      </c>
      <c r="Y80" s="881">
        <v>0</v>
      </c>
      <c r="Z80" s="881">
        <v>0</v>
      </c>
      <c r="AA80" s="881"/>
      <c r="AB80" s="881">
        <v>0</v>
      </c>
      <c r="AC80" s="881">
        <v>2581</v>
      </c>
      <c r="AD80" s="893">
        <v>38135</v>
      </c>
      <c r="AE80" s="875"/>
      <c r="AF80" s="875"/>
      <c r="AG80" s="875"/>
    </row>
    <row r="81" spans="1:33" ht="11.25">
      <c r="A81" s="1142"/>
      <c r="B81" s="878" t="s">
        <v>590</v>
      </c>
      <c r="C81" s="879" t="s">
        <v>921</v>
      </c>
      <c r="D81" s="880">
        <v>400</v>
      </c>
      <c r="E81" s="881">
        <v>6492</v>
      </c>
      <c r="F81" s="881">
        <v>1798</v>
      </c>
      <c r="G81" s="881">
        <v>0</v>
      </c>
      <c r="H81" s="881">
        <v>0</v>
      </c>
      <c r="I81" s="881">
        <v>0</v>
      </c>
      <c r="J81" s="881">
        <v>0</v>
      </c>
      <c r="K81" s="881"/>
      <c r="L81" s="881">
        <v>0</v>
      </c>
      <c r="M81" s="881">
        <v>0</v>
      </c>
      <c r="N81" s="881">
        <v>0</v>
      </c>
      <c r="O81" s="881">
        <v>29445</v>
      </c>
      <c r="P81" s="881">
        <v>8690</v>
      </c>
      <c r="Q81" s="893">
        <v>38135</v>
      </c>
      <c r="R81" s="1142"/>
      <c r="S81" s="878" t="s">
        <v>590</v>
      </c>
      <c r="T81" s="879" t="s">
        <v>921</v>
      </c>
      <c r="U81" s="881">
        <v>0</v>
      </c>
      <c r="V81" s="881">
        <v>0</v>
      </c>
      <c r="W81" s="881">
        <v>35554</v>
      </c>
      <c r="X81" s="881">
        <v>17490</v>
      </c>
      <c r="Y81" s="881">
        <v>0</v>
      </c>
      <c r="Z81" s="881">
        <v>0</v>
      </c>
      <c r="AA81" s="881"/>
      <c r="AB81" s="881">
        <v>0</v>
      </c>
      <c r="AC81" s="881">
        <v>2581</v>
      </c>
      <c r="AD81" s="893">
        <v>38135</v>
      </c>
      <c r="AE81" s="875"/>
      <c r="AF81" s="875"/>
      <c r="AG81" s="875"/>
    </row>
    <row r="82" spans="1:33" ht="11.25">
      <c r="A82" s="1142"/>
      <c r="B82" s="878" t="s">
        <v>590</v>
      </c>
      <c r="C82" s="879" t="s">
        <v>948</v>
      </c>
      <c r="D82" s="880">
        <v>400</v>
      </c>
      <c r="E82" s="881">
        <v>6492</v>
      </c>
      <c r="F82" s="881">
        <v>1798</v>
      </c>
      <c r="G82" s="881">
        <v>0</v>
      </c>
      <c r="H82" s="881">
        <v>0</v>
      </c>
      <c r="I82" s="881">
        <v>0</v>
      </c>
      <c r="J82" s="881">
        <v>0</v>
      </c>
      <c r="K82" s="881"/>
      <c r="L82" s="881">
        <v>0</v>
      </c>
      <c r="M82" s="881">
        <v>0</v>
      </c>
      <c r="N82" s="881">
        <v>0</v>
      </c>
      <c r="O82" s="881">
        <f>AD82-P82</f>
        <v>29445</v>
      </c>
      <c r="P82" s="881">
        <v>8690</v>
      </c>
      <c r="Q82" s="893">
        <f>SUM(D82:O82)</f>
        <v>38135</v>
      </c>
      <c r="R82" s="1142"/>
      <c r="S82" s="878" t="s">
        <v>590</v>
      </c>
      <c r="T82" s="879" t="s">
        <v>948</v>
      </c>
      <c r="U82" s="881">
        <v>0</v>
      </c>
      <c r="V82" s="881">
        <v>0</v>
      </c>
      <c r="W82" s="881">
        <f>35549-111</f>
        <v>35438</v>
      </c>
      <c r="X82" s="881">
        <v>17490</v>
      </c>
      <c r="Y82" s="881">
        <v>0</v>
      </c>
      <c r="Z82" s="881">
        <v>0</v>
      </c>
      <c r="AA82" s="881"/>
      <c r="AB82" s="881">
        <f>5+111</f>
        <v>116</v>
      </c>
      <c r="AC82" s="881">
        <v>2581</v>
      </c>
      <c r="AD82" s="893">
        <v>38135</v>
      </c>
      <c r="AE82" s="875"/>
      <c r="AF82" s="875"/>
      <c r="AG82" s="875"/>
    </row>
    <row r="83" spans="1:33" s="888" customFormat="1" ht="12.75" customHeight="1">
      <c r="A83" s="1143" t="s">
        <v>933</v>
      </c>
      <c r="B83" s="883" t="s">
        <v>590</v>
      </c>
      <c r="C83" s="884" t="s">
        <v>162</v>
      </c>
      <c r="D83" s="885">
        <v>5548</v>
      </c>
      <c r="E83" s="886">
        <v>24866</v>
      </c>
      <c r="F83" s="886">
        <v>7791</v>
      </c>
      <c r="G83" s="881">
        <v>0</v>
      </c>
      <c r="H83" s="881">
        <v>0</v>
      </c>
      <c r="I83" s="881">
        <v>0</v>
      </c>
      <c r="J83" s="881">
        <v>0</v>
      </c>
      <c r="K83" s="886"/>
      <c r="L83" s="881">
        <v>0</v>
      </c>
      <c r="M83" s="881">
        <v>0</v>
      </c>
      <c r="N83" s="881">
        <v>0</v>
      </c>
      <c r="O83" s="886">
        <v>124060</v>
      </c>
      <c r="P83" s="886">
        <v>38205</v>
      </c>
      <c r="Q83" s="894">
        <v>162265</v>
      </c>
      <c r="R83" s="1137" t="s">
        <v>933</v>
      </c>
      <c r="S83" s="883" t="s">
        <v>590</v>
      </c>
      <c r="T83" s="884" t="s">
        <v>162</v>
      </c>
      <c r="U83" s="886">
        <v>0</v>
      </c>
      <c r="V83" s="886">
        <v>0</v>
      </c>
      <c r="W83" s="886">
        <v>157684</v>
      </c>
      <c r="X83" s="886">
        <v>64949</v>
      </c>
      <c r="Y83" s="881">
        <v>0</v>
      </c>
      <c r="Z83" s="881">
        <v>0</v>
      </c>
      <c r="AA83" s="881"/>
      <c r="AB83" s="886">
        <v>0</v>
      </c>
      <c r="AC83" s="886">
        <v>4581</v>
      </c>
      <c r="AD83" s="894">
        <v>162265</v>
      </c>
      <c r="AE83" s="887"/>
      <c r="AF83" s="887">
        <v>162265</v>
      </c>
      <c r="AG83" s="887"/>
    </row>
    <row r="84" spans="1:33" s="888" customFormat="1" ht="11.25">
      <c r="A84" s="1143"/>
      <c r="B84" s="883" t="s">
        <v>590</v>
      </c>
      <c r="C84" s="884" t="s">
        <v>919</v>
      </c>
      <c r="D84" s="885">
        <v>5548</v>
      </c>
      <c r="E84" s="886">
        <v>24866</v>
      </c>
      <c r="F84" s="886">
        <v>7791</v>
      </c>
      <c r="G84" s="881">
        <v>0</v>
      </c>
      <c r="H84" s="881">
        <v>0</v>
      </c>
      <c r="I84" s="881">
        <v>0</v>
      </c>
      <c r="J84" s="881">
        <v>0</v>
      </c>
      <c r="K84" s="886">
        <v>0</v>
      </c>
      <c r="L84" s="881">
        <v>0</v>
      </c>
      <c r="M84" s="881">
        <v>0</v>
      </c>
      <c r="N84" s="881">
        <v>0</v>
      </c>
      <c r="O84" s="886">
        <v>124060</v>
      </c>
      <c r="P84" s="886">
        <v>38205</v>
      </c>
      <c r="Q84" s="894">
        <v>162265</v>
      </c>
      <c r="R84" s="1137"/>
      <c r="S84" s="883" t="s">
        <v>590</v>
      </c>
      <c r="T84" s="884" t="s">
        <v>919</v>
      </c>
      <c r="U84" s="886">
        <v>0</v>
      </c>
      <c r="V84" s="886">
        <v>0</v>
      </c>
      <c r="W84" s="886">
        <v>157684</v>
      </c>
      <c r="X84" s="886">
        <v>64949</v>
      </c>
      <c r="Y84" s="881">
        <v>0</v>
      </c>
      <c r="Z84" s="881">
        <v>0</v>
      </c>
      <c r="AA84" s="881"/>
      <c r="AB84" s="886">
        <v>0</v>
      </c>
      <c r="AC84" s="886">
        <v>4581</v>
      </c>
      <c r="AD84" s="894">
        <v>162265</v>
      </c>
      <c r="AE84" s="887"/>
      <c r="AF84" s="887"/>
      <c r="AG84" s="887"/>
    </row>
    <row r="85" spans="1:33" s="888" customFormat="1" ht="11.25">
      <c r="A85" s="1143"/>
      <c r="B85" s="883" t="s">
        <v>590</v>
      </c>
      <c r="C85" s="884" t="s">
        <v>920</v>
      </c>
      <c r="D85" s="885">
        <v>5548</v>
      </c>
      <c r="E85" s="886">
        <v>24866</v>
      </c>
      <c r="F85" s="886">
        <v>7791</v>
      </c>
      <c r="G85" s="881">
        <v>0</v>
      </c>
      <c r="H85" s="881">
        <v>0</v>
      </c>
      <c r="I85" s="881">
        <v>0</v>
      </c>
      <c r="J85" s="881">
        <v>0</v>
      </c>
      <c r="K85" s="886">
        <v>0</v>
      </c>
      <c r="L85" s="881">
        <v>0</v>
      </c>
      <c r="M85" s="881">
        <v>0</v>
      </c>
      <c r="N85" s="881">
        <v>0</v>
      </c>
      <c r="O85" s="886">
        <v>124345</v>
      </c>
      <c r="P85" s="886">
        <v>38205</v>
      </c>
      <c r="Q85" s="894">
        <v>162550</v>
      </c>
      <c r="R85" s="1137"/>
      <c r="S85" s="883" t="s">
        <v>590</v>
      </c>
      <c r="T85" s="884" t="s">
        <v>920</v>
      </c>
      <c r="U85" s="886">
        <v>0</v>
      </c>
      <c r="V85" s="886">
        <v>0</v>
      </c>
      <c r="W85" s="886">
        <v>157949</v>
      </c>
      <c r="X85" s="886">
        <v>64949</v>
      </c>
      <c r="Y85" s="881">
        <v>0</v>
      </c>
      <c r="Z85" s="881">
        <v>0</v>
      </c>
      <c r="AA85" s="881"/>
      <c r="AB85" s="886">
        <v>20</v>
      </c>
      <c r="AC85" s="886">
        <v>4581</v>
      </c>
      <c r="AD85" s="894">
        <v>162550</v>
      </c>
      <c r="AE85" s="887"/>
      <c r="AF85" s="887"/>
      <c r="AG85" s="887"/>
    </row>
    <row r="86" spans="1:33" s="888" customFormat="1" ht="11.25">
      <c r="A86" s="1143"/>
      <c r="B86" s="883" t="s">
        <v>590</v>
      </c>
      <c r="C86" s="884" t="s">
        <v>921</v>
      </c>
      <c r="D86" s="885">
        <v>5548</v>
      </c>
      <c r="E86" s="886">
        <v>24866</v>
      </c>
      <c r="F86" s="886">
        <v>7791</v>
      </c>
      <c r="G86" s="881">
        <v>0</v>
      </c>
      <c r="H86" s="881">
        <v>0</v>
      </c>
      <c r="I86" s="881">
        <v>0</v>
      </c>
      <c r="J86" s="881">
        <v>0</v>
      </c>
      <c r="K86" s="886">
        <v>0</v>
      </c>
      <c r="L86" s="881">
        <v>0</v>
      </c>
      <c r="M86" s="881">
        <v>0</v>
      </c>
      <c r="N86" s="881">
        <v>0</v>
      </c>
      <c r="O86" s="886">
        <v>124345</v>
      </c>
      <c r="P86" s="886">
        <v>38205</v>
      </c>
      <c r="Q86" s="894">
        <v>162550</v>
      </c>
      <c r="R86" s="1137"/>
      <c r="S86" s="883" t="s">
        <v>590</v>
      </c>
      <c r="T86" s="884" t="s">
        <v>921</v>
      </c>
      <c r="U86" s="886">
        <v>0</v>
      </c>
      <c r="V86" s="886">
        <v>0</v>
      </c>
      <c r="W86" s="886">
        <v>157949</v>
      </c>
      <c r="X86" s="886">
        <v>64949</v>
      </c>
      <c r="Y86" s="881">
        <v>0</v>
      </c>
      <c r="Z86" s="881">
        <v>0</v>
      </c>
      <c r="AA86" s="881"/>
      <c r="AB86" s="886">
        <v>20</v>
      </c>
      <c r="AC86" s="886">
        <v>4581</v>
      </c>
      <c r="AD86" s="894">
        <v>162550</v>
      </c>
      <c r="AE86" s="887"/>
      <c r="AF86" s="887"/>
      <c r="AG86" s="887"/>
    </row>
    <row r="87" spans="1:33" s="888" customFormat="1" ht="10.5">
      <c r="A87" s="1143"/>
      <c r="B87" s="883" t="s">
        <v>590</v>
      </c>
      <c r="C87" s="884" t="s">
        <v>948</v>
      </c>
      <c r="D87" s="885">
        <f>D77+D82</f>
        <v>5548</v>
      </c>
      <c r="E87" s="885">
        <f aca="true" t="shared" si="2" ref="E87:Q87">E77+E82</f>
        <v>24866</v>
      </c>
      <c r="F87" s="885">
        <f t="shared" si="2"/>
        <v>7791</v>
      </c>
      <c r="G87" s="885">
        <f t="shared" si="2"/>
        <v>0</v>
      </c>
      <c r="H87" s="885">
        <f t="shared" si="2"/>
        <v>0</v>
      </c>
      <c r="I87" s="885">
        <f t="shared" si="2"/>
        <v>0</v>
      </c>
      <c r="J87" s="885">
        <f t="shared" si="2"/>
        <v>0</v>
      </c>
      <c r="K87" s="885">
        <f t="shared" si="2"/>
        <v>0</v>
      </c>
      <c r="L87" s="885">
        <f t="shared" si="2"/>
        <v>0</v>
      </c>
      <c r="M87" s="885">
        <f t="shared" si="2"/>
        <v>0</v>
      </c>
      <c r="N87" s="885">
        <f t="shared" si="2"/>
        <v>0</v>
      </c>
      <c r="O87" s="886">
        <f>AD87-P87</f>
        <v>124345</v>
      </c>
      <c r="P87" s="885">
        <f t="shared" si="2"/>
        <v>38205</v>
      </c>
      <c r="Q87" s="914">
        <f t="shared" si="2"/>
        <v>162550</v>
      </c>
      <c r="R87" s="1137"/>
      <c r="S87" s="883" t="s">
        <v>590</v>
      </c>
      <c r="T87" s="884" t="s">
        <v>948</v>
      </c>
      <c r="U87" s="886">
        <v>0</v>
      </c>
      <c r="V87" s="886">
        <v>0</v>
      </c>
      <c r="W87" s="886">
        <f>W82+W77</f>
        <v>157476</v>
      </c>
      <c r="X87" s="886">
        <f aca="true" t="shared" si="3" ref="X87:AF87">X82+X77</f>
        <v>64949</v>
      </c>
      <c r="Y87" s="886">
        <f t="shared" si="3"/>
        <v>0</v>
      </c>
      <c r="Z87" s="886">
        <f t="shared" si="3"/>
        <v>0</v>
      </c>
      <c r="AA87" s="886">
        <f t="shared" si="3"/>
        <v>0</v>
      </c>
      <c r="AB87" s="886">
        <f t="shared" si="3"/>
        <v>493</v>
      </c>
      <c r="AC87" s="886">
        <f t="shared" si="3"/>
        <v>4581</v>
      </c>
      <c r="AD87" s="894">
        <f t="shared" si="3"/>
        <v>162550</v>
      </c>
      <c r="AE87" s="898">
        <f t="shared" si="3"/>
        <v>0</v>
      </c>
      <c r="AF87" s="886">
        <f t="shared" si="3"/>
        <v>0</v>
      </c>
      <c r="AG87" s="887"/>
    </row>
    <row r="88" spans="1:33" ht="12.75" customHeight="1">
      <c r="A88" s="1141" t="s">
        <v>934</v>
      </c>
      <c r="B88" s="878" t="s">
        <v>590</v>
      </c>
      <c r="C88" s="879" t="s">
        <v>162</v>
      </c>
      <c r="D88" s="880">
        <v>2231</v>
      </c>
      <c r="E88" s="881">
        <v>0</v>
      </c>
      <c r="F88" s="881">
        <v>0</v>
      </c>
      <c r="G88" s="881">
        <v>0</v>
      </c>
      <c r="H88" s="881">
        <v>0</v>
      </c>
      <c r="I88" s="881">
        <v>0</v>
      </c>
      <c r="J88" s="881">
        <v>0</v>
      </c>
      <c r="K88" s="881"/>
      <c r="L88" s="881">
        <v>0</v>
      </c>
      <c r="M88" s="881">
        <v>0</v>
      </c>
      <c r="N88" s="881">
        <v>0</v>
      </c>
      <c r="O88" s="881">
        <v>1410</v>
      </c>
      <c r="P88" s="881">
        <v>2231</v>
      </c>
      <c r="Q88" s="893">
        <v>3641</v>
      </c>
      <c r="R88" s="1142" t="s">
        <v>934</v>
      </c>
      <c r="S88" s="878" t="s">
        <v>590</v>
      </c>
      <c r="T88" s="879" t="s">
        <v>162</v>
      </c>
      <c r="U88" s="881">
        <v>0</v>
      </c>
      <c r="V88" s="881">
        <v>0</v>
      </c>
      <c r="W88" s="881">
        <v>3641</v>
      </c>
      <c r="X88" s="881">
        <v>0</v>
      </c>
      <c r="Y88" s="881">
        <v>0</v>
      </c>
      <c r="Z88" s="881">
        <v>0</v>
      </c>
      <c r="AA88" s="881"/>
      <c r="AB88" s="881">
        <v>0</v>
      </c>
      <c r="AC88" s="881">
        <v>0</v>
      </c>
      <c r="AD88" s="893">
        <v>3641</v>
      </c>
      <c r="AE88" s="875"/>
      <c r="AF88" s="875">
        <v>3641</v>
      </c>
      <c r="AG88" s="875"/>
    </row>
    <row r="89" spans="1:33" ht="11.25">
      <c r="A89" s="1141"/>
      <c r="B89" s="878" t="s">
        <v>590</v>
      </c>
      <c r="C89" s="879" t="s">
        <v>919</v>
      </c>
      <c r="D89" s="880">
        <v>2231</v>
      </c>
      <c r="E89" s="881">
        <v>0</v>
      </c>
      <c r="F89" s="881">
        <v>0</v>
      </c>
      <c r="G89" s="881">
        <v>0</v>
      </c>
      <c r="H89" s="881">
        <v>0</v>
      </c>
      <c r="I89" s="881">
        <v>0</v>
      </c>
      <c r="J89" s="881">
        <v>0</v>
      </c>
      <c r="K89" s="881"/>
      <c r="L89" s="881">
        <v>0</v>
      </c>
      <c r="M89" s="881">
        <v>0</v>
      </c>
      <c r="N89" s="881">
        <v>0</v>
      </c>
      <c r="O89" s="881">
        <v>1410</v>
      </c>
      <c r="P89" s="881">
        <v>2231</v>
      </c>
      <c r="Q89" s="893">
        <v>3641</v>
      </c>
      <c r="R89" s="1142"/>
      <c r="S89" s="878" t="s">
        <v>590</v>
      </c>
      <c r="T89" s="879" t="s">
        <v>919</v>
      </c>
      <c r="U89" s="881">
        <v>0</v>
      </c>
      <c r="V89" s="881">
        <v>0</v>
      </c>
      <c r="W89" s="881">
        <v>3641</v>
      </c>
      <c r="X89" s="881">
        <v>0</v>
      </c>
      <c r="Y89" s="881">
        <v>0</v>
      </c>
      <c r="Z89" s="881">
        <v>0</v>
      </c>
      <c r="AA89" s="881"/>
      <c r="AB89" s="881">
        <v>0</v>
      </c>
      <c r="AC89" s="881">
        <v>0</v>
      </c>
      <c r="AD89" s="893">
        <v>3641</v>
      </c>
      <c r="AE89" s="875"/>
      <c r="AF89" s="875"/>
      <c r="AG89" s="875"/>
    </row>
    <row r="90" spans="1:33" ht="11.25">
      <c r="A90" s="1141"/>
      <c r="B90" s="878" t="s">
        <v>590</v>
      </c>
      <c r="C90" s="879" t="s">
        <v>920</v>
      </c>
      <c r="D90" s="880">
        <v>2231</v>
      </c>
      <c r="E90" s="881">
        <v>0</v>
      </c>
      <c r="F90" s="881">
        <v>0</v>
      </c>
      <c r="G90" s="881">
        <v>0</v>
      </c>
      <c r="H90" s="881">
        <v>0</v>
      </c>
      <c r="I90" s="881">
        <v>0</v>
      </c>
      <c r="J90" s="881">
        <v>0</v>
      </c>
      <c r="K90" s="881"/>
      <c r="L90" s="881">
        <v>0</v>
      </c>
      <c r="M90" s="881">
        <v>0</v>
      </c>
      <c r="N90" s="881">
        <v>0</v>
      </c>
      <c r="O90" s="881">
        <v>1410</v>
      </c>
      <c r="P90" s="881">
        <v>2231</v>
      </c>
      <c r="Q90" s="893">
        <v>3641</v>
      </c>
      <c r="R90" s="1142"/>
      <c r="S90" s="878" t="s">
        <v>590</v>
      </c>
      <c r="T90" s="879" t="s">
        <v>920</v>
      </c>
      <c r="U90" s="881">
        <v>0</v>
      </c>
      <c r="V90" s="881">
        <v>0</v>
      </c>
      <c r="W90" s="881">
        <v>3641</v>
      </c>
      <c r="X90" s="881">
        <v>0</v>
      </c>
      <c r="Y90" s="881">
        <v>0</v>
      </c>
      <c r="Z90" s="881">
        <v>0</v>
      </c>
      <c r="AA90" s="881"/>
      <c r="AB90" s="881">
        <v>0</v>
      </c>
      <c r="AC90" s="881">
        <v>0</v>
      </c>
      <c r="AD90" s="893">
        <v>3641</v>
      </c>
      <c r="AE90" s="875"/>
      <c r="AF90" s="875"/>
      <c r="AG90" s="875"/>
    </row>
    <row r="91" spans="1:33" ht="11.25">
      <c r="A91" s="1141"/>
      <c r="B91" s="878" t="s">
        <v>590</v>
      </c>
      <c r="C91" s="879" t="s">
        <v>921</v>
      </c>
      <c r="D91" s="880">
        <v>2231</v>
      </c>
      <c r="E91" s="881">
        <v>0</v>
      </c>
      <c r="F91" s="881">
        <v>0</v>
      </c>
      <c r="G91" s="881">
        <v>0</v>
      </c>
      <c r="H91" s="881">
        <v>0</v>
      </c>
      <c r="I91" s="881">
        <v>0</v>
      </c>
      <c r="J91" s="881">
        <v>0</v>
      </c>
      <c r="K91" s="881"/>
      <c r="L91" s="881">
        <v>0</v>
      </c>
      <c r="M91" s="881">
        <v>0</v>
      </c>
      <c r="N91" s="881">
        <v>0</v>
      </c>
      <c r="O91" s="881">
        <v>1410</v>
      </c>
      <c r="P91" s="881">
        <v>2231</v>
      </c>
      <c r="Q91" s="893">
        <v>3641</v>
      </c>
      <c r="R91" s="1142"/>
      <c r="S91" s="878" t="s">
        <v>590</v>
      </c>
      <c r="T91" s="879" t="s">
        <v>921</v>
      </c>
      <c r="U91" s="881">
        <v>0</v>
      </c>
      <c r="V91" s="881">
        <v>0</v>
      </c>
      <c r="W91" s="881">
        <v>3641</v>
      </c>
      <c r="X91" s="881">
        <v>0</v>
      </c>
      <c r="Y91" s="881">
        <v>0</v>
      </c>
      <c r="Z91" s="881">
        <v>0</v>
      </c>
      <c r="AA91" s="881"/>
      <c r="AB91" s="881">
        <v>0</v>
      </c>
      <c r="AC91" s="881">
        <v>0</v>
      </c>
      <c r="AD91" s="893">
        <v>3641</v>
      </c>
      <c r="AE91" s="875"/>
      <c r="AF91" s="875"/>
      <c r="AG91" s="875"/>
    </row>
    <row r="92" spans="1:33" ht="11.25">
      <c r="A92" s="1141"/>
      <c r="B92" s="878" t="s">
        <v>590</v>
      </c>
      <c r="C92" s="879" t="s">
        <v>948</v>
      </c>
      <c r="D92" s="880">
        <v>2231</v>
      </c>
      <c r="E92" s="881">
        <v>0</v>
      </c>
      <c r="F92" s="881">
        <v>0</v>
      </c>
      <c r="G92" s="881">
        <v>0</v>
      </c>
      <c r="H92" s="881">
        <v>0</v>
      </c>
      <c r="I92" s="881">
        <v>0</v>
      </c>
      <c r="J92" s="881">
        <v>0</v>
      </c>
      <c r="K92" s="881"/>
      <c r="L92" s="881">
        <v>0</v>
      </c>
      <c r="M92" s="881">
        <v>0</v>
      </c>
      <c r="N92" s="881">
        <v>0</v>
      </c>
      <c r="O92" s="881">
        <f>AD92-P92</f>
        <v>1410</v>
      </c>
      <c r="P92" s="881">
        <v>2231</v>
      </c>
      <c r="Q92" s="893">
        <f>SUM(D92:O92)</f>
        <v>3641</v>
      </c>
      <c r="R92" s="1142"/>
      <c r="S92" s="878" t="s">
        <v>590</v>
      </c>
      <c r="T92" s="879" t="s">
        <v>948</v>
      </c>
      <c r="U92" s="881">
        <v>0</v>
      </c>
      <c r="V92" s="881">
        <v>0</v>
      </c>
      <c r="W92" s="881">
        <f>3641-40</f>
        <v>3601</v>
      </c>
      <c r="X92" s="881">
        <v>0</v>
      </c>
      <c r="Y92" s="881">
        <v>0</v>
      </c>
      <c r="Z92" s="881">
        <v>0</v>
      </c>
      <c r="AA92" s="881"/>
      <c r="AB92" s="881">
        <f>40</f>
        <v>40</v>
      </c>
      <c r="AC92" s="881">
        <v>0</v>
      </c>
      <c r="AD92" s="893">
        <f>SUM(U92:AC92)-X92</f>
        <v>3641</v>
      </c>
      <c r="AE92" s="875"/>
      <c r="AF92" s="875"/>
      <c r="AG92" s="875"/>
    </row>
    <row r="93" spans="1:33" ht="12.75" customHeight="1">
      <c r="A93" s="1141" t="s">
        <v>935</v>
      </c>
      <c r="B93" s="878" t="s">
        <v>590</v>
      </c>
      <c r="C93" s="879" t="s">
        <v>162</v>
      </c>
      <c r="D93" s="880">
        <v>0</v>
      </c>
      <c r="E93" s="881">
        <v>4452</v>
      </c>
      <c r="F93" s="881">
        <v>1202</v>
      </c>
      <c r="G93" s="881">
        <v>0</v>
      </c>
      <c r="H93" s="881">
        <v>0</v>
      </c>
      <c r="I93" s="881">
        <v>0</v>
      </c>
      <c r="J93" s="881">
        <v>0</v>
      </c>
      <c r="K93" s="881"/>
      <c r="L93" s="881">
        <v>0</v>
      </c>
      <c r="M93" s="881">
        <v>0</v>
      </c>
      <c r="N93" s="881">
        <v>0</v>
      </c>
      <c r="O93" s="881">
        <v>14467</v>
      </c>
      <c r="P93" s="881">
        <v>5654</v>
      </c>
      <c r="Q93" s="893">
        <v>20121</v>
      </c>
      <c r="R93" s="1142" t="s">
        <v>935</v>
      </c>
      <c r="S93" s="878" t="s">
        <v>590</v>
      </c>
      <c r="T93" s="879" t="s">
        <v>162</v>
      </c>
      <c r="U93" s="881">
        <v>0</v>
      </c>
      <c r="V93" s="881">
        <v>0</v>
      </c>
      <c r="W93" s="881">
        <v>20121</v>
      </c>
      <c r="X93" s="881">
        <v>20121</v>
      </c>
      <c r="Y93" s="881">
        <v>0</v>
      </c>
      <c r="Z93" s="881">
        <v>0</v>
      </c>
      <c r="AA93" s="881"/>
      <c r="AB93" s="881">
        <v>0</v>
      </c>
      <c r="AC93" s="881">
        <v>0</v>
      </c>
      <c r="AD93" s="893">
        <v>20121</v>
      </c>
      <c r="AE93" s="875"/>
      <c r="AF93" s="875"/>
      <c r="AG93" s="875"/>
    </row>
    <row r="94" spans="1:33" ht="11.25">
      <c r="A94" s="1141"/>
      <c r="B94" s="878" t="s">
        <v>590</v>
      </c>
      <c r="C94" s="879" t="s">
        <v>919</v>
      </c>
      <c r="D94" s="880">
        <v>0</v>
      </c>
      <c r="E94" s="881">
        <v>4452</v>
      </c>
      <c r="F94" s="881">
        <v>1202</v>
      </c>
      <c r="G94" s="881">
        <v>0</v>
      </c>
      <c r="H94" s="881">
        <v>0</v>
      </c>
      <c r="I94" s="881">
        <v>0</v>
      </c>
      <c r="J94" s="881">
        <v>0</v>
      </c>
      <c r="K94" s="881"/>
      <c r="L94" s="881">
        <v>0</v>
      </c>
      <c r="M94" s="881">
        <v>0</v>
      </c>
      <c r="N94" s="881">
        <v>0</v>
      </c>
      <c r="O94" s="881">
        <v>14467</v>
      </c>
      <c r="P94" s="881">
        <v>5654</v>
      </c>
      <c r="Q94" s="893">
        <v>20121</v>
      </c>
      <c r="R94" s="1142"/>
      <c r="S94" s="878" t="s">
        <v>590</v>
      </c>
      <c r="T94" s="879" t="s">
        <v>919</v>
      </c>
      <c r="U94" s="881">
        <v>0</v>
      </c>
      <c r="V94" s="881">
        <v>0</v>
      </c>
      <c r="W94" s="881">
        <v>20121</v>
      </c>
      <c r="X94" s="881">
        <v>20121</v>
      </c>
      <c r="Y94" s="881">
        <v>0</v>
      </c>
      <c r="Z94" s="881">
        <v>0</v>
      </c>
      <c r="AA94" s="881"/>
      <c r="AB94" s="881">
        <v>0</v>
      </c>
      <c r="AC94" s="881">
        <v>0</v>
      </c>
      <c r="AD94" s="893">
        <v>20121</v>
      </c>
      <c r="AE94" s="875"/>
      <c r="AF94" s="875"/>
      <c r="AG94" s="875"/>
    </row>
    <row r="95" spans="1:33" ht="11.25">
      <c r="A95" s="1141"/>
      <c r="B95" s="878" t="s">
        <v>590</v>
      </c>
      <c r="C95" s="879" t="s">
        <v>920</v>
      </c>
      <c r="D95" s="880">
        <v>0</v>
      </c>
      <c r="E95" s="881">
        <v>4452</v>
      </c>
      <c r="F95" s="881">
        <v>1202</v>
      </c>
      <c r="G95" s="881">
        <v>0</v>
      </c>
      <c r="H95" s="881">
        <v>0</v>
      </c>
      <c r="I95" s="881">
        <v>0</v>
      </c>
      <c r="J95" s="881">
        <v>0</v>
      </c>
      <c r="K95" s="881"/>
      <c r="L95" s="881">
        <v>0</v>
      </c>
      <c r="M95" s="881">
        <v>0</v>
      </c>
      <c r="N95" s="881">
        <v>0</v>
      </c>
      <c r="O95" s="881">
        <v>14467</v>
      </c>
      <c r="P95" s="881">
        <v>5654</v>
      </c>
      <c r="Q95" s="893">
        <v>20121</v>
      </c>
      <c r="R95" s="1142"/>
      <c r="S95" s="878" t="s">
        <v>590</v>
      </c>
      <c r="T95" s="879" t="s">
        <v>920</v>
      </c>
      <c r="U95" s="881">
        <v>0</v>
      </c>
      <c r="V95" s="881">
        <v>0</v>
      </c>
      <c r="W95" s="881">
        <v>20121</v>
      </c>
      <c r="X95" s="881">
        <v>20121</v>
      </c>
      <c r="Y95" s="881">
        <v>0</v>
      </c>
      <c r="Z95" s="881">
        <v>0</v>
      </c>
      <c r="AA95" s="881"/>
      <c r="AB95" s="881">
        <v>0</v>
      </c>
      <c r="AC95" s="881">
        <v>0</v>
      </c>
      <c r="AD95" s="893">
        <v>20121</v>
      </c>
      <c r="AE95" s="875"/>
      <c r="AF95" s="875"/>
      <c r="AG95" s="875"/>
    </row>
    <row r="96" spans="1:33" ht="11.25">
      <c r="A96" s="1141"/>
      <c r="B96" s="878" t="s">
        <v>590</v>
      </c>
      <c r="C96" s="879" t="s">
        <v>921</v>
      </c>
      <c r="D96" s="880">
        <v>0</v>
      </c>
      <c r="E96" s="881">
        <v>4452</v>
      </c>
      <c r="F96" s="881">
        <v>1202</v>
      </c>
      <c r="G96" s="881">
        <v>0</v>
      </c>
      <c r="H96" s="881">
        <v>0</v>
      </c>
      <c r="I96" s="881">
        <v>0</v>
      </c>
      <c r="J96" s="881">
        <v>0</v>
      </c>
      <c r="K96" s="881"/>
      <c r="L96" s="881">
        <v>0</v>
      </c>
      <c r="M96" s="881">
        <v>0</v>
      </c>
      <c r="N96" s="881">
        <v>0</v>
      </c>
      <c r="O96" s="881">
        <v>14467</v>
      </c>
      <c r="P96" s="881">
        <v>5654</v>
      </c>
      <c r="Q96" s="893">
        <v>20121</v>
      </c>
      <c r="R96" s="1142"/>
      <c r="S96" s="878" t="s">
        <v>590</v>
      </c>
      <c r="T96" s="879" t="s">
        <v>921</v>
      </c>
      <c r="U96" s="881">
        <v>0</v>
      </c>
      <c r="V96" s="881">
        <v>0</v>
      </c>
      <c r="W96" s="881">
        <v>20121</v>
      </c>
      <c r="X96" s="881">
        <v>20121</v>
      </c>
      <c r="Y96" s="881">
        <v>0</v>
      </c>
      <c r="Z96" s="881">
        <v>0</v>
      </c>
      <c r="AA96" s="881"/>
      <c r="AB96" s="881">
        <v>0</v>
      </c>
      <c r="AC96" s="881">
        <v>0</v>
      </c>
      <c r="AD96" s="893">
        <v>20121</v>
      </c>
      <c r="AE96" s="875"/>
      <c r="AF96" s="875"/>
      <c r="AG96" s="875"/>
    </row>
    <row r="97" spans="1:33" ht="11.25">
      <c r="A97" s="1141"/>
      <c r="B97" s="878" t="s">
        <v>590</v>
      </c>
      <c r="C97" s="879" t="s">
        <v>948</v>
      </c>
      <c r="D97" s="880">
        <v>0</v>
      </c>
      <c r="E97" s="881">
        <v>4452</v>
      </c>
      <c r="F97" s="881">
        <v>1202</v>
      </c>
      <c r="G97" s="881">
        <v>0</v>
      </c>
      <c r="H97" s="881">
        <v>0</v>
      </c>
      <c r="I97" s="881">
        <v>0</v>
      </c>
      <c r="J97" s="881">
        <v>0</v>
      </c>
      <c r="K97" s="881"/>
      <c r="L97" s="881">
        <v>0</v>
      </c>
      <c r="M97" s="881">
        <v>0</v>
      </c>
      <c r="N97" s="881">
        <v>0</v>
      </c>
      <c r="O97" s="881">
        <f>AD97-P97</f>
        <v>14467</v>
      </c>
      <c r="P97" s="881">
        <v>5654</v>
      </c>
      <c r="Q97" s="893">
        <f>SUM(D97:O97)</f>
        <v>20121</v>
      </c>
      <c r="R97" s="1142"/>
      <c r="S97" s="878" t="s">
        <v>590</v>
      </c>
      <c r="T97" s="879" t="s">
        <v>948</v>
      </c>
      <c r="U97" s="881">
        <v>0</v>
      </c>
      <c r="V97" s="881">
        <v>0</v>
      </c>
      <c r="W97" s="881">
        <v>20121</v>
      </c>
      <c r="X97" s="881">
        <v>20121</v>
      </c>
      <c r="Y97" s="881">
        <v>0</v>
      </c>
      <c r="Z97" s="881">
        <v>0</v>
      </c>
      <c r="AA97" s="881"/>
      <c r="AB97" s="881">
        <v>0</v>
      </c>
      <c r="AC97" s="881">
        <v>0</v>
      </c>
      <c r="AD97" s="893">
        <f>SUM(U97:AC97)-X97</f>
        <v>20121</v>
      </c>
      <c r="AE97" s="875"/>
      <c r="AF97" s="875"/>
      <c r="AG97" s="875"/>
    </row>
    <row r="98" spans="1:33" ht="12.75" customHeight="1">
      <c r="A98" s="1142" t="s">
        <v>936</v>
      </c>
      <c r="B98" s="878" t="s">
        <v>937</v>
      </c>
      <c r="C98" s="879" t="s">
        <v>162</v>
      </c>
      <c r="D98" s="880">
        <v>666</v>
      </c>
      <c r="E98" s="881">
        <v>0</v>
      </c>
      <c r="F98" s="881">
        <v>8181</v>
      </c>
      <c r="G98" s="881">
        <v>0</v>
      </c>
      <c r="H98" s="881">
        <v>0</v>
      </c>
      <c r="I98" s="881">
        <v>0</v>
      </c>
      <c r="J98" s="881">
        <v>0</v>
      </c>
      <c r="K98" s="881"/>
      <c r="L98" s="881">
        <v>0</v>
      </c>
      <c r="M98" s="881">
        <v>0</v>
      </c>
      <c r="N98" s="881">
        <v>0</v>
      </c>
      <c r="O98" s="881">
        <v>31452</v>
      </c>
      <c r="P98" s="881">
        <v>8847</v>
      </c>
      <c r="Q98" s="893">
        <v>40299</v>
      </c>
      <c r="R98" s="1142" t="s">
        <v>936</v>
      </c>
      <c r="S98" s="878" t="s">
        <v>937</v>
      </c>
      <c r="T98" s="879" t="s">
        <v>162</v>
      </c>
      <c r="U98" s="881">
        <v>18295</v>
      </c>
      <c r="V98" s="881">
        <v>4906</v>
      </c>
      <c r="W98" s="881">
        <v>13923</v>
      </c>
      <c r="X98" s="881">
        <v>0</v>
      </c>
      <c r="Y98" s="881">
        <v>0</v>
      </c>
      <c r="Z98" s="881">
        <v>0</v>
      </c>
      <c r="AA98" s="881"/>
      <c r="AB98" s="881">
        <v>3175</v>
      </c>
      <c r="AC98" s="881">
        <v>0</v>
      </c>
      <c r="AD98" s="893">
        <v>40299</v>
      </c>
      <c r="AE98" s="875"/>
      <c r="AF98" s="875"/>
      <c r="AG98" s="875"/>
    </row>
    <row r="99" spans="1:33" ht="11.25">
      <c r="A99" s="1142"/>
      <c r="B99" s="878" t="s">
        <v>938</v>
      </c>
      <c r="C99" s="879" t="s">
        <v>919</v>
      </c>
      <c r="D99" s="880">
        <v>666</v>
      </c>
      <c r="E99" s="881">
        <v>0</v>
      </c>
      <c r="F99" s="881">
        <v>8181</v>
      </c>
      <c r="G99" s="881">
        <v>0</v>
      </c>
      <c r="H99" s="881">
        <v>0</v>
      </c>
      <c r="I99" s="881">
        <v>0</v>
      </c>
      <c r="J99" s="881">
        <v>0</v>
      </c>
      <c r="K99" s="881"/>
      <c r="L99" s="881">
        <v>0</v>
      </c>
      <c r="M99" s="881">
        <v>30989</v>
      </c>
      <c r="N99" s="881">
        <v>0</v>
      </c>
      <c r="O99" s="881">
        <v>32058</v>
      </c>
      <c r="P99" s="881">
        <v>39836</v>
      </c>
      <c r="Q99" s="893">
        <v>71894</v>
      </c>
      <c r="R99" s="1142"/>
      <c r="S99" s="878" t="s">
        <v>938</v>
      </c>
      <c r="T99" s="879" t="s">
        <v>919</v>
      </c>
      <c r="U99" s="881">
        <v>25838</v>
      </c>
      <c r="V99" s="881">
        <v>7164</v>
      </c>
      <c r="W99" s="881">
        <v>32345</v>
      </c>
      <c r="X99" s="881">
        <v>0</v>
      </c>
      <c r="Y99" s="881">
        <v>0</v>
      </c>
      <c r="Z99" s="881">
        <v>3372</v>
      </c>
      <c r="AA99" s="881"/>
      <c r="AB99" s="881">
        <v>3175</v>
      </c>
      <c r="AC99" s="881">
        <v>0</v>
      </c>
      <c r="AD99" s="893">
        <v>71894</v>
      </c>
      <c r="AE99" s="875"/>
      <c r="AF99" s="875"/>
      <c r="AG99" s="875"/>
    </row>
    <row r="100" spans="1:33" ht="12.75" customHeight="1">
      <c r="A100" s="1142"/>
      <c r="B100" s="878" t="s">
        <v>938</v>
      </c>
      <c r="C100" s="879" t="s">
        <v>939</v>
      </c>
      <c r="D100" s="880">
        <v>666</v>
      </c>
      <c r="E100" s="881">
        <v>0</v>
      </c>
      <c r="F100" s="881">
        <v>26494</v>
      </c>
      <c r="G100" s="881">
        <v>0</v>
      </c>
      <c r="H100" s="881">
        <v>0</v>
      </c>
      <c r="I100" s="881">
        <v>0</v>
      </c>
      <c r="J100" s="881">
        <v>0</v>
      </c>
      <c r="K100" s="881"/>
      <c r="L100" s="881">
        <v>0</v>
      </c>
      <c r="M100" s="881">
        <v>30989</v>
      </c>
      <c r="N100" s="881">
        <v>0</v>
      </c>
      <c r="O100" s="881">
        <v>8906</v>
      </c>
      <c r="P100" s="881">
        <v>58149</v>
      </c>
      <c r="Q100" s="893">
        <v>67055</v>
      </c>
      <c r="R100" s="1142"/>
      <c r="S100" s="878" t="s">
        <v>938</v>
      </c>
      <c r="T100" s="879" t="s">
        <v>920</v>
      </c>
      <c r="U100" s="881">
        <v>24030</v>
      </c>
      <c r="V100" s="881">
        <v>6674</v>
      </c>
      <c r="W100" s="881">
        <v>28223</v>
      </c>
      <c r="X100" s="881">
        <v>0</v>
      </c>
      <c r="Y100" s="881">
        <v>67</v>
      </c>
      <c r="Z100" s="881">
        <v>3372</v>
      </c>
      <c r="AA100" s="881"/>
      <c r="AB100" s="881">
        <v>4689</v>
      </c>
      <c r="AC100" s="881">
        <v>0</v>
      </c>
      <c r="AD100" s="893">
        <v>67055</v>
      </c>
      <c r="AE100" s="875"/>
      <c r="AF100" s="875"/>
      <c r="AG100" s="875"/>
    </row>
    <row r="101" spans="1:33" ht="12.75" customHeight="1">
      <c r="A101" s="1142"/>
      <c r="B101" s="878" t="s">
        <v>938</v>
      </c>
      <c r="C101" s="879" t="s">
        <v>921</v>
      </c>
      <c r="D101" s="880">
        <v>666</v>
      </c>
      <c r="E101" s="881">
        <v>0</v>
      </c>
      <c r="F101" s="881">
        <v>26494</v>
      </c>
      <c r="G101" s="881">
        <v>0</v>
      </c>
      <c r="H101" s="881">
        <v>0</v>
      </c>
      <c r="I101" s="881">
        <v>0</v>
      </c>
      <c r="J101" s="881">
        <v>0</v>
      </c>
      <c r="K101" s="881"/>
      <c r="L101" s="881">
        <v>0</v>
      </c>
      <c r="M101" s="881">
        <v>30989</v>
      </c>
      <c r="N101" s="881">
        <v>0</v>
      </c>
      <c r="O101" s="881">
        <v>8906</v>
      </c>
      <c r="P101" s="881">
        <v>58149</v>
      </c>
      <c r="Q101" s="893">
        <v>67055</v>
      </c>
      <c r="R101" s="1142"/>
      <c r="S101" s="878" t="s">
        <v>938</v>
      </c>
      <c r="T101" s="879" t="s">
        <v>921</v>
      </c>
      <c r="U101" s="881">
        <v>24030</v>
      </c>
      <c r="V101" s="881">
        <v>6674</v>
      </c>
      <c r="W101" s="881">
        <v>28223</v>
      </c>
      <c r="X101" s="881">
        <v>0</v>
      </c>
      <c r="Y101" s="881">
        <v>67</v>
      </c>
      <c r="Z101" s="881">
        <v>3372</v>
      </c>
      <c r="AA101" s="881"/>
      <c r="AB101" s="881">
        <v>4689</v>
      </c>
      <c r="AC101" s="881">
        <v>0</v>
      </c>
      <c r="AD101" s="893">
        <v>67055</v>
      </c>
      <c r="AE101" s="875"/>
      <c r="AF101" s="875"/>
      <c r="AG101" s="875"/>
    </row>
    <row r="102" spans="1:33" ht="12.75" customHeight="1">
      <c r="A102" s="1142"/>
      <c r="B102" s="878" t="s">
        <v>937</v>
      </c>
      <c r="C102" s="879" t="s">
        <v>948</v>
      </c>
      <c r="D102" s="880">
        <v>666</v>
      </c>
      <c r="E102" s="881">
        <v>0</v>
      </c>
      <c r="F102" s="881">
        <v>26494</v>
      </c>
      <c r="G102" s="881">
        <v>0</v>
      </c>
      <c r="H102" s="881">
        <v>837</v>
      </c>
      <c r="I102" s="881">
        <v>0</v>
      </c>
      <c r="J102" s="881">
        <v>0</v>
      </c>
      <c r="K102" s="881"/>
      <c r="L102" s="881">
        <v>0</v>
      </c>
      <c r="M102" s="881">
        <v>30989</v>
      </c>
      <c r="N102" s="881">
        <v>0</v>
      </c>
      <c r="O102" s="881">
        <f>AD102-P102</f>
        <v>6752</v>
      </c>
      <c r="P102" s="881">
        <v>58986</v>
      </c>
      <c r="Q102" s="893">
        <f>SUM(D102:O102)</f>
        <v>65738</v>
      </c>
      <c r="R102" s="1142"/>
      <c r="S102" s="878" t="s">
        <v>937</v>
      </c>
      <c r="T102" s="879" t="s">
        <v>948</v>
      </c>
      <c r="U102" s="881">
        <v>23506</v>
      </c>
      <c r="V102" s="881">
        <v>6531</v>
      </c>
      <c r="W102" s="881">
        <v>27573</v>
      </c>
      <c r="X102" s="881">
        <v>0</v>
      </c>
      <c r="Y102" s="881">
        <v>67</v>
      </c>
      <c r="Z102" s="881">
        <v>3372</v>
      </c>
      <c r="AA102" s="881"/>
      <c r="AB102" s="881">
        <v>4689</v>
      </c>
      <c r="AC102" s="881">
        <v>0</v>
      </c>
      <c r="AD102" s="893">
        <f>SUM(U102:AC102)-X102</f>
        <v>65738</v>
      </c>
      <c r="AE102" s="875"/>
      <c r="AF102" s="875"/>
      <c r="AG102" s="875"/>
    </row>
    <row r="103" spans="1:33" s="888" customFormat="1" ht="12.75" customHeight="1">
      <c r="A103" s="1137" t="s">
        <v>940</v>
      </c>
      <c r="B103" s="883"/>
      <c r="C103" s="884" t="s">
        <v>162</v>
      </c>
      <c r="D103" s="885">
        <v>11692</v>
      </c>
      <c r="E103" s="886">
        <v>51613</v>
      </c>
      <c r="F103" s="886">
        <v>24016</v>
      </c>
      <c r="G103" s="881">
        <v>0</v>
      </c>
      <c r="H103" s="881">
        <v>0</v>
      </c>
      <c r="I103" s="881">
        <v>0</v>
      </c>
      <c r="J103" s="881">
        <v>0</v>
      </c>
      <c r="K103" s="886"/>
      <c r="L103" s="881">
        <v>0</v>
      </c>
      <c r="M103" s="886">
        <v>0</v>
      </c>
      <c r="N103" s="881">
        <v>0</v>
      </c>
      <c r="O103" s="886">
        <v>281262</v>
      </c>
      <c r="P103" s="886">
        <v>87321</v>
      </c>
      <c r="Q103" s="894">
        <v>368583</v>
      </c>
      <c r="R103" s="1137" t="s">
        <v>940</v>
      </c>
      <c r="S103" s="883"/>
      <c r="T103" s="884" t="s">
        <v>162</v>
      </c>
      <c r="U103" s="886">
        <v>18295</v>
      </c>
      <c r="V103" s="886">
        <v>4906</v>
      </c>
      <c r="W103" s="886">
        <v>311976</v>
      </c>
      <c r="X103" s="886">
        <v>149135</v>
      </c>
      <c r="Y103" s="886">
        <v>0</v>
      </c>
      <c r="Z103" s="886">
        <v>0</v>
      </c>
      <c r="AA103" s="886"/>
      <c r="AB103" s="886">
        <v>3175</v>
      </c>
      <c r="AC103" s="886">
        <v>30231</v>
      </c>
      <c r="AD103" s="894">
        <v>368583</v>
      </c>
      <c r="AE103" s="887"/>
      <c r="AF103" s="887"/>
      <c r="AG103" s="887"/>
    </row>
    <row r="104" spans="1:33" s="888" customFormat="1" ht="12.75" customHeight="1">
      <c r="A104" s="1137"/>
      <c r="B104" s="883"/>
      <c r="C104" s="884" t="s">
        <v>919</v>
      </c>
      <c r="D104" s="885">
        <v>11692</v>
      </c>
      <c r="E104" s="886">
        <v>51613</v>
      </c>
      <c r="F104" s="886">
        <v>24016</v>
      </c>
      <c r="G104" s="881">
        <v>0</v>
      </c>
      <c r="H104" s="881">
        <v>0</v>
      </c>
      <c r="I104" s="881">
        <v>0</v>
      </c>
      <c r="J104" s="881">
        <v>0</v>
      </c>
      <c r="K104" s="886">
        <v>0</v>
      </c>
      <c r="L104" s="881">
        <v>0</v>
      </c>
      <c r="M104" s="886">
        <v>30989</v>
      </c>
      <c r="N104" s="881">
        <v>0</v>
      </c>
      <c r="O104" s="886">
        <v>281868</v>
      </c>
      <c r="P104" s="886">
        <v>118310</v>
      </c>
      <c r="Q104" s="894">
        <v>400178</v>
      </c>
      <c r="R104" s="1137"/>
      <c r="S104" s="883"/>
      <c r="T104" s="884" t="s">
        <v>919</v>
      </c>
      <c r="U104" s="886">
        <v>25838</v>
      </c>
      <c r="V104" s="886">
        <v>7164</v>
      </c>
      <c r="W104" s="886">
        <v>330398</v>
      </c>
      <c r="X104" s="886">
        <v>149135</v>
      </c>
      <c r="Y104" s="886">
        <v>0</v>
      </c>
      <c r="Z104" s="886">
        <v>3372</v>
      </c>
      <c r="AA104" s="886"/>
      <c r="AB104" s="886">
        <v>3175</v>
      </c>
      <c r="AC104" s="886">
        <v>30231</v>
      </c>
      <c r="AD104" s="894">
        <v>400178</v>
      </c>
      <c r="AE104" s="887"/>
      <c r="AF104" s="887"/>
      <c r="AG104" s="887"/>
    </row>
    <row r="105" spans="1:33" s="888" customFormat="1" ht="12.75" customHeight="1">
      <c r="A105" s="1137"/>
      <c r="B105" s="883"/>
      <c r="C105" s="884" t="s">
        <v>939</v>
      </c>
      <c r="D105" s="885">
        <v>11692</v>
      </c>
      <c r="E105" s="886">
        <v>51613</v>
      </c>
      <c r="F105" s="886">
        <v>42329</v>
      </c>
      <c r="G105" s="881">
        <v>0</v>
      </c>
      <c r="H105" s="881">
        <v>0</v>
      </c>
      <c r="I105" s="881">
        <v>0</v>
      </c>
      <c r="J105" s="881">
        <v>0</v>
      </c>
      <c r="K105" s="886">
        <v>0</v>
      </c>
      <c r="L105" s="881">
        <v>0</v>
      </c>
      <c r="M105" s="886">
        <v>30989</v>
      </c>
      <c r="N105" s="881">
        <v>0</v>
      </c>
      <c r="O105" s="886">
        <v>267501</v>
      </c>
      <c r="P105" s="886">
        <v>136623</v>
      </c>
      <c r="Q105" s="894">
        <v>404124</v>
      </c>
      <c r="R105" s="1137"/>
      <c r="S105" s="883"/>
      <c r="T105" s="884" t="s">
        <v>920</v>
      </c>
      <c r="U105" s="886">
        <v>24030</v>
      </c>
      <c r="V105" s="886">
        <v>6674</v>
      </c>
      <c r="W105" s="886">
        <v>326486</v>
      </c>
      <c r="X105" s="886">
        <v>149135</v>
      </c>
      <c r="Y105" s="886">
        <v>67</v>
      </c>
      <c r="Z105" s="886">
        <v>3372</v>
      </c>
      <c r="AA105" s="886"/>
      <c r="AB105" s="886">
        <v>4764</v>
      </c>
      <c r="AC105" s="886">
        <v>38731</v>
      </c>
      <c r="AD105" s="894">
        <v>404124</v>
      </c>
      <c r="AE105" s="887"/>
      <c r="AF105" s="887"/>
      <c r="AG105" s="887"/>
    </row>
    <row r="106" spans="1:33" s="888" customFormat="1" ht="12.75" customHeight="1">
      <c r="A106" s="1137"/>
      <c r="B106" s="883"/>
      <c r="C106" s="884" t="s">
        <v>921</v>
      </c>
      <c r="D106" s="885">
        <v>11692</v>
      </c>
      <c r="E106" s="886">
        <v>51613</v>
      </c>
      <c r="F106" s="886">
        <v>42329</v>
      </c>
      <c r="G106" s="881">
        <v>0</v>
      </c>
      <c r="H106" s="881">
        <v>0</v>
      </c>
      <c r="I106" s="881">
        <v>0</v>
      </c>
      <c r="J106" s="881">
        <v>0</v>
      </c>
      <c r="K106" s="886">
        <v>0</v>
      </c>
      <c r="L106" s="881">
        <v>0</v>
      </c>
      <c r="M106" s="886">
        <v>30989</v>
      </c>
      <c r="N106" s="881">
        <v>0</v>
      </c>
      <c r="O106" s="886">
        <v>267501</v>
      </c>
      <c r="P106" s="886">
        <v>136623</v>
      </c>
      <c r="Q106" s="894">
        <v>404124</v>
      </c>
      <c r="R106" s="1137"/>
      <c r="S106" s="883"/>
      <c r="T106" s="884" t="s">
        <v>921</v>
      </c>
      <c r="U106" s="886">
        <v>24030</v>
      </c>
      <c r="V106" s="886">
        <v>6674</v>
      </c>
      <c r="W106" s="886">
        <v>326486</v>
      </c>
      <c r="X106" s="886">
        <v>149135</v>
      </c>
      <c r="Y106" s="886">
        <v>67</v>
      </c>
      <c r="Z106" s="886">
        <v>3372</v>
      </c>
      <c r="AA106" s="886"/>
      <c r="AB106" s="886">
        <v>4764</v>
      </c>
      <c r="AC106" s="886">
        <v>38731</v>
      </c>
      <c r="AD106" s="894">
        <v>404124</v>
      </c>
      <c r="AE106" s="887"/>
      <c r="AF106" s="887"/>
      <c r="AG106" s="887"/>
    </row>
    <row r="107" spans="1:33" s="888" customFormat="1" ht="12.75" customHeight="1">
      <c r="A107" s="1137"/>
      <c r="B107" s="883"/>
      <c r="C107" s="884" t="s">
        <v>948</v>
      </c>
      <c r="D107" s="885">
        <f>D72+D87+D92+D97+D102</f>
        <v>11692</v>
      </c>
      <c r="E107" s="885">
        <f aca="true" t="shared" si="4" ref="E107:Q107">E72+E87+E92+E97+E102</f>
        <v>51613</v>
      </c>
      <c r="F107" s="885">
        <f t="shared" si="4"/>
        <v>42329</v>
      </c>
      <c r="G107" s="885">
        <f t="shared" si="4"/>
        <v>0</v>
      </c>
      <c r="H107" s="885">
        <f t="shared" si="4"/>
        <v>837</v>
      </c>
      <c r="I107" s="885">
        <f t="shared" si="4"/>
        <v>0</v>
      </c>
      <c r="J107" s="885">
        <f t="shared" si="4"/>
        <v>0</v>
      </c>
      <c r="K107" s="885">
        <f t="shared" si="4"/>
        <v>0</v>
      </c>
      <c r="L107" s="885">
        <f t="shared" si="4"/>
        <v>0</v>
      </c>
      <c r="M107" s="885">
        <f t="shared" si="4"/>
        <v>30989</v>
      </c>
      <c r="N107" s="885">
        <f t="shared" si="4"/>
        <v>0</v>
      </c>
      <c r="O107" s="886">
        <f>AD107-P107</f>
        <v>265347</v>
      </c>
      <c r="P107" s="885">
        <f t="shared" si="4"/>
        <v>137460</v>
      </c>
      <c r="Q107" s="914">
        <f t="shared" si="4"/>
        <v>402807</v>
      </c>
      <c r="R107" s="1137"/>
      <c r="S107" s="883"/>
      <c r="T107" s="884" t="s">
        <v>948</v>
      </c>
      <c r="U107" s="886">
        <f>U72+U87+U92+U97+U102</f>
        <v>23506</v>
      </c>
      <c r="V107" s="886">
        <f aca="true" t="shared" si="5" ref="V107:AD107">V72+V87+V92+V97+V102</f>
        <v>6531</v>
      </c>
      <c r="W107" s="886">
        <f t="shared" si="5"/>
        <v>324253</v>
      </c>
      <c r="X107" s="886">
        <f t="shared" si="5"/>
        <v>149135</v>
      </c>
      <c r="Y107" s="886">
        <f t="shared" si="5"/>
        <v>67</v>
      </c>
      <c r="Z107" s="886">
        <f t="shared" si="5"/>
        <v>3372</v>
      </c>
      <c r="AA107" s="886">
        <f t="shared" si="5"/>
        <v>0</v>
      </c>
      <c r="AB107" s="886">
        <f t="shared" si="5"/>
        <v>6347</v>
      </c>
      <c r="AC107" s="886">
        <f t="shared" si="5"/>
        <v>38731</v>
      </c>
      <c r="AD107" s="894">
        <f t="shared" si="5"/>
        <v>402807</v>
      </c>
      <c r="AE107" s="887"/>
      <c r="AF107" s="887"/>
      <c r="AG107" s="887"/>
    </row>
    <row r="108" spans="1:33" ht="12.75" customHeight="1">
      <c r="A108" s="1141" t="s">
        <v>941</v>
      </c>
      <c r="B108" s="878" t="s">
        <v>590</v>
      </c>
      <c r="C108" s="879" t="s">
        <v>162</v>
      </c>
      <c r="D108" s="880">
        <v>1230</v>
      </c>
      <c r="E108" s="881">
        <v>0</v>
      </c>
      <c r="F108" s="881">
        <v>332</v>
      </c>
      <c r="G108" s="881">
        <v>0</v>
      </c>
      <c r="H108" s="881">
        <v>11868</v>
      </c>
      <c r="I108" s="881">
        <v>0</v>
      </c>
      <c r="J108" s="881">
        <v>0</v>
      </c>
      <c r="K108" s="881"/>
      <c r="L108" s="881">
        <v>0</v>
      </c>
      <c r="M108" s="881">
        <v>0</v>
      </c>
      <c r="N108" s="881">
        <v>0</v>
      </c>
      <c r="O108" s="881">
        <v>39982</v>
      </c>
      <c r="P108" s="881">
        <v>13430</v>
      </c>
      <c r="Q108" s="893">
        <v>53412</v>
      </c>
      <c r="R108" s="1142" t="s">
        <v>941</v>
      </c>
      <c r="S108" s="878" t="s">
        <v>590</v>
      </c>
      <c r="T108" s="879" t="s">
        <v>162</v>
      </c>
      <c r="U108" s="881">
        <v>21427</v>
      </c>
      <c r="V108" s="881">
        <v>5688</v>
      </c>
      <c r="W108" s="881">
        <v>26297</v>
      </c>
      <c r="X108" s="881">
        <v>0</v>
      </c>
      <c r="Y108" s="881">
        <v>0</v>
      </c>
      <c r="Z108" s="881">
        <v>0</v>
      </c>
      <c r="AA108" s="881"/>
      <c r="AB108" s="881">
        <v>0</v>
      </c>
      <c r="AC108" s="881">
        <v>0</v>
      </c>
      <c r="AD108" s="893">
        <v>53412</v>
      </c>
      <c r="AE108" s="875"/>
      <c r="AF108" s="875">
        <v>53412</v>
      </c>
      <c r="AG108" s="875"/>
    </row>
    <row r="109" spans="1:33" ht="12.75" customHeight="1">
      <c r="A109" s="1141"/>
      <c r="B109" s="878" t="s">
        <v>590</v>
      </c>
      <c r="C109" s="879" t="s">
        <v>919</v>
      </c>
      <c r="D109" s="880">
        <v>1230</v>
      </c>
      <c r="E109" s="881">
        <v>0</v>
      </c>
      <c r="F109" s="881">
        <v>332</v>
      </c>
      <c r="G109" s="881">
        <v>0</v>
      </c>
      <c r="H109" s="881">
        <v>11868</v>
      </c>
      <c r="I109" s="881">
        <v>0</v>
      </c>
      <c r="J109" s="881">
        <v>0</v>
      </c>
      <c r="K109" s="881">
        <v>1165</v>
      </c>
      <c r="L109" s="881">
        <v>0</v>
      </c>
      <c r="M109" s="881">
        <v>873</v>
      </c>
      <c r="N109" s="881">
        <v>0</v>
      </c>
      <c r="O109" s="881">
        <v>40496</v>
      </c>
      <c r="P109" s="881">
        <v>15468</v>
      </c>
      <c r="Q109" s="893">
        <v>55964</v>
      </c>
      <c r="R109" s="1142"/>
      <c r="S109" s="878" t="s">
        <v>590</v>
      </c>
      <c r="T109" s="879" t="s">
        <v>919</v>
      </c>
      <c r="U109" s="881">
        <v>22396</v>
      </c>
      <c r="V109" s="881">
        <v>6023</v>
      </c>
      <c r="W109" s="881">
        <v>27545</v>
      </c>
      <c r="X109" s="881">
        <v>0</v>
      </c>
      <c r="Y109" s="881">
        <v>0</v>
      </c>
      <c r="Z109" s="881">
        <v>0</v>
      </c>
      <c r="AA109" s="881"/>
      <c r="AB109" s="881">
        <v>0</v>
      </c>
      <c r="AC109" s="881">
        <v>0</v>
      </c>
      <c r="AD109" s="893">
        <v>55964</v>
      </c>
      <c r="AE109" s="875"/>
      <c r="AF109" s="875"/>
      <c r="AG109" s="875"/>
    </row>
    <row r="110" spans="1:33" ht="12.75" customHeight="1">
      <c r="A110" s="1141"/>
      <c r="B110" s="878" t="s">
        <v>590</v>
      </c>
      <c r="C110" s="879" t="s">
        <v>939</v>
      </c>
      <c r="D110" s="880">
        <v>1230</v>
      </c>
      <c r="E110" s="881">
        <v>0</v>
      </c>
      <c r="F110" s="881">
        <v>332</v>
      </c>
      <c r="G110" s="881">
        <v>160</v>
      </c>
      <c r="H110" s="881">
        <v>11868</v>
      </c>
      <c r="I110" s="881">
        <v>0</v>
      </c>
      <c r="J110" s="881">
        <v>0</v>
      </c>
      <c r="K110" s="881">
        <v>1165</v>
      </c>
      <c r="L110" s="881">
        <v>0</v>
      </c>
      <c r="M110" s="881">
        <v>873</v>
      </c>
      <c r="N110" s="881">
        <v>0</v>
      </c>
      <c r="O110" s="881">
        <v>42685</v>
      </c>
      <c r="P110" s="881">
        <v>15628</v>
      </c>
      <c r="Q110" s="893">
        <v>58313</v>
      </c>
      <c r="R110" s="1142"/>
      <c r="S110" s="878" t="s">
        <v>590</v>
      </c>
      <c r="T110" s="879" t="s">
        <v>920</v>
      </c>
      <c r="U110" s="881">
        <v>23250</v>
      </c>
      <c r="V110" s="881">
        <v>6223</v>
      </c>
      <c r="W110" s="881">
        <v>28190</v>
      </c>
      <c r="X110" s="881">
        <v>0</v>
      </c>
      <c r="Y110" s="881">
        <v>0</v>
      </c>
      <c r="Z110" s="881">
        <v>0</v>
      </c>
      <c r="AA110" s="881"/>
      <c r="AB110" s="881">
        <v>650</v>
      </c>
      <c r="AC110" s="881">
        <v>0</v>
      </c>
      <c r="AD110" s="893">
        <v>58313</v>
      </c>
      <c r="AE110" s="875"/>
      <c r="AF110" s="875"/>
      <c r="AG110" s="875"/>
    </row>
    <row r="111" spans="1:33" ht="12.75" customHeight="1">
      <c r="A111" s="1141"/>
      <c r="B111" s="878" t="s">
        <v>590</v>
      </c>
      <c r="C111" s="879" t="s">
        <v>921</v>
      </c>
      <c r="D111" s="880">
        <v>1230</v>
      </c>
      <c r="E111" s="881">
        <v>0</v>
      </c>
      <c r="F111" s="881">
        <v>332</v>
      </c>
      <c r="G111" s="881">
        <v>160</v>
      </c>
      <c r="H111" s="881">
        <v>11868</v>
      </c>
      <c r="I111" s="881">
        <v>0</v>
      </c>
      <c r="J111" s="881">
        <v>0</v>
      </c>
      <c r="K111" s="881">
        <v>1165</v>
      </c>
      <c r="L111" s="881">
        <v>0</v>
      </c>
      <c r="M111" s="881">
        <v>873</v>
      </c>
      <c r="N111" s="881">
        <v>0</v>
      </c>
      <c r="O111" s="881">
        <v>42685</v>
      </c>
      <c r="P111" s="881">
        <v>15628</v>
      </c>
      <c r="Q111" s="893">
        <v>58313</v>
      </c>
      <c r="R111" s="1142"/>
      <c r="S111" s="878" t="s">
        <v>590</v>
      </c>
      <c r="T111" s="879" t="s">
        <v>921</v>
      </c>
      <c r="U111" s="881">
        <v>23250</v>
      </c>
      <c r="V111" s="881">
        <v>6223</v>
      </c>
      <c r="W111" s="881">
        <v>28190</v>
      </c>
      <c r="X111" s="881">
        <v>0</v>
      </c>
      <c r="Y111" s="881">
        <v>0</v>
      </c>
      <c r="Z111" s="881">
        <v>0</v>
      </c>
      <c r="AA111" s="881"/>
      <c r="AB111" s="881">
        <v>650</v>
      </c>
      <c r="AC111" s="881">
        <v>0</v>
      </c>
      <c r="AD111" s="893">
        <v>58313</v>
      </c>
      <c r="AE111" s="875"/>
      <c r="AF111" s="875"/>
      <c r="AG111" s="875"/>
    </row>
    <row r="112" spans="1:33" ht="12.75" customHeight="1">
      <c r="A112" s="1141"/>
      <c r="B112" s="878" t="s">
        <v>590</v>
      </c>
      <c r="C112" s="879" t="s">
        <v>948</v>
      </c>
      <c r="D112" s="880">
        <v>1230</v>
      </c>
      <c r="E112" s="881">
        <v>0</v>
      </c>
      <c r="F112" s="881">
        <v>332</v>
      </c>
      <c r="G112" s="881">
        <v>192</v>
      </c>
      <c r="H112" s="881">
        <v>9158</v>
      </c>
      <c r="I112" s="881">
        <v>0</v>
      </c>
      <c r="J112" s="881">
        <v>0</v>
      </c>
      <c r="K112" s="881">
        <v>1165</v>
      </c>
      <c r="L112" s="881">
        <v>0</v>
      </c>
      <c r="M112" s="881">
        <v>873</v>
      </c>
      <c r="N112" s="881">
        <v>0</v>
      </c>
      <c r="O112" s="881">
        <f>AD112-P112</f>
        <v>43886</v>
      </c>
      <c r="P112" s="881">
        <v>12950</v>
      </c>
      <c r="Q112" s="893">
        <f>SUM(D112:O112)</f>
        <v>56836</v>
      </c>
      <c r="R112" s="1142"/>
      <c r="S112" s="878" t="s">
        <v>590</v>
      </c>
      <c r="T112" s="879" t="s">
        <v>948</v>
      </c>
      <c r="U112" s="881">
        <v>23538</v>
      </c>
      <c r="V112" s="881">
        <v>6299</v>
      </c>
      <c r="W112" s="881">
        <v>25512</v>
      </c>
      <c r="X112" s="881">
        <v>0</v>
      </c>
      <c r="Y112" s="881">
        <v>0</v>
      </c>
      <c r="Z112" s="881">
        <v>0</v>
      </c>
      <c r="AA112" s="881">
        <v>837</v>
      </c>
      <c r="AB112" s="881">
        <v>650</v>
      </c>
      <c r="AC112" s="881">
        <v>0</v>
      </c>
      <c r="AD112" s="893">
        <f>SUM(U112:AC112)-X112</f>
        <v>56836</v>
      </c>
      <c r="AE112" s="875"/>
      <c r="AF112" s="875"/>
      <c r="AG112" s="875"/>
    </row>
    <row r="113" spans="1:33" ht="12.75" customHeight="1">
      <c r="A113" s="1142" t="s">
        <v>952</v>
      </c>
      <c r="B113" s="878" t="s">
        <v>590</v>
      </c>
      <c r="C113" s="879" t="s">
        <v>162</v>
      </c>
      <c r="D113" s="880">
        <v>0</v>
      </c>
      <c r="E113" s="881">
        <v>0</v>
      </c>
      <c r="F113" s="881">
        <v>0</v>
      </c>
      <c r="G113" s="881">
        <v>0</v>
      </c>
      <c r="H113" s="881">
        <v>99560</v>
      </c>
      <c r="I113" s="881">
        <v>0</v>
      </c>
      <c r="J113" s="881">
        <v>0</v>
      </c>
      <c r="K113" s="881"/>
      <c r="L113" s="881">
        <v>0</v>
      </c>
      <c r="M113" s="881">
        <v>0</v>
      </c>
      <c r="N113" s="881">
        <v>0</v>
      </c>
      <c r="O113" s="881">
        <v>10916</v>
      </c>
      <c r="P113" s="881">
        <v>99560</v>
      </c>
      <c r="Q113" s="893">
        <v>110476</v>
      </c>
      <c r="R113" s="1142" t="s">
        <v>942</v>
      </c>
      <c r="S113" s="878" t="s">
        <v>590</v>
      </c>
      <c r="T113" s="879" t="s">
        <v>162</v>
      </c>
      <c r="U113" s="881">
        <v>58644</v>
      </c>
      <c r="V113" s="881">
        <v>15805</v>
      </c>
      <c r="W113" s="881">
        <v>36027</v>
      </c>
      <c r="X113" s="881">
        <v>0</v>
      </c>
      <c r="Y113" s="881">
        <v>0</v>
      </c>
      <c r="Z113" s="881">
        <v>0</v>
      </c>
      <c r="AA113" s="881"/>
      <c r="AB113" s="881">
        <v>0</v>
      </c>
      <c r="AC113" s="881">
        <v>0</v>
      </c>
      <c r="AD113" s="893">
        <v>110476</v>
      </c>
      <c r="AE113" s="875"/>
      <c r="AF113" s="875">
        <v>110476</v>
      </c>
      <c r="AG113" s="875"/>
    </row>
    <row r="114" spans="1:33" ht="12.75" customHeight="1">
      <c r="A114" s="1142"/>
      <c r="B114" s="878" t="s">
        <v>590</v>
      </c>
      <c r="C114" s="879" t="s">
        <v>919</v>
      </c>
      <c r="D114" s="880">
        <v>0</v>
      </c>
      <c r="E114" s="881">
        <v>0</v>
      </c>
      <c r="F114" s="881">
        <v>0</v>
      </c>
      <c r="G114" s="881">
        <v>0</v>
      </c>
      <c r="H114" s="881">
        <v>99560</v>
      </c>
      <c r="I114" s="881">
        <v>0</v>
      </c>
      <c r="J114" s="881">
        <v>0</v>
      </c>
      <c r="K114" s="881"/>
      <c r="L114" s="881">
        <v>0</v>
      </c>
      <c r="M114" s="881">
        <v>9087</v>
      </c>
      <c r="N114" s="881">
        <v>0</v>
      </c>
      <c r="O114" s="881">
        <v>11243</v>
      </c>
      <c r="P114" s="881">
        <v>108647</v>
      </c>
      <c r="Q114" s="893">
        <v>119890</v>
      </c>
      <c r="R114" s="1142"/>
      <c r="S114" s="878" t="s">
        <v>590</v>
      </c>
      <c r="T114" s="879" t="s">
        <v>919</v>
      </c>
      <c r="U114" s="881">
        <v>60901</v>
      </c>
      <c r="V114" s="881">
        <v>16415</v>
      </c>
      <c r="W114" s="881">
        <v>42574</v>
      </c>
      <c r="X114" s="881">
        <v>0</v>
      </c>
      <c r="Y114" s="881">
        <v>0</v>
      </c>
      <c r="Z114" s="881">
        <v>0</v>
      </c>
      <c r="AA114" s="881"/>
      <c r="AB114" s="881">
        <v>0</v>
      </c>
      <c r="AC114" s="881">
        <v>0</v>
      </c>
      <c r="AD114" s="893">
        <v>119890</v>
      </c>
      <c r="AE114" s="875"/>
      <c r="AF114" s="875"/>
      <c r="AG114" s="875"/>
    </row>
    <row r="115" spans="1:33" ht="12.75" customHeight="1">
      <c r="A115" s="1142"/>
      <c r="B115" s="878" t="s">
        <v>590</v>
      </c>
      <c r="C115" s="879" t="s">
        <v>939</v>
      </c>
      <c r="D115" s="880">
        <v>0</v>
      </c>
      <c r="E115" s="881">
        <v>0</v>
      </c>
      <c r="F115" s="881">
        <v>0</v>
      </c>
      <c r="G115" s="881">
        <v>0</v>
      </c>
      <c r="H115" s="881">
        <v>103542</v>
      </c>
      <c r="I115" s="881">
        <v>0</v>
      </c>
      <c r="J115" s="881">
        <v>0</v>
      </c>
      <c r="K115" s="881"/>
      <c r="L115" s="881">
        <v>0</v>
      </c>
      <c r="M115" s="881">
        <v>9087</v>
      </c>
      <c r="N115" s="881">
        <v>0</v>
      </c>
      <c r="O115" s="881">
        <v>11586</v>
      </c>
      <c r="P115" s="881">
        <v>112629</v>
      </c>
      <c r="Q115" s="893">
        <v>124215</v>
      </c>
      <c r="R115" s="1142"/>
      <c r="S115" s="878" t="s">
        <v>590</v>
      </c>
      <c r="T115" s="879" t="s">
        <v>920</v>
      </c>
      <c r="U115" s="881">
        <v>64306</v>
      </c>
      <c r="V115" s="881">
        <v>17335</v>
      </c>
      <c r="W115" s="881">
        <v>42366</v>
      </c>
      <c r="X115" s="881">
        <v>0</v>
      </c>
      <c r="Y115" s="881">
        <v>0</v>
      </c>
      <c r="Z115" s="881">
        <v>0</v>
      </c>
      <c r="AA115" s="881"/>
      <c r="AB115" s="881">
        <v>208</v>
      </c>
      <c r="AC115" s="881">
        <v>0</v>
      </c>
      <c r="AD115" s="893">
        <v>124215</v>
      </c>
      <c r="AE115" s="875"/>
      <c r="AF115" s="875"/>
      <c r="AG115" s="875"/>
    </row>
    <row r="116" spans="1:33" ht="12.75" customHeight="1">
      <c r="A116" s="1142"/>
      <c r="B116" s="878" t="s">
        <v>590</v>
      </c>
      <c r="C116" s="879" t="s">
        <v>921</v>
      </c>
      <c r="D116" s="880">
        <v>0</v>
      </c>
      <c r="E116" s="881">
        <v>0</v>
      </c>
      <c r="F116" s="881">
        <v>0</v>
      </c>
      <c r="G116" s="881">
        <v>0</v>
      </c>
      <c r="H116" s="881">
        <v>103542</v>
      </c>
      <c r="I116" s="881">
        <v>0</v>
      </c>
      <c r="J116" s="881">
        <v>0</v>
      </c>
      <c r="K116" s="881"/>
      <c r="L116" s="881">
        <v>0</v>
      </c>
      <c r="M116" s="881">
        <v>9087</v>
      </c>
      <c r="N116" s="881">
        <v>0</v>
      </c>
      <c r="O116" s="881">
        <v>11586</v>
      </c>
      <c r="P116" s="881">
        <v>112629</v>
      </c>
      <c r="Q116" s="893">
        <v>124215</v>
      </c>
      <c r="R116" s="1142"/>
      <c r="S116" s="878" t="s">
        <v>590</v>
      </c>
      <c r="T116" s="879" t="s">
        <v>921</v>
      </c>
      <c r="U116" s="881">
        <v>64306</v>
      </c>
      <c r="V116" s="881">
        <v>17335</v>
      </c>
      <c r="W116" s="881">
        <v>42366</v>
      </c>
      <c r="X116" s="881">
        <v>0</v>
      </c>
      <c r="Y116" s="881">
        <v>0</v>
      </c>
      <c r="Z116" s="881">
        <v>0</v>
      </c>
      <c r="AA116" s="881"/>
      <c r="AB116" s="881">
        <v>208</v>
      </c>
      <c r="AC116" s="881">
        <v>0</v>
      </c>
      <c r="AD116" s="893">
        <v>124215</v>
      </c>
      <c r="AE116" s="875"/>
      <c r="AF116" s="875"/>
      <c r="AG116" s="875"/>
    </row>
    <row r="117" spans="1:33" ht="12.75" customHeight="1">
      <c r="A117" s="1142"/>
      <c r="B117" s="878" t="s">
        <v>590</v>
      </c>
      <c r="C117" s="879" t="s">
        <v>948</v>
      </c>
      <c r="D117" s="880">
        <v>254</v>
      </c>
      <c r="E117" s="881">
        <v>0</v>
      </c>
      <c r="F117" s="881">
        <v>0</v>
      </c>
      <c r="G117" s="881">
        <v>0</v>
      </c>
      <c r="H117" s="881">
        <v>103542</v>
      </c>
      <c r="I117" s="881"/>
      <c r="J117" s="881">
        <v>6000</v>
      </c>
      <c r="K117" s="881"/>
      <c r="L117" s="881">
        <v>0</v>
      </c>
      <c r="M117" s="881">
        <v>9087</v>
      </c>
      <c r="N117" s="881">
        <v>0</v>
      </c>
      <c r="O117" s="881">
        <f>AD117-P117</f>
        <v>5963</v>
      </c>
      <c r="P117" s="881">
        <f>SUM(D117:M117)</f>
        <v>118883</v>
      </c>
      <c r="Q117" s="893">
        <f>SUM(D117:O117)</f>
        <v>124846</v>
      </c>
      <c r="R117" s="1142"/>
      <c r="S117" s="878" t="s">
        <v>590</v>
      </c>
      <c r="T117" s="879" t="s">
        <v>948</v>
      </c>
      <c r="U117" s="881">
        <v>64602</v>
      </c>
      <c r="V117" s="881">
        <v>17416</v>
      </c>
      <c r="W117" s="881">
        <f>41616-5250</f>
        <v>36366</v>
      </c>
      <c r="X117" s="881">
        <v>0</v>
      </c>
      <c r="Y117" s="881">
        <v>0</v>
      </c>
      <c r="Z117" s="881">
        <v>0</v>
      </c>
      <c r="AA117" s="881"/>
      <c r="AB117" s="881">
        <f>1212+5250</f>
        <v>6462</v>
      </c>
      <c r="AC117" s="881">
        <v>0</v>
      </c>
      <c r="AD117" s="893">
        <f>SUM(U117:AC117)-X117</f>
        <v>124846</v>
      </c>
      <c r="AE117" s="875"/>
      <c r="AF117" s="875"/>
      <c r="AG117" s="875"/>
    </row>
    <row r="118" spans="1:33" s="888" customFormat="1" ht="12.75" customHeight="1">
      <c r="A118" s="1137" t="s">
        <v>953</v>
      </c>
      <c r="B118" s="1138" t="s">
        <v>171</v>
      </c>
      <c r="C118" s="884" t="s">
        <v>162</v>
      </c>
      <c r="D118" s="885">
        <v>42953</v>
      </c>
      <c r="E118" s="886">
        <v>82011</v>
      </c>
      <c r="F118" s="886">
        <v>39853</v>
      </c>
      <c r="G118" s="886">
        <v>0</v>
      </c>
      <c r="H118" s="886">
        <v>111933</v>
      </c>
      <c r="I118" s="881">
        <v>0</v>
      </c>
      <c r="J118" s="886">
        <v>900</v>
      </c>
      <c r="K118" s="886"/>
      <c r="L118" s="881">
        <v>0</v>
      </c>
      <c r="M118" s="886">
        <v>0</v>
      </c>
      <c r="N118" s="881">
        <v>0</v>
      </c>
      <c r="O118" s="886">
        <v>789701</v>
      </c>
      <c r="P118" s="886">
        <v>277650</v>
      </c>
      <c r="Q118" s="894">
        <v>1067351</v>
      </c>
      <c r="R118" s="1137" t="s">
        <v>943</v>
      </c>
      <c r="S118" s="1138" t="s">
        <v>171</v>
      </c>
      <c r="T118" s="884" t="s">
        <v>162</v>
      </c>
      <c r="U118" s="886">
        <v>413886</v>
      </c>
      <c r="V118" s="886">
        <v>110056</v>
      </c>
      <c r="W118" s="886">
        <v>505133</v>
      </c>
      <c r="X118" s="886">
        <v>189996</v>
      </c>
      <c r="Y118" s="886">
        <v>0</v>
      </c>
      <c r="Z118" s="886">
        <v>0</v>
      </c>
      <c r="AA118" s="886"/>
      <c r="AB118" s="886">
        <v>6795</v>
      </c>
      <c r="AC118" s="886">
        <v>31481</v>
      </c>
      <c r="AD118" s="894">
        <v>1067351</v>
      </c>
      <c r="AE118" s="887"/>
      <c r="AF118" s="887">
        <v>1067351</v>
      </c>
      <c r="AG118" s="887"/>
    </row>
    <row r="119" spans="1:33" s="888" customFormat="1" ht="12.75" customHeight="1">
      <c r="A119" s="1137"/>
      <c r="B119" s="1138"/>
      <c r="C119" s="884" t="s">
        <v>919</v>
      </c>
      <c r="D119" s="885">
        <v>43553</v>
      </c>
      <c r="E119" s="886">
        <v>82011</v>
      </c>
      <c r="F119" s="886">
        <v>39853</v>
      </c>
      <c r="G119" s="886">
        <v>0</v>
      </c>
      <c r="H119" s="886">
        <v>111933</v>
      </c>
      <c r="I119" s="881">
        <v>0</v>
      </c>
      <c r="J119" s="886">
        <v>900</v>
      </c>
      <c r="K119" s="886">
        <v>4388</v>
      </c>
      <c r="L119" s="881">
        <v>0</v>
      </c>
      <c r="M119" s="886">
        <v>44513</v>
      </c>
      <c r="N119" s="881">
        <v>0</v>
      </c>
      <c r="O119" s="886">
        <v>795509</v>
      </c>
      <c r="P119" s="886">
        <v>327151</v>
      </c>
      <c r="Q119" s="894">
        <v>1122660</v>
      </c>
      <c r="R119" s="1137"/>
      <c r="S119" s="1138"/>
      <c r="T119" s="884" t="s">
        <v>919</v>
      </c>
      <c r="U119" s="886">
        <v>429908</v>
      </c>
      <c r="V119" s="886">
        <v>114677</v>
      </c>
      <c r="W119" s="886">
        <v>535411</v>
      </c>
      <c r="X119" s="886">
        <v>189996</v>
      </c>
      <c r="Y119" s="886">
        <v>0</v>
      </c>
      <c r="Z119" s="886">
        <v>4388</v>
      </c>
      <c r="AA119" s="886"/>
      <c r="AB119" s="886">
        <v>6795</v>
      </c>
      <c r="AC119" s="886">
        <v>31481</v>
      </c>
      <c r="AD119" s="894">
        <v>1122660</v>
      </c>
      <c r="AE119" s="887"/>
      <c r="AF119" s="887"/>
      <c r="AG119" s="887"/>
    </row>
    <row r="120" spans="1:33" s="888" customFormat="1" ht="12.75" customHeight="1">
      <c r="A120" s="1137"/>
      <c r="B120" s="1138"/>
      <c r="C120" s="884" t="s">
        <v>939</v>
      </c>
      <c r="D120" s="885">
        <v>55920</v>
      </c>
      <c r="E120" s="886">
        <v>82011</v>
      </c>
      <c r="F120" s="886">
        <v>72201</v>
      </c>
      <c r="G120" s="886">
        <v>312</v>
      </c>
      <c r="H120" s="886">
        <v>115915</v>
      </c>
      <c r="I120" s="881">
        <v>0</v>
      </c>
      <c r="J120" s="886">
        <v>900</v>
      </c>
      <c r="K120" s="886">
        <v>4388</v>
      </c>
      <c r="L120" s="881">
        <v>0</v>
      </c>
      <c r="M120" s="886">
        <v>44513</v>
      </c>
      <c r="N120" s="881">
        <v>0</v>
      </c>
      <c r="O120" s="886">
        <v>800675</v>
      </c>
      <c r="P120" s="886">
        <v>376160</v>
      </c>
      <c r="Q120" s="894">
        <v>1176835</v>
      </c>
      <c r="R120" s="1137"/>
      <c r="S120" s="1138"/>
      <c r="T120" s="884" t="s">
        <v>920</v>
      </c>
      <c r="U120" s="886">
        <v>440891</v>
      </c>
      <c r="V120" s="886">
        <v>117587</v>
      </c>
      <c r="W120" s="886">
        <v>553931</v>
      </c>
      <c r="X120" s="886">
        <v>189996</v>
      </c>
      <c r="Y120" s="886">
        <v>67</v>
      </c>
      <c r="Z120" s="886">
        <v>4388</v>
      </c>
      <c r="AA120" s="886"/>
      <c r="AB120" s="886">
        <v>19990</v>
      </c>
      <c r="AC120" s="886">
        <v>39981</v>
      </c>
      <c r="AD120" s="894">
        <v>1176835</v>
      </c>
      <c r="AE120" s="887"/>
      <c r="AF120" s="887"/>
      <c r="AG120" s="887"/>
    </row>
    <row r="121" spans="1:33" s="888" customFormat="1" ht="12.75" customHeight="1">
      <c r="A121" s="1137"/>
      <c r="B121" s="1138"/>
      <c r="C121" s="884" t="s">
        <v>921</v>
      </c>
      <c r="D121" s="885">
        <v>55920</v>
      </c>
      <c r="E121" s="886">
        <v>82011</v>
      </c>
      <c r="F121" s="886">
        <v>72201</v>
      </c>
      <c r="G121" s="886">
        <v>312</v>
      </c>
      <c r="H121" s="886">
        <v>115915</v>
      </c>
      <c r="I121" s="886">
        <v>0</v>
      </c>
      <c r="J121" s="886">
        <v>900</v>
      </c>
      <c r="K121" s="886">
        <v>4388</v>
      </c>
      <c r="L121" s="886">
        <v>0</v>
      </c>
      <c r="M121" s="886">
        <v>44513</v>
      </c>
      <c r="N121" s="886">
        <v>0</v>
      </c>
      <c r="O121" s="886">
        <v>800728</v>
      </c>
      <c r="P121" s="886">
        <v>376160</v>
      </c>
      <c r="Q121" s="894">
        <v>1176888</v>
      </c>
      <c r="R121" s="1137"/>
      <c r="S121" s="1138"/>
      <c r="T121" s="884" t="s">
        <v>921</v>
      </c>
      <c r="U121" s="886">
        <v>440891</v>
      </c>
      <c r="V121" s="886">
        <v>117587</v>
      </c>
      <c r="W121" s="886">
        <v>553984</v>
      </c>
      <c r="X121" s="886">
        <v>189996</v>
      </c>
      <c r="Y121" s="886">
        <v>67</v>
      </c>
      <c r="Z121" s="886">
        <v>4388</v>
      </c>
      <c r="AA121" s="886"/>
      <c r="AB121" s="886">
        <v>19990</v>
      </c>
      <c r="AC121" s="886">
        <v>39981</v>
      </c>
      <c r="AD121" s="894">
        <v>1176888</v>
      </c>
      <c r="AE121" s="887"/>
      <c r="AF121" s="887"/>
      <c r="AG121" s="873"/>
    </row>
    <row r="122" spans="1:33" s="888" customFormat="1" ht="12.75" customHeight="1">
      <c r="A122" s="1137"/>
      <c r="B122" s="1138"/>
      <c r="C122" s="884" t="s">
        <v>948</v>
      </c>
      <c r="D122" s="885">
        <f>D9+D14+D23+D28+D33+D42+D47+D52+D107+D112+D117</f>
        <v>54045</v>
      </c>
      <c r="E122" s="885">
        <f>E9+E14+E23+E28+E33+E42+E47+E52+E107+E112+E117</f>
        <v>85537</v>
      </c>
      <c r="F122" s="885">
        <f>F9+F14+F23+F28+F33+F42+F47+F52+F107+F112+F117</f>
        <v>72318</v>
      </c>
      <c r="G122" s="885">
        <f>G9+G14+G23+G28+G33+G42+G47+G52+G107+G112+G117</f>
        <v>344</v>
      </c>
      <c r="H122" s="885">
        <f aca="true" t="shared" si="6" ref="H122:Q122">H9+H14+H23+H28+H33+H42+H47+H52+H107+H112+H117</f>
        <v>114042</v>
      </c>
      <c r="I122" s="885">
        <f t="shared" si="6"/>
        <v>0</v>
      </c>
      <c r="J122" s="885">
        <f t="shared" si="6"/>
        <v>6900</v>
      </c>
      <c r="K122" s="885">
        <f t="shared" si="6"/>
        <v>4388</v>
      </c>
      <c r="L122" s="885">
        <f t="shared" si="6"/>
        <v>0</v>
      </c>
      <c r="M122" s="885">
        <f t="shared" si="6"/>
        <v>44513</v>
      </c>
      <c r="N122" s="885">
        <f t="shared" si="6"/>
        <v>0</v>
      </c>
      <c r="O122" s="886">
        <f>O9+O14+O23+O28+O33+O42+O47+O52+O107+O112+O117</f>
        <v>799277</v>
      </c>
      <c r="P122" s="885">
        <f t="shared" si="6"/>
        <v>382087</v>
      </c>
      <c r="Q122" s="914">
        <f t="shared" si="6"/>
        <v>1181364</v>
      </c>
      <c r="R122" s="1137"/>
      <c r="S122" s="1138"/>
      <c r="T122" s="884" t="s">
        <v>948</v>
      </c>
      <c r="U122" s="886">
        <f>U9+U14+U23+U28+U33+U42+U47+U52+U107+U112+U117</f>
        <v>443364</v>
      </c>
      <c r="V122" s="886">
        <f aca="true" t="shared" si="7" ref="V122:AD122">V9+V14+V23+V28+V33+V42+V47+V52+V107+V112+V117</f>
        <v>118255</v>
      </c>
      <c r="W122" s="886">
        <f t="shared" si="7"/>
        <v>545894</v>
      </c>
      <c r="X122" s="886">
        <f t="shared" si="7"/>
        <v>189996</v>
      </c>
      <c r="Y122" s="886">
        <f t="shared" si="7"/>
        <v>67</v>
      </c>
      <c r="Z122" s="886">
        <f t="shared" si="7"/>
        <v>4388</v>
      </c>
      <c r="AA122" s="886">
        <f t="shared" si="7"/>
        <v>837</v>
      </c>
      <c r="AB122" s="886">
        <f t="shared" si="7"/>
        <v>28708</v>
      </c>
      <c r="AC122" s="886">
        <f t="shared" si="7"/>
        <v>39851</v>
      </c>
      <c r="AD122" s="894">
        <f t="shared" si="7"/>
        <v>1181364</v>
      </c>
      <c r="AE122" s="887"/>
      <c r="AF122" s="887"/>
      <c r="AG122" s="887"/>
    </row>
    <row r="123" spans="1:33" ht="12.75" customHeight="1">
      <c r="A123" s="1137" t="s">
        <v>944</v>
      </c>
      <c r="B123" s="1138" t="s">
        <v>711</v>
      </c>
      <c r="C123" s="884" t="s">
        <v>162</v>
      </c>
      <c r="D123" s="880">
        <v>42287</v>
      </c>
      <c r="E123" s="881">
        <v>82011</v>
      </c>
      <c r="F123" s="881">
        <v>31672</v>
      </c>
      <c r="G123" s="881">
        <v>0</v>
      </c>
      <c r="H123" s="881">
        <v>111933</v>
      </c>
      <c r="I123" s="881">
        <v>0</v>
      </c>
      <c r="J123" s="881">
        <v>900</v>
      </c>
      <c r="K123" s="881">
        <v>0</v>
      </c>
      <c r="L123" s="881">
        <v>0</v>
      </c>
      <c r="M123" s="881">
        <v>0</v>
      </c>
      <c r="N123" s="881">
        <v>0</v>
      </c>
      <c r="O123" s="881">
        <v>758249</v>
      </c>
      <c r="P123" s="881">
        <v>268803</v>
      </c>
      <c r="Q123" s="893">
        <v>1027052</v>
      </c>
      <c r="R123" s="1137" t="s">
        <v>944</v>
      </c>
      <c r="S123" s="1138" t="s">
        <v>711</v>
      </c>
      <c r="T123" s="884" t="s">
        <v>162</v>
      </c>
      <c r="U123" s="881">
        <v>395591</v>
      </c>
      <c r="V123" s="881">
        <v>105150</v>
      </c>
      <c r="W123" s="881">
        <v>491210</v>
      </c>
      <c r="X123" s="881">
        <v>189996</v>
      </c>
      <c r="Y123" s="881">
        <v>0</v>
      </c>
      <c r="Z123" s="881">
        <v>0</v>
      </c>
      <c r="AA123" s="881"/>
      <c r="AB123" s="881">
        <v>3620</v>
      </c>
      <c r="AC123" s="881">
        <v>31481</v>
      </c>
      <c r="AD123" s="893">
        <v>1027052</v>
      </c>
      <c r="AE123" s="875"/>
      <c r="AF123" s="875"/>
      <c r="AG123" s="875"/>
    </row>
    <row r="124" spans="1:33" ht="11.25">
      <c r="A124" s="1137"/>
      <c r="B124" s="1138"/>
      <c r="C124" s="884" t="s">
        <v>919</v>
      </c>
      <c r="D124" s="880">
        <v>42887</v>
      </c>
      <c r="E124" s="881">
        <v>82011</v>
      </c>
      <c r="F124" s="881">
        <v>31672</v>
      </c>
      <c r="G124" s="881">
        <v>0</v>
      </c>
      <c r="H124" s="881">
        <v>111933</v>
      </c>
      <c r="I124" s="881">
        <v>0</v>
      </c>
      <c r="J124" s="881">
        <v>900</v>
      </c>
      <c r="K124" s="881">
        <v>4388</v>
      </c>
      <c r="L124" s="881">
        <v>0</v>
      </c>
      <c r="M124" s="881">
        <v>13524</v>
      </c>
      <c r="N124" s="881">
        <v>0</v>
      </c>
      <c r="O124" s="881">
        <v>763451</v>
      </c>
      <c r="P124" s="881">
        <v>287315</v>
      </c>
      <c r="Q124" s="893">
        <v>1050766</v>
      </c>
      <c r="R124" s="1137"/>
      <c r="S124" s="1138"/>
      <c r="T124" s="884" t="s">
        <v>919</v>
      </c>
      <c r="U124" s="881">
        <v>404070</v>
      </c>
      <c r="V124" s="881">
        <v>107513</v>
      </c>
      <c r="W124" s="881">
        <v>503066</v>
      </c>
      <c r="X124" s="881">
        <v>189996</v>
      </c>
      <c r="Y124" s="881">
        <v>0</v>
      </c>
      <c r="Z124" s="881">
        <v>1016</v>
      </c>
      <c r="AA124" s="881"/>
      <c r="AB124" s="881">
        <v>3620</v>
      </c>
      <c r="AC124" s="881">
        <v>31481</v>
      </c>
      <c r="AD124" s="893">
        <v>1050766</v>
      </c>
      <c r="AE124" s="875"/>
      <c r="AF124" s="875"/>
      <c r="AG124" s="875"/>
    </row>
    <row r="125" spans="1:33" ht="12.75" customHeight="1">
      <c r="A125" s="1137"/>
      <c r="B125" s="1138"/>
      <c r="C125" s="884" t="s">
        <v>939</v>
      </c>
      <c r="D125" s="880">
        <v>55254</v>
      </c>
      <c r="E125" s="881">
        <v>82011</v>
      </c>
      <c r="F125" s="881">
        <v>45707</v>
      </c>
      <c r="G125" s="881">
        <v>312</v>
      </c>
      <c r="H125" s="881">
        <v>115915</v>
      </c>
      <c r="I125" s="881">
        <v>0</v>
      </c>
      <c r="J125" s="881">
        <v>900</v>
      </c>
      <c r="K125" s="881">
        <v>4388</v>
      </c>
      <c r="L125" s="881">
        <v>0</v>
      </c>
      <c r="M125" s="881">
        <v>13524</v>
      </c>
      <c r="N125" s="881">
        <v>0</v>
      </c>
      <c r="O125" s="881">
        <v>791769</v>
      </c>
      <c r="P125" s="881">
        <v>318011</v>
      </c>
      <c r="Q125" s="893">
        <v>1109780</v>
      </c>
      <c r="R125" s="1137"/>
      <c r="S125" s="1138"/>
      <c r="T125" s="884" t="s">
        <v>920</v>
      </c>
      <c r="U125" s="881">
        <v>416861</v>
      </c>
      <c r="V125" s="881">
        <v>110913</v>
      </c>
      <c r="W125" s="881">
        <v>525708</v>
      </c>
      <c r="X125" s="881">
        <v>189996</v>
      </c>
      <c r="Y125" s="881">
        <v>0</v>
      </c>
      <c r="Z125" s="881">
        <v>1016</v>
      </c>
      <c r="AA125" s="881"/>
      <c r="AB125" s="881">
        <v>15301</v>
      </c>
      <c r="AC125" s="881">
        <v>39981</v>
      </c>
      <c r="AD125" s="893">
        <v>1109780</v>
      </c>
      <c r="AE125" s="875"/>
      <c r="AF125" s="875"/>
      <c r="AG125" s="875"/>
    </row>
    <row r="126" spans="1:32" ht="12.75" customHeight="1">
      <c r="A126" s="1137"/>
      <c r="B126" s="1138"/>
      <c r="C126" s="884" t="s">
        <v>921</v>
      </c>
      <c r="D126" s="880">
        <v>55254</v>
      </c>
      <c r="E126" s="881">
        <v>82011</v>
      </c>
      <c r="F126" s="881">
        <v>45707</v>
      </c>
      <c r="G126" s="881">
        <v>312</v>
      </c>
      <c r="H126" s="881">
        <v>115915</v>
      </c>
      <c r="I126" s="881">
        <v>0</v>
      </c>
      <c r="J126" s="881">
        <v>900</v>
      </c>
      <c r="K126" s="881">
        <v>4388</v>
      </c>
      <c r="L126" s="881">
        <v>0</v>
      </c>
      <c r="M126" s="881">
        <v>13524</v>
      </c>
      <c r="N126" s="881">
        <v>0</v>
      </c>
      <c r="O126" s="881">
        <v>791822</v>
      </c>
      <c r="P126" s="881">
        <v>318011</v>
      </c>
      <c r="Q126" s="893">
        <v>1109833</v>
      </c>
      <c r="R126" s="1137"/>
      <c r="S126" s="1138"/>
      <c r="T126" s="884" t="s">
        <v>921</v>
      </c>
      <c r="U126" s="881">
        <v>416861</v>
      </c>
      <c r="V126" s="881">
        <v>110913</v>
      </c>
      <c r="W126" s="881">
        <v>525761</v>
      </c>
      <c r="X126" s="881">
        <v>189996</v>
      </c>
      <c r="Y126" s="881">
        <v>0</v>
      </c>
      <c r="Z126" s="881">
        <v>1016</v>
      </c>
      <c r="AA126" s="881"/>
      <c r="AB126" s="881">
        <v>15301</v>
      </c>
      <c r="AC126" s="881">
        <v>39981</v>
      </c>
      <c r="AD126" s="893">
        <v>1109833</v>
      </c>
      <c r="AE126" s="875"/>
      <c r="AF126" s="875"/>
    </row>
    <row r="127" spans="1:33" ht="12.75" customHeight="1">
      <c r="A127" s="1137"/>
      <c r="B127" s="1138"/>
      <c r="C127" s="884" t="s">
        <v>948</v>
      </c>
      <c r="D127" s="880">
        <f>D122-D102</f>
        <v>53379</v>
      </c>
      <c r="E127" s="880">
        <f aca="true" t="shared" si="8" ref="E127:Q127">E122-E102</f>
        <v>85537</v>
      </c>
      <c r="F127" s="880">
        <f t="shared" si="8"/>
        <v>45824</v>
      </c>
      <c r="G127" s="880">
        <f t="shared" si="8"/>
        <v>344</v>
      </c>
      <c r="H127" s="880">
        <f t="shared" si="8"/>
        <v>113205</v>
      </c>
      <c r="I127" s="880">
        <f t="shared" si="8"/>
        <v>0</v>
      </c>
      <c r="J127" s="880">
        <f t="shared" si="8"/>
        <v>6900</v>
      </c>
      <c r="K127" s="880">
        <f t="shared" si="8"/>
        <v>4388</v>
      </c>
      <c r="L127" s="880">
        <f t="shared" si="8"/>
        <v>0</v>
      </c>
      <c r="M127" s="880">
        <f t="shared" si="8"/>
        <v>13524</v>
      </c>
      <c r="N127" s="880">
        <f t="shared" si="8"/>
        <v>0</v>
      </c>
      <c r="O127" s="880">
        <f t="shared" si="8"/>
        <v>792525</v>
      </c>
      <c r="P127" s="880">
        <f t="shared" si="8"/>
        <v>323101</v>
      </c>
      <c r="Q127" s="905">
        <f t="shared" si="8"/>
        <v>1115626</v>
      </c>
      <c r="R127" s="1137"/>
      <c r="S127" s="1138"/>
      <c r="T127" s="884" t="s">
        <v>948</v>
      </c>
      <c r="U127" s="880">
        <f aca="true" t="shared" si="9" ref="U127:AD127">U122-U102</f>
        <v>419858</v>
      </c>
      <c r="V127" s="880">
        <f t="shared" si="9"/>
        <v>111724</v>
      </c>
      <c r="W127" s="880">
        <f t="shared" si="9"/>
        <v>518321</v>
      </c>
      <c r="X127" s="880">
        <f t="shared" si="9"/>
        <v>189996</v>
      </c>
      <c r="Y127" s="880">
        <f t="shared" si="9"/>
        <v>0</v>
      </c>
      <c r="Z127" s="880">
        <f t="shared" si="9"/>
        <v>1016</v>
      </c>
      <c r="AA127" s="880">
        <f t="shared" si="9"/>
        <v>837</v>
      </c>
      <c r="AB127" s="880">
        <f t="shared" si="9"/>
        <v>24019</v>
      </c>
      <c r="AC127" s="880">
        <f t="shared" si="9"/>
        <v>39851</v>
      </c>
      <c r="AD127" s="905">
        <f t="shared" si="9"/>
        <v>1115626</v>
      </c>
      <c r="AE127" s="875"/>
      <c r="AF127" s="875"/>
      <c r="AG127" s="875"/>
    </row>
    <row r="128" spans="1:33" ht="12.75" customHeight="1">
      <c r="A128" s="1137" t="s">
        <v>954</v>
      </c>
      <c r="B128" s="1138" t="s">
        <v>946</v>
      </c>
      <c r="C128" s="884" t="s">
        <v>162</v>
      </c>
      <c r="D128" s="880">
        <v>666</v>
      </c>
      <c r="E128" s="881">
        <v>0</v>
      </c>
      <c r="F128" s="881">
        <v>8181</v>
      </c>
      <c r="G128" s="881">
        <v>0</v>
      </c>
      <c r="H128" s="881">
        <v>0</v>
      </c>
      <c r="I128" s="881">
        <v>0</v>
      </c>
      <c r="J128" s="881">
        <v>0</v>
      </c>
      <c r="K128" s="881"/>
      <c r="L128" s="881">
        <v>0</v>
      </c>
      <c r="M128" s="881">
        <v>0</v>
      </c>
      <c r="N128" s="881">
        <v>0</v>
      </c>
      <c r="O128" s="881">
        <v>31452</v>
      </c>
      <c r="P128" s="881">
        <v>8847</v>
      </c>
      <c r="Q128" s="893">
        <v>40299</v>
      </c>
      <c r="R128" s="1137" t="s">
        <v>945</v>
      </c>
      <c r="S128" s="1138" t="s">
        <v>946</v>
      </c>
      <c r="T128" s="884" t="s">
        <v>162</v>
      </c>
      <c r="U128" s="881">
        <v>18295</v>
      </c>
      <c r="V128" s="881">
        <v>4906</v>
      </c>
      <c r="W128" s="881">
        <v>13923</v>
      </c>
      <c r="X128" s="881">
        <v>0</v>
      </c>
      <c r="Y128" s="881">
        <v>0</v>
      </c>
      <c r="Z128" s="881">
        <v>0</v>
      </c>
      <c r="AA128" s="881"/>
      <c r="AB128" s="881">
        <v>3175</v>
      </c>
      <c r="AC128" s="881">
        <v>0</v>
      </c>
      <c r="AD128" s="893">
        <v>40299</v>
      </c>
      <c r="AE128" s="889">
        <v>0</v>
      </c>
      <c r="AF128" s="881">
        <v>0</v>
      </c>
      <c r="AG128" s="875"/>
    </row>
    <row r="129" spans="1:33" ht="12.75" customHeight="1">
      <c r="A129" s="1137"/>
      <c r="B129" s="1138"/>
      <c r="C129" s="884" t="s">
        <v>919</v>
      </c>
      <c r="D129" s="880">
        <v>666</v>
      </c>
      <c r="E129" s="881">
        <v>0</v>
      </c>
      <c r="F129" s="881">
        <v>8181</v>
      </c>
      <c r="G129" s="881">
        <v>0</v>
      </c>
      <c r="H129" s="881">
        <v>0</v>
      </c>
      <c r="I129" s="881">
        <v>0</v>
      </c>
      <c r="J129" s="881">
        <v>0</v>
      </c>
      <c r="K129" s="881"/>
      <c r="L129" s="881">
        <v>0</v>
      </c>
      <c r="M129" s="881">
        <v>30989</v>
      </c>
      <c r="N129" s="881">
        <v>0</v>
      </c>
      <c r="O129" s="881">
        <v>32058</v>
      </c>
      <c r="P129" s="881">
        <v>39836</v>
      </c>
      <c r="Q129" s="893">
        <v>71894</v>
      </c>
      <c r="R129" s="1137" t="s">
        <v>945</v>
      </c>
      <c r="S129" s="1138"/>
      <c r="T129" s="884" t="s">
        <v>919</v>
      </c>
      <c r="U129" s="881">
        <v>25838</v>
      </c>
      <c r="V129" s="881">
        <v>7164</v>
      </c>
      <c r="W129" s="881">
        <v>32345</v>
      </c>
      <c r="X129" s="881">
        <v>0</v>
      </c>
      <c r="Y129" s="881">
        <v>0</v>
      </c>
      <c r="Z129" s="881">
        <v>3372</v>
      </c>
      <c r="AA129" s="881"/>
      <c r="AB129" s="881">
        <v>3175</v>
      </c>
      <c r="AC129" s="881">
        <v>0</v>
      </c>
      <c r="AD129" s="893">
        <v>71894</v>
      </c>
      <c r="AE129" s="889">
        <v>0</v>
      </c>
      <c r="AF129" s="881">
        <v>0</v>
      </c>
      <c r="AG129" s="875"/>
    </row>
    <row r="130" spans="1:33" ht="12.75" customHeight="1">
      <c r="A130" s="1137"/>
      <c r="B130" s="1138"/>
      <c r="C130" s="884" t="s">
        <v>939</v>
      </c>
      <c r="D130" s="880">
        <v>666</v>
      </c>
      <c r="E130" s="881">
        <v>0</v>
      </c>
      <c r="F130" s="881">
        <v>26494</v>
      </c>
      <c r="G130" s="881">
        <v>0</v>
      </c>
      <c r="H130" s="881">
        <v>0</v>
      </c>
      <c r="I130" s="881">
        <v>0</v>
      </c>
      <c r="J130" s="881">
        <v>0</v>
      </c>
      <c r="K130" s="881"/>
      <c r="L130" s="881">
        <v>0</v>
      </c>
      <c r="M130" s="881">
        <v>30989</v>
      </c>
      <c r="N130" s="881">
        <v>0</v>
      </c>
      <c r="O130" s="881">
        <v>8906</v>
      </c>
      <c r="P130" s="881">
        <v>58149</v>
      </c>
      <c r="Q130" s="893">
        <v>67055</v>
      </c>
      <c r="R130" s="1137"/>
      <c r="S130" s="1138"/>
      <c r="T130" s="884" t="s">
        <v>920</v>
      </c>
      <c r="U130" s="881">
        <v>24030</v>
      </c>
      <c r="V130" s="881">
        <v>6674</v>
      </c>
      <c r="W130" s="881">
        <v>28223</v>
      </c>
      <c r="X130" s="881">
        <v>0</v>
      </c>
      <c r="Y130" s="881">
        <v>67</v>
      </c>
      <c r="Z130" s="881">
        <v>3372</v>
      </c>
      <c r="AA130" s="881"/>
      <c r="AB130" s="881">
        <v>4689</v>
      </c>
      <c r="AC130" s="881">
        <v>0</v>
      </c>
      <c r="AD130" s="893">
        <v>67055</v>
      </c>
      <c r="AE130" s="890"/>
      <c r="AF130" s="890"/>
      <c r="AG130" s="875"/>
    </row>
    <row r="131" spans="1:33" ht="12.75" customHeight="1">
      <c r="A131" s="1137"/>
      <c r="B131" s="1138"/>
      <c r="C131" s="884" t="s">
        <v>921</v>
      </c>
      <c r="D131" s="880">
        <v>666</v>
      </c>
      <c r="E131" s="881">
        <v>0</v>
      </c>
      <c r="F131" s="881">
        <v>26494</v>
      </c>
      <c r="G131" s="881">
        <v>0</v>
      </c>
      <c r="H131" s="881">
        <v>0</v>
      </c>
      <c r="I131" s="881">
        <v>0</v>
      </c>
      <c r="J131" s="881">
        <v>0</v>
      </c>
      <c r="K131" s="881"/>
      <c r="L131" s="881">
        <v>0</v>
      </c>
      <c r="M131" s="881">
        <v>30989</v>
      </c>
      <c r="N131" s="881">
        <v>0</v>
      </c>
      <c r="O131" s="881">
        <v>8906</v>
      </c>
      <c r="P131" s="881">
        <v>58149</v>
      </c>
      <c r="Q131" s="893">
        <v>67055</v>
      </c>
      <c r="R131" s="1137"/>
      <c r="S131" s="1138"/>
      <c r="T131" s="884" t="s">
        <v>921</v>
      </c>
      <c r="U131" s="881">
        <v>24030</v>
      </c>
      <c r="V131" s="881">
        <v>6674</v>
      </c>
      <c r="W131" s="881">
        <v>28223</v>
      </c>
      <c r="X131" s="881">
        <v>0</v>
      </c>
      <c r="Y131" s="881">
        <v>67</v>
      </c>
      <c r="Z131" s="881">
        <v>3372</v>
      </c>
      <c r="AA131" s="881"/>
      <c r="AB131" s="881">
        <v>4689</v>
      </c>
      <c r="AC131" s="881">
        <v>0</v>
      </c>
      <c r="AD131" s="893">
        <v>67055</v>
      </c>
      <c r="AE131" s="890"/>
      <c r="AF131" s="890"/>
      <c r="AG131" s="875"/>
    </row>
    <row r="132" spans="1:33" ht="12.75" customHeight="1" thickBot="1">
      <c r="A132" s="1139"/>
      <c r="B132" s="1140"/>
      <c r="C132" s="906" t="s">
        <v>948</v>
      </c>
      <c r="D132" s="907">
        <f>D102</f>
        <v>666</v>
      </c>
      <c r="E132" s="907">
        <f aca="true" t="shared" si="10" ref="E132:Q132">E102</f>
        <v>0</v>
      </c>
      <c r="F132" s="907">
        <f t="shared" si="10"/>
        <v>26494</v>
      </c>
      <c r="G132" s="907">
        <f t="shared" si="10"/>
        <v>0</v>
      </c>
      <c r="H132" s="907">
        <f t="shared" si="10"/>
        <v>837</v>
      </c>
      <c r="I132" s="907">
        <f t="shared" si="10"/>
        <v>0</v>
      </c>
      <c r="J132" s="907">
        <f t="shared" si="10"/>
        <v>0</v>
      </c>
      <c r="K132" s="907">
        <f t="shared" si="10"/>
        <v>0</v>
      </c>
      <c r="L132" s="907">
        <f t="shared" si="10"/>
        <v>0</v>
      </c>
      <c r="M132" s="907">
        <f t="shared" si="10"/>
        <v>30989</v>
      </c>
      <c r="N132" s="907">
        <f t="shared" si="10"/>
        <v>0</v>
      </c>
      <c r="O132" s="907">
        <f t="shared" si="10"/>
        <v>6752</v>
      </c>
      <c r="P132" s="907">
        <f t="shared" si="10"/>
        <v>58986</v>
      </c>
      <c r="Q132" s="908">
        <f t="shared" si="10"/>
        <v>65738</v>
      </c>
      <c r="R132" s="1139"/>
      <c r="S132" s="1140"/>
      <c r="T132" s="906" t="s">
        <v>948</v>
      </c>
      <c r="U132" s="907">
        <f aca="true" t="shared" si="11" ref="U132:AF132">U102</f>
        <v>23506</v>
      </c>
      <c r="V132" s="907">
        <f t="shared" si="11"/>
        <v>6531</v>
      </c>
      <c r="W132" s="907">
        <f t="shared" si="11"/>
        <v>27573</v>
      </c>
      <c r="X132" s="907">
        <f t="shared" si="11"/>
        <v>0</v>
      </c>
      <c r="Y132" s="907">
        <f t="shared" si="11"/>
        <v>67</v>
      </c>
      <c r="Z132" s="907">
        <f t="shared" si="11"/>
        <v>3372</v>
      </c>
      <c r="AA132" s="907">
        <f t="shared" si="11"/>
        <v>0</v>
      </c>
      <c r="AB132" s="907">
        <f t="shared" si="11"/>
        <v>4689</v>
      </c>
      <c r="AC132" s="907">
        <f t="shared" si="11"/>
        <v>0</v>
      </c>
      <c r="AD132" s="908">
        <f t="shared" si="11"/>
        <v>65738</v>
      </c>
      <c r="AE132" s="899">
        <f t="shared" si="11"/>
        <v>0</v>
      </c>
      <c r="AF132" s="880">
        <f t="shared" si="11"/>
        <v>0</v>
      </c>
      <c r="AG132" s="875"/>
    </row>
    <row r="133" spans="1:33" ht="11.25">
      <c r="A133" s="875"/>
      <c r="B133" s="875"/>
      <c r="C133" s="875"/>
      <c r="E133" s="875"/>
      <c r="F133" s="875"/>
      <c r="G133" s="875"/>
      <c r="H133" s="875"/>
      <c r="I133" s="875"/>
      <c r="J133" s="875"/>
      <c r="K133" s="875"/>
      <c r="L133" s="875"/>
      <c r="M133" s="875"/>
      <c r="N133" s="875"/>
      <c r="O133" s="875"/>
      <c r="P133" s="875"/>
      <c r="Q133" s="875"/>
      <c r="R133" s="875"/>
      <c r="S133" s="875"/>
      <c r="T133" s="875"/>
      <c r="V133" s="875"/>
      <c r="W133" s="875"/>
      <c r="X133" s="875"/>
      <c r="Y133" s="875"/>
      <c r="Z133" s="875"/>
      <c r="AA133" s="875"/>
      <c r="AB133" s="875"/>
      <c r="AC133" s="875"/>
      <c r="AD133" s="875"/>
      <c r="AE133" s="875"/>
      <c r="AF133" s="875"/>
      <c r="AG133" s="875"/>
    </row>
    <row r="134" spans="4:21" ht="12.75">
      <c r="D134" s="873"/>
      <c r="R134" s="242" t="s">
        <v>1125</v>
      </c>
      <c r="U134" s="873"/>
    </row>
    <row r="135" spans="4:21" ht="12.75">
      <c r="D135" s="873"/>
      <c r="R135" s="1" t="s">
        <v>1126</v>
      </c>
      <c r="U135" s="873"/>
    </row>
    <row r="136" spans="1:32" ht="12.75" customHeight="1">
      <c r="A136" s="875"/>
      <c r="B136" s="875"/>
      <c r="C136" s="875"/>
      <c r="E136" s="882"/>
      <c r="F136" s="882"/>
      <c r="G136" s="882"/>
      <c r="H136" s="882"/>
      <c r="I136" s="882"/>
      <c r="J136" s="882"/>
      <c r="K136" s="882"/>
      <c r="L136" s="882"/>
      <c r="M136" s="882"/>
      <c r="N136" s="882"/>
      <c r="O136" s="882"/>
      <c r="P136" s="882"/>
      <c r="Q136" s="882"/>
      <c r="R136" s="1" t="s">
        <v>1127</v>
      </c>
      <c r="S136" s="882"/>
      <c r="T136" s="882"/>
      <c r="U136" s="882"/>
      <c r="V136" s="882"/>
      <c r="W136" s="882"/>
      <c r="X136" s="882"/>
      <c r="Y136" s="882"/>
      <c r="Z136" s="882"/>
      <c r="AA136" s="882"/>
      <c r="AB136" s="882"/>
      <c r="AC136" s="882"/>
      <c r="AD136" s="882"/>
      <c r="AE136" s="882"/>
      <c r="AF136" s="882"/>
    </row>
    <row r="137" ht="12.75">
      <c r="R137" s="1" t="s">
        <v>1128</v>
      </c>
    </row>
    <row r="139" spans="15:30" ht="11.25">
      <c r="O139" s="882"/>
      <c r="AD139" s="882"/>
    </row>
    <row r="141" ht="11.25">
      <c r="AD141" s="882"/>
    </row>
  </sheetData>
  <sheetProtection/>
  <mergeCells count="79">
    <mergeCell ref="S118:S122"/>
    <mergeCell ref="A41:A42"/>
    <mergeCell ref="R41:R42"/>
    <mergeCell ref="A22:A23"/>
    <mergeCell ref="R22:R23"/>
    <mergeCell ref="A24:A28"/>
    <mergeCell ref="R24:R28"/>
    <mergeCell ref="A68:A72"/>
    <mergeCell ref="R68:R72"/>
    <mergeCell ref="A43:A47"/>
    <mergeCell ref="R43:R47"/>
    <mergeCell ref="A48:A52"/>
    <mergeCell ref="R48:R52"/>
    <mergeCell ref="A98:A102"/>
    <mergeCell ref="R98:R102"/>
    <mergeCell ref="A103:A107"/>
    <mergeCell ref="R103:R107"/>
    <mergeCell ref="A73:A77"/>
    <mergeCell ref="R73:R77"/>
    <mergeCell ref="A78:A82"/>
    <mergeCell ref="R78:R82"/>
    <mergeCell ref="R3:R4"/>
    <mergeCell ref="S3:S4"/>
    <mergeCell ref="U1:AD1"/>
    <mergeCell ref="A3:A4"/>
    <mergeCell ref="B3:B4"/>
    <mergeCell ref="C3:C4"/>
    <mergeCell ref="D3:F3"/>
    <mergeCell ref="G3:K3"/>
    <mergeCell ref="A1:Q1"/>
    <mergeCell ref="T3:T4"/>
    <mergeCell ref="U3:Y3"/>
    <mergeCell ref="AB3:AC3"/>
    <mergeCell ref="AD3:AD4"/>
    <mergeCell ref="A5:A9"/>
    <mergeCell ref="R5:R9"/>
    <mergeCell ref="L3:L4"/>
    <mergeCell ref="M3:N3"/>
    <mergeCell ref="P3:P4"/>
    <mergeCell ref="Q3:Q4"/>
    <mergeCell ref="A10:A14"/>
    <mergeCell ref="R10:R14"/>
    <mergeCell ref="A15:A19"/>
    <mergeCell ref="R15:R19"/>
    <mergeCell ref="A20:A21"/>
    <mergeCell ref="R20:R21"/>
    <mergeCell ref="A29:A33"/>
    <mergeCell ref="R29:R33"/>
    <mergeCell ref="A34:A38"/>
    <mergeCell ref="R34:R38"/>
    <mergeCell ref="A39:A40"/>
    <mergeCell ref="R39:R40"/>
    <mergeCell ref="A53:A57"/>
    <mergeCell ref="R53:R57"/>
    <mergeCell ref="A58:A62"/>
    <mergeCell ref="R58:R62"/>
    <mergeCell ref="A63:A67"/>
    <mergeCell ref="R63:R67"/>
    <mergeCell ref="A83:A87"/>
    <mergeCell ref="R83:R87"/>
    <mergeCell ref="A88:A92"/>
    <mergeCell ref="R88:R92"/>
    <mergeCell ref="A93:A97"/>
    <mergeCell ref="R93:R97"/>
    <mergeCell ref="A108:A112"/>
    <mergeCell ref="R108:R112"/>
    <mergeCell ref="A113:A117"/>
    <mergeCell ref="R113:R117"/>
    <mergeCell ref="A118:A122"/>
    <mergeCell ref="B118:B122"/>
    <mergeCell ref="R118:R122"/>
    <mergeCell ref="A123:A127"/>
    <mergeCell ref="B123:B127"/>
    <mergeCell ref="R123:R127"/>
    <mergeCell ref="S123:S127"/>
    <mergeCell ref="A128:A132"/>
    <mergeCell ref="B128:B132"/>
    <mergeCell ref="R128:R132"/>
    <mergeCell ref="S128:S132"/>
  </mergeCells>
  <printOptions horizontalCentered="1"/>
  <pageMargins left="0.3937007874015748" right="0.3937007874015748" top="0.561875" bottom="0.5511811023622047" header="0.35433070866141736" footer="0.5118110236220472"/>
  <pageSetup horizontalDpi="600" verticalDpi="600" orientation="landscape" paperSize="9" scale="58" r:id="rId1"/>
  <headerFooter alignWithMargins="0">
    <oddHeader xml:space="preserve">&amp;L 6. melléklet </oddHeader>
  </headerFooter>
  <rowBreaks count="1" manualBreakCount="1">
    <brk id="72" max="255" man="1"/>
  </rowBreaks>
  <colBreaks count="1" manualBreakCount="1">
    <brk id="17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O50"/>
  <sheetViews>
    <sheetView view="pageLayout" zoomScaleSheetLayoutView="91" workbookViewId="0" topLeftCell="A1">
      <selection activeCell="A50" sqref="A50"/>
    </sheetView>
  </sheetViews>
  <sheetFormatPr defaultColWidth="9.00390625" defaultRowHeight="12.75"/>
  <cols>
    <col min="1" max="1" width="16.625" style="80" customWidth="1"/>
    <col min="2" max="2" width="13.625" style="80" customWidth="1"/>
    <col min="3" max="3" width="9.00390625" style="80" customWidth="1"/>
    <col min="4" max="4" width="10.25390625" style="80" customWidth="1"/>
    <col min="5" max="5" width="7.625" style="80" customWidth="1"/>
    <col min="6" max="6" width="11.25390625" style="80" customWidth="1"/>
    <col min="7" max="7" width="9.75390625" style="80" customWidth="1"/>
    <col min="8" max="8" width="14.625" style="80" customWidth="1"/>
    <col min="9" max="9" width="9.375" style="80" customWidth="1"/>
    <col min="10" max="10" width="10.625" style="80" customWidth="1"/>
    <col min="11" max="11" width="12.75390625" style="80" customWidth="1"/>
    <col min="12" max="12" width="11.00390625" style="80" customWidth="1"/>
    <col min="13" max="13" width="8.375" style="80" customWidth="1"/>
    <col min="14" max="14" width="13.75390625" style="80" customWidth="1"/>
    <col min="15" max="15" width="12.125" style="80" customWidth="1"/>
    <col min="16" max="17" width="9.125" style="80" hidden="1" customWidth="1"/>
    <col min="18" max="16384" width="9.125" style="80" customWidth="1"/>
  </cols>
  <sheetData>
    <row r="1" spans="1:15" ht="12.75">
      <c r="A1" s="1162" t="s">
        <v>712</v>
      </c>
      <c r="B1" s="1162"/>
      <c r="C1" s="1162"/>
      <c r="D1" s="1162"/>
      <c r="E1" s="1162"/>
      <c r="F1" s="1162"/>
      <c r="G1" s="1162"/>
      <c r="H1" s="1162"/>
      <c r="I1" s="1162"/>
      <c r="J1" s="1162"/>
      <c r="K1" s="1162"/>
      <c r="L1" s="1162"/>
      <c r="M1" s="1162"/>
      <c r="N1" s="1162"/>
      <c r="O1" s="1162"/>
    </row>
    <row r="2" spans="1:15" ht="13.5" thickBo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</row>
    <row r="3" spans="1:15" ht="19.5" customHeight="1">
      <c r="A3" s="1163" t="s">
        <v>713</v>
      </c>
      <c r="B3" s="1164"/>
      <c r="C3" s="1164" t="s">
        <v>714</v>
      </c>
      <c r="D3" s="1164" t="s">
        <v>715</v>
      </c>
      <c r="E3" s="1164"/>
      <c r="F3" s="1164" t="s">
        <v>716</v>
      </c>
      <c r="G3" s="1164" t="s">
        <v>717</v>
      </c>
      <c r="H3" s="1164"/>
      <c r="I3" s="1164" t="s">
        <v>718</v>
      </c>
      <c r="J3" s="1164"/>
      <c r="K3" s="1164" t="s">
        <v>719</v>
      </c>
      <c r="L3" s="1164" t="s">
        <v>505</v>
      </c>
      <c r="M3" s="1164"/>
      <c r="N3" s="1164" t="s">
        <v>720</v>
      </c>
      <c r="O3" s="1160" t="s">
        <v>705</v>
      </c>
    </row>
    <row r="4" spans="1:15" ht="21">
      <c r="A4" s="1165"/>
      <c r="B4" s="1166"/>
      <c r="C4" s="1166"/>
      <c r="D4" s="89" t="s">
        <v>721</v>
      </c>
      <c r="E4" s="89" t="s">
        <v>707</v>
      </c>
      <c r="F4" s="1166"/>
      <c r="G4" s="89" t="s">
        <v>722</v>
      </c>
      <c r="H4" s="89" t="s">
        <v>723</v>
      </c>
      <c r="I4" s="89" t="s">
        <v>722</v>
      </c>
      <c r="J4" s="89" t="s">
        <v>723</v>
      </c>
      <c r="K4" s="1166"/>
      <c r="L4" s="89" t="s">
        <v>732</v>
      </c>
      <c r="M4" s="89" t="s">
        <v>708</v>
      </c>
      <c r="N4" s="1166"/>
      <c r="O4" s="1161"/>
    </row>
    <row r="5" spans="1:15" ht="12.75">
      <c r="A5" s="766" t="s">
        <v>724</v>
      </c>
      <c r="B5" s="81" t="s">
        <v>162</v>
      </c>
      <c r="C5" s="82">
        <v>33197</v>
      </c>
      <c r="D5" s="82"/>
      <c r="E5" s="82">
        <v>8584</v>
      </c>
      <c r="F5" s="82"/>
      <c r="G5" s="82"/>
      <c r="H5" s="82"/>
      <c r="I5" s="82"/>
      <c r="J5" s="82"/>
      <c r="K5" s="82"/>
      <c r="L5" s="82"/>
      <c r="M5" s="82"/>
      <c r="N5" s="82">
        <v>144887</v>
      </c>
      <c r="O5" s="378">
        <f>SUM(C5+F5+G5+H5+I5+J5+K5+L5+M5+N5)</f>
        <v>178084</v>
      </c>
    </row>
    <row r="6" spans="1:15" ht="12.75" customHeight="1">
      <c r="A6" s="766"/>
      <c r="B6" s="81" t="s">
        <v>888</v>
      </c>
      <c r="C6" s="82">
        <v>33197</v>
      </c>
      <c r="D6" s="82">
        <v>48</v>
      </c>
      <c r="E6" s="82">
        <v>8584</v>
      </c>
      <c r="F6" s="82"/>
      <c r="G6" s="82"/>
      <c r="H6" s="82"/>
      <c r="I6" s="82">
        <v>3122</v>
      </c>
      <c r="J6" s="82"/>
      <c r="K6" s="82"/>
      <c r="L6" s="82">
        <v>50174</v>
      </c>
      <c r="M6" s="82"/>
      <c r="N6" s="82">
        <v>148793</v>
      </c>
      <c r="O6" s="378">
        <f>SUM(C6+F6+G6+H6+I6+J6+K6+L6+M6+N6)</f>
        <v>235286</v>
      </c>
    </row>
    <row r="7" spans="1:15" ht="12.75" customHeight="1">
      <c r="A7" s="766"/>
      <c r="B7" s="81" t="s">
        <v>947</v>
      </c>
      <c r="C7" s="82">
        <v>27879</v>
      </c>
      <c r="D7" s="82">
        <v>270</v>
      </c>
      <c r="E7" s="82">
        <v>6111</v>
      </c>
      <c r="F7" s="82"/>
      <c r="G7" s="82"/>
      <c r="H7" s="82"/>
      <c r="I7" s="82">
        <v>10439</v>
      </c>
      <c r="J7" s="82"/>
      <c r="K7" s="82"/>
      <c r="L7" s="82">
        <v>50174</v>
      </c>
      <c r="M7" s="82"/>
      <c r="N7" s="82">
        <v>128196</v>
      </c>
      <c r="O7" s="378">
        <f aca="true" t="shared" si="0" ref="O7:O22">SUM(C7+F7+G7+H7+I7+J7+K7+L7+M7+N7)</f>
        <v>216688</v>
      </c>
    </row>
    <row r="8" spans="1:15" ht="12.75">
      <c r="A8" s="766" t="s">
        <v>725</v>
      </c>
      <c r="B8" s="81" t="s">
        <v>162</v>
      </c>
      <c r="C8" s="82"/>
      <c r="D8" s="82"/>
      <c r="E8" s="82"/>
      <c r="F8" s="82"/>
      <c r="G8" s="82"/>
      <c r="H8" s="82"/>
      <c r="I8" s="82"/>
      <c r="J8" s="82"/>
      <c r="K8" s="82"/>
      <c r="L8" s="82"/>
      <c r="M8" s="82"/>
      <c r="N8" s="82"/>
      <c r="O8" s="378">
        <f t="shared" si="0"/>
        <v>0</v>
      </c>
    </row>
    <row r="9" spans="1:15" ht="12.75">
      <c r="A9" s="766"/>
      <c r="B9" s="81" t="s">
        <v>888</v>
      </c>
      <c r="C9" s="82"/>
      <c r="D9" s="82"/>
      <c r="E9" s="82"/>
      <c r="F9" s="82"/>
      <c r="G9" s="82"/>
      <c r="H9" s="82"/>
      <c r="I9" s="82"/>
      <c r="J9" s="82"/>
      <c r="K9" s="82"/>
      <c r="L9" s="82"/>
      <c r="M9" s="82"/>
      <c r="N9" s="82"/>
      <c r="O9" s="378">
        <f t="shared" si="0"/>
        <v>0</v>
      </c>
    </row>
    <row r="10" spans="1:15" ht="12.75">
      <c r="A10" s="766"/>
      <c r="B10" s="81" t="s">
        <v>947</v>
      </c>
      <c r="C10" s="82"/>
      <c r="D10" s="82"/>
      <c r="E10" s="82"/>
      <c r="F10" s="82"/>
      <c r="G10" s="82"/>
      <c r="H10" s="82"/>
      <c r="I10" s="82"/>
      <c r="J10" s="82"/>
      <c r="K10" s="82"/>
      <c r="L10" s="82"/>
      <c r="M10" s="82"/>
      <c r="N10" s="82">
        <v>10219</v>
      </c>
      <c r="O10" s="378">
        <f t="shared" si="0"/>
        <v>10219</v>
      </c>
    </row>
    <row r="11" spans="1:15" ht="12.75">
      <c r="A11" s="766" t="s">
        <v>726</v>
      </c>
      <c r="B11" s="81" t="s">
        <v>162</v>
      </c>
      <c r="C11" s="82">
        <v>200</v>
      </c>
      <c r="D11" s="82"/>
      <c r="E11" s="82">
        <v>54</v>
      </c>
      <c r="F11" s="82"/>
      <c r="G11" s="82"/>
      <c r="H11" s="82"/>
      <c r="I11" s="82"/>
      <c r="J11" s="82"/>
      <c r="K11" s="82"/>
      <c r="L11" s="82"/>
      <c r="M11" s="82"/>
      <c r="N11" s="82"/>
      <c r="O11" s="378">
        <f t="shared" si="0"/>
        <v>200</v>
      </c>
    </row>
    <row r="12" spans="1:15" ht="12.75">
      <c r="A12" s="766"/>
      <c r="B12" s="81" t="s">
        <v>888</v>
      </c>
      <c r="C12" s="82">
        <v>200</v>
      </c>
      <c r="D12" s="82"/>
      <c r="E12" s="82">
        <v>54</v>
      </c>
      <c r="F12" s="82"/>
      <c r="G12" s="82"/>
      <c r="H12" s="82"/>
      <c r="I12" s="82"/>
      <c r="J12" s="82"/>
      <c r="K12" s="82"/>
      <c r="L12" s="82"/>
      <c r="M12" s="82"/>
      <c r="N12" s="82"/>
      <c r="O12" s="378">
        <f t="shared" si="0"/>
        <v>200</v>
      </c>
    </row>
    <row r="13" spans="1:15" ht="12.75">
      <c r="A13" s="766"/>
      <c r="B13" s="81" t="s">
        <v>947</v>
      </c>
      <c r="C13" s="82"/>
      <c r="D13" s="82"/>
      <c r="E13" s="82"/>
      <c r="F13" s="82"/>
      <c r="G13" s="82"/>
      <c r="H13" s="82"/>
      <c r="I13" s="82"/>
      <c r="J13" s="82"/>
      <c r="K13" s="82"/>
      <c r="L13" s="82"/>
      <c r="M13" s="82"/>
      <c r="N13" s="82">
        <v>102</v>
      </c>
      <c r="O13" s="378">
        <f t="shared" si="0"/>
        <v>102</v>
      </c>
    </row>
    <row r="14" spans="1:15" ht="12.75">
      <c r="A14" s="766" t="s">
        <v>727</v>
      </c>
      <c r="B14" s="81" t="s">
        <v>162</v>
      </c>
      <c r="C14" s="82">
        <v>9460</v>
      </c>
      <c r="D14" s="82"/>
      <c r="E14" s="82">
        <v>473</v>
      </c>
      <c r="F14" s="82"/>
      <c r="G14" s="82"/>
      <c r="H14" s="82"/>
      <c r="I14" s="82"/>
      <c r="J14" s="82"/>
      <c r="K14" s="82"/>
      <c r="L14" s="82"/>
      <c r="M14" s="82"/>
      <c r="N14" s="82"/>
      <c r="O14" s="378">
        <f t="shared" si="0"/>
        <v>9460</v>
      </c>
    </row>
    <row r="15" spans="1:15" ht="12.75">
      <c r="A15" s="766"/>
      <c r="B15" s="81" t="s">
        <v>888</v>
      </c>
      <c r="C15" s="82">
        <v>9460</v>
      </c>
      <c r="D15" s="82"/>
      <c r="E15" s="82">
        <v>473</v>
      </c>
      <c r="F15" s="82"/>
      <c r="G15" s="82"/>
      <c r="H15" s="82"/>
      <c r="I15" s="82"/>
      <c r="J15" s="82"/>
      <c r="K15" s="82"/>
      <c r="L15" s="82"/>
      <c r="M15" s="82"/>
      <c r="N15" s="82"/>
      <c r="O15" s="378">
        <f t="shared" si="0"/>
        <v>9460</v>
      </c>
    </row>
    <row r="16" spans="1:15" ht="12.75">
      <c r="A16" s="766"/>
      <c r="B16" s="81" t="s">
        <v>947</v>
      </c>
      <c r="C16" s="82">
        <v>15500</v>
      </c>
      <c r="D16" s="82"/>
      <c r="E16" s="82">
        <v>3000</v>
      </c>
      <c r="F16" s="82"/>
      <c r="G16" s="82"/>
      <c r="H16" s="82"/>
      <c r="I16" s="82"/>
      <c r="J16" s="82"/>
      <c r="K16" s="82"/>
      <c r="L16" s="82"/>
      <c r="M16" s="82"/>
      <c r="N16" s="82">
        <v>10684</v>
      </c>
      <c r="O16" s="378">
        <f t="shared" si="0"/>
        <v>26184</v>
      </c>
    </row>
    <row r="17" spans="1:15" ht="12.75">
      <c r="A17" s="767" t="s">
        <v>500</v>
      </c>
      <c r="B17" s="83" t="s">
        <v>162</v>
      </c>
      <c r="C17" s="84">
        <f aca="true" t="shared" si="1" ref="C17:N17">SUM(C5+C8+C11+C14)</f>
        <v>42857</v>
      </c>
      <c r="D17" s="84">
        <f t="shared" si="1"/>
        <v>0</v>
      </c>
      <c r="E17" s="84">
        <f t="shared" si="1"/>
        <v>9111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84">
        <f t="shared" si="1"/>
        <v>0</v>
      </c>
      <c r="J17" s="84">
        <f t="shared" si="1"/>
        <v>0</v>
      </c>
      <c r="K17" s="84">
        <f t="shared" si="1"/>
        <v>0</v>
      </c>
      <c r="L17" s="84">
        <f t="shared" si="1"/>
        <v>0</v>
      </c>
      <c r="M17" s="84">
        <f t="shared" si="1"/>
        <v>0</v>
      </c>
      <c r="N17" s="84">
        <f t="shared" si="1"/>
        <v>144887</v>
      </c>
      <c r="O17" s="378">
        <f t="shared" si="0"/>
        <v>187744</v>
      </c>
    </row>
    <row r="18" spans="1:15" ht="12.75" customHeight="1">
      <c r="A18" s="767"/>
      <c r="B18" s="623" t="s">
        <v>888</v>
      </c>
      <c r="C18" s="84">
        <f aca="true" t="shared" si="2" ref="C18:N19">SUM(C6+C9+C12+C15)</f>
        <v>42857</v>
      </c>
      <c r="D18" s="84">
        <f t="shared" si="2"/>
        <v>48</v>
      </c>
      <c r="E18" s="84">
        <f t="shared" si="2"/>
        <v>9111</v>
      </c>
      <c r="F18" s="84">
        <f t="shared" si="2"/>
        <v>0</v>
      </c>
      <c r="G18" s="84">
        <f t="shared" si="2"/>
        <v>0</v>
      </c>
      <c r="H18" s="84">
        <f t="shared" si="2"/>
        <v>0</v>
      </c>
      <c r="I18" s="84">
        <f t="shared" si="2"/>
        <v>3122</v>
      </c>
      <c r="J18" s="84">
        <f t="shared" si="2"/>
        <v>0</v>
      </c>
      <c r="K18" s="84">
        <f t="shared" si="2"/>
        <v>0</v>
      </c>
      <c r="L18" s="84">
        <f t="shared" si="2"/>
        <v>50174</v>
      </c>
      <c r="M18" s="84">
        <f t="shared" si="2"/>
        <v>0</v>
      </c>
      <c r="N18" s="84">
        <f t="shared" si="2"/>
        <v>148793</v>
      </c>
      <c r="O18" s="378">
        <f t="shared" si="0"/>
        <v>244946</v>
      </c>
    </row>
    <row r="19" spans="1:15" ht="12.75" customHeight="1">
      <c r="A19" s="767"/>
      <c r="B19" s="623" t="s">
        <v>947</v>
      </c>
      <c r="C19" s="84">
        <f t="shared" si="2"/>
        <v>43379</v>
      </c>
      <c r="D19" s="84">
        <f t="shared" si="2"/>
        <v>270</v>
      </c>
      <c r="E19" s="84">
        <f t="shared" si="2"/>
        <v>9111</v>
      </c>
      <c r="F19" s="84">
        <f t="shared" si="2"/>
        <v>0</v>
      </c>
      <c r="G19" s="84">
        <f t="shared" si="2"/>
        <v>0</v>
      </c>
      <c r="H19" s="84">
        <f t="shared" si="2"/>
        <v>0</v>
      </c>
      <c r="I19" s="84">
        <f t="shared" si="2"/>
        <v>10439</v>
      </c>
      <c r="J19" s="84">
        <f t="shared" si="2"/>
        <v>0</v>
      </c>
      <c r="K19" s="84">
        <f t="shared" si="2"/>
        <v>0</v>
      </c>
      <c r="L19" s="84">
        <f t="shared" si="2"/>
        <v>50174</v>
      </c>
      <c r="M19" s="84">
        <f t="shared" si="2"/>
        <v>0</v>
      </c>
      <c r="N19" s="84">
        <f t="shared" si="2"/>
        <v>149201</v>
      </c>
      <c r="O19" s="378">
        <f t="shared" si="0"/>
        <v>253193</v>
      </c>
    </row>
    <row r="20" spans="1:15" ht="12.75" customHeight="1">
      <c r="A20" s="767" t="s">
        <v>711</v>
      </c>
      <c r="B20" s="83" t="s">
        <v>162</v>
      </c>
      <c r="C20" s="84">
        <f>SUM(C17)</f>
        <v>42857</v>
      </c>
      <c r="D20" s="84">
        <f aca="true" t="shared" si="3" ref="D20:N20">SUM(D5+D8+D11+D14)</f>
        <v>0</v>
      </c>
      <c r="E20" s="84">
        <f t="shared" si="3"/>
        <v>9111</v>
      </c>
      <c r="F20" s="84">
        <f t="shared" si="3"/>
        <v>0</v>
      </c>
      <c r="G20" s="84">
        <f t="shared" si="3"/>
        <v>0</v>
      </c>
      <c r="H20" s="84">
        <f t="shared" si="3"/>
        <v>0</v>
      </c>
      <c r="I20" s="84">
        <f t="shared" si="3"/>
        <v>0</v>
      </c>
      <c r="J20" s="84">
        <f t="shared" si="3"/>
        <v>0</v>
      </c>
      <c r="K20" s="84">
        <f t="shared" si="3"/>
        <v>0</v>
      </c>
      <c r="L20" s="84">
        <f t="shared" si="3"/>
        <v>0</v>
      </c>
      <c r="M20" s="84">
        <f t="shared" si="3"/>
        <v>0</v>
      </c>
      <c r="N20" s="84">
        <f t="shared" si="3"/>
        <v>144887</v>
      </c>
      <c r="O20" s="378">
        <f t="shared" si="0"/>
        <v>187744</v>
      </c>
    </row>
    <row r="21" spans="1:15" ht="12.75" customHeight="1">
      <c r="A21" s="768"/>
      <c r="B21" s="623" t="s">
        <v>888</v>
      </c>
      <c r="C21" s="84">
        <f>SUM(C18)</f>
        <v>42857</v>
      </c>
      <c r="D21" s="84">
        <f aca="true" t="shared" si="4" ref="D21:N21">SUM(D18)</f>
        <v>48</v>
      </c>
      <c r="E21" s="84">
        <f t="shared" si="4"/>
        <v>9111</v>
      </c>
      <c r="F21" s="84">
        <f t="shared" si="4"/>
        <v>0</v>
      </c>
      <c r="G21" s="84">
        <f t="shared" si="4"/>
        <v>0</v>
      </c>
      <c r="H21" s="84">
        <f t="shared" si="4"/>
        <v>0</v>
      </c>
      <c r="I21" s="84">
        <f t="shared" si="4"/>
        <v>3122</v>
      </c>
      <c r="J21" s="84">
        <f t="shared" si="4"/>
        <v>0</v>
      </c>
      <c r="K21" s="84">
        <f t="shared" si="4"/>
        <v>0</v>
      </c>
      <c r="L21" s="84">
        <f t="shared" si="4"/>
        <v>50174</v>
      </c>
      <c r="M21" s="84">
        <f t="shared" si="4"/>
        <v>0</v>
      </c>
      <c r="N21" s="84">
        <f t="shared" si="4"/>
        <v>148793</v>
      </c>
      <c r="O21" s="378">
        <f t="shared" si="0"/>
        <v>244946</v>
      </c>
    </row>
    <row r="22" spans="1:15" ht="12.75" customHeight="1" thickBot="1">
      <c r="A22" s="235"/>
      <c r="B22" s="624" t="s">
        <v>947</v>
      </c>
      <c r="C22" s="85">
        <f>SUM(C19)</f>
        <v>43379</v>
      </c>
      <c r="D22" s="85">
        <f aca="true" t="shared" si="5" ref="D22:N22">SUM(D19)</f>
        <v>270</v>
      </c>
      <c r="E22" s="85">
        <f t="shared" si="5"/>
        <v>9111</v>
      </c>
      <c r="F22" s="85">
        <f t="shared" si="5"/>
        <v>0</v>
      </c>
      <c r="G22" s="85">
        <f t="shared" si="5"/>
        <v>0</v>
      </c>
      <c r="H22" s="85">
        <f t="shared" si="5"/>
        <v>0</v>
      </c>
      <c r="I22" s="85">
        <f t="shared" si="5"/>
        <v>10439</v>
      </c>
      <c r="J22" s="85">
        <f t="shared" si="5"/>
        <v>0</v>
      </c>
      <c r="K22" s="85">
        <f t="shared" si="5"/>
        <v>0</v>
      </c>
      <c r="L22" s="85">
        <f t="shared" si="5"/>
        <v>50174</v>
      </c>
      <c r="M22" s="85">
        <f t="shared" si="5"/>
        <v>0</v>
      </c>
      <c r="N22" s="85">
        <f t="shared" si="5"/>
        <v>149201</v>
      </c>
      <c r="O22" s="379">
        <f t="shared" si="0"/>
        <v>253193</v>
      </c>
    </row>
    <row r="23" spans="1:15" ht="12.75">
      <c r="A23" s="86"/>
      <c r="B23" s="86"/>
      <c r="C23" s="86"/>
      <c r="D23" s="86"/>
      <c r="E23" s="86"/>
      <c r="F23" s="86"/>
      <c r="G23" s="86"/>
      <c r="H23" s="86"/>
      <c r="I23" s="86"/>
      <c r="J23" s="86"/>
      <c r="K23" s="86"/>
      <c r="L23" s="86"/>
      <c r="M23" s="86"/>
      <c r="N23" s="86"/>
      <c r="O23" s="86"/>
    </row>
    <row r="24" spans="1:11" ht="18.75" customHeight="1">
      <c r="A24" s="1162" t="s">
        <v>728</v>
      </c>
      <c r="B24" s="1162"/>
      <c r="C24" s="1162"/>
      <c r="D24" s="1162"/>
      <c r="E24" s="1162"/>
      <c r="F24" s="1162"/>
      <c r="G24" s="1162"/>
      <c r="H24" s="1162"/>
      <c r="I24" s="1162"/>
      <c r="J24" s="1162"/>
      <c r="K24" s="1162"/>
    </row>
    <row r="25" spans="1:11" ht="18.75" customHeight="1" thickBot="1">
      <c r="A25" s="79"/>
      <c r="B25" s="87"/>
      <c r="C25" s="87"/>
      <c r="D25" s="87"/>
      <c r="E25" s="87"/>
      <c r="F25" s="87"/>
      <c r="G25" s="87"/>
      <c r="H25" s="87"/>
      <c r="I25" s="87"/>
      <c r="J25" s="87"/>
      <c r="K25" s="87"/>
    </row>
    <row r="26" spans="1:11" ht="18.75" customHeight="1">
      <c r="A26" s="1163" t="s">
        <v>713</v>
      </c>
      <c r="B26" s="1164"/>
      <c r="C26" s="1167" t="s">
        <v>579</v>
      </c>
      <c r="D26" s="1167"/>
      <c r="E26" s="1167"/>
      <c r="F26" s="1167"/>
      <c r="G26" s="1167"/>
      <c r="H26" s="90"/>
      <c r="I26" s="1167" t="s">
        <v>580</v>
      </c>
      <c r="J26" s="1167"/>
      <c r="K26" s="1160" t="s">
        <v>706</v>
      </c>
    </row>
    <row r="27" spans="1:11" ht="45.75" customHeight="1">
      <c r="A27" s="1165"/>
      <c r="B27" s="1166"/>
      <c r="C27" s="89" t="s">
        <v>511</v>
      </c>
      <c r="D27" s="89" t="s">
        <v>709</v>
      </c>
      <c r="E27" s="89" t="s">
        <v>729</v>
      </c>
      <c r="F27" s="89" t="s">
        <v>730</v>
      </c>
      <c r="G27" s="89" t="s">
        <v>731</v>
      </c>
      <c r="H27" s="89" t="s">
        <v>230</v>
      </c>
      <c r="I27" s="89" t="s">
        <v>523</v>
      </c>
      <c r="J27" s="89" t="s">
        <v>524</v>
      </c>
      <c r="K27" s="1161"/>
    </row>
    <row r="28" spans="1:12" ht="12.75" customHeight="1">
      <c r="A28" s="770" t="s">
        <v>724</v>
      </c>
      <c r="B28" s="81" t="s">
        <v>162</v>
      </c>
      <c r="C28" s="82">
        <v>54808</v>
      </c>
      <c r="D28" s="82">
        <v>16302</v>
      </c>
      <c r="E28" s="82">
        <v>78129</v>
      </c>
      <c r="F28" s="82"/>
      <c r="G28" s="82"/>
      <c r="H28" s="82"/>
      <c r="I28" s="82">
        <v>1800</v>
      </c>
      <c r="J28" s="82"/>
      <c r="K28" s="378">
        <f>SUM(C28:J28)</f>
        <v>151039</v>
      </c>
      <c r="L28" s="88"/>
    </row>
    <row r="29" spans="1:12" ht="12.75" customHeight="1">
      <c r="A29" s="770"/>
      <c r="B29" s="81" t="s">
        <v>888</v>
      </c>
      <c r="C29" s="82">
        <v>57261</v>
      </c>
      <c r="D29" s="82">
        <v>16817</v>
      </c>
      <c r="E29" s="82">
        <v>108558</v>
      </c>
      <c r="F29" s="82"/>
      <c r="G29" s="82"/>
      <c r="H29" s="82"/>
      <c r="I29" s="82">
        <v>12182</v>
      </c>
      <c r="J29" s="82">
        <v>13423</v>
      </c>
      <c r="K29" s="378">
        <f>SUM(C29:J29)</f>
        <v>208241</v>
      </c>
      <c r="L29" s="88"/>
    </row>
    <row r="30" spans="1:12" ht="12.75" customHeight="1">
      <c r="A30" s="770"/>
      <c r="B30" s="81" t="s">
        <v>947</v>
      </c>
      <c r="C30" s="82">
        <v>60896</v>
      </c>
      <c r="D30" s="82">
        <v>17426</v>
      </c>
      <c r="E30" s="82">
        <v>112761</v>
      </c>
      <c r="F30" s="82"/>
      <c r="G30" s="82"/>
      <c r="H30" s="82"/>
      <c r="I30" s="82">
        <v>15182</v>
      </c>
      <c r="J30" s="82">
        <v>10423</v>
      </c>
      <c r="K30" s="378">
        <f aca="true" t="shared" si="6" ref="K30:K45">SUM(C30:J30)</f>
        <v>216688</v>
      </c>
      <c r="L30" s="88"/>
    </row>
    <row r="31" spans="1:12" ht="12.75" customHeight="1">
      <c r="A31" s="770" t="s">
        <v>725</v>
      </c>
      <c r="B31" s="81" t="s">
        <v>162</v>
      </c>
      <c r="C31" s="82">
        <v>7627</v>
      </c>
      <c r="D31" s="82">
        <v>2059</v>
      </c>
      <c r="E31" s="82">
        <v>533</v>
      </c>
      <c r="F31" s="82"/>
      <c r="G31" s="82"/>
      <c r="H31" s="82"/>
      <c r="I31" s="82"/>
      <c r="J31" s="82"/>
      <c r="K31" s="378">
        <f t="shared" si="6"/>
        <v>10219</v>
      </c>
      <c r="L31" s="88"/>
    </row>
    <row r="32" spans="1:12" ht="12.75" customHeight="1">
      <c r="A32" s="770"/>
      <c r="B32" s="81" t="s">
        <v>888</v>
      </c>
      <c r="C32" s="82">
        <v>7627</v>
      </c>
      <c r="D32" s="82">
        <v>2059</v>
      </c>
      <c r="E32" s="82">
        <v>533</v>
      </c>
      <c r="F32" s="82"/>
      <c r="G32" s="82"/>
      <c r="H32" s="82"/>
      <c r="I32" s="82"/>
      <c r="J32" s="82"/>
      <c r="K32" s="378">
        <f t="shared" si="6"/>
        <v>10219</v>
      </c>
      <c r="L32" s="88"/>
    </row>
    <row r="33" spans="1:12" ht="12.75" customHeight="1">
      <c r="A33" s="770"/>
      <c r="B33" s="81" t="s">
        <v>947</v>
      </c>
      <c r="C33" s="82">
        <v>7627</v>
      </c>
      <c r="D33" s="82">
        <v>2059</v>
      </c>
      <c r="E33" s="82">
        <v>533</v>
      </c>
      <c r="F33" s="82"/>
      <c r="G33" s="82"/>
      <c r="H33" s="82"/>
      <c r="I33" s="82"/>
      <c r="J33" s="82"/>
      <c r="K33" s="378">
        <f t="shared" si="6"/>
        <v>10219</v>
      </c>
      <c r="L33" s="88"/>
    </row>
    <row r="34" spans="1:12" ht="12.75" customHeight="1">
      <c r="A34" s="770" t="s">
        <v>726</v>
      </c>
      <c r="B34" s="81" t="s">
        <v>162</v>
      </c>
      <c r="C34" s="82">
        <v>80</v>
      </c>
      <c r="D34" s="82">
        <v>22</v>
      </c>
      <c r="E34" s="82">
        <v>200</v>
      </c>
      <c r="F34" s="82"/>
      <c r="G34" s="82"/>
      <c r="H34" s="82"/>
      <c r="I34" s="82"/>
      <c r="J34" s="82"/>
      <c r="K34" s="378">
        <f t="shared" si="6"/>
        <v>302</v>
      </c>
      <c r="L34" s="88"/>
    </row>
    <row r="35" spans="1:12" ht="12.75" customHeight="1">
      <c r="A35" s="770"/>
      <c r="B35" s="81" t="s">
        <v>888</v>
      </c>
      <c r="C35" s="82">
        <v>80</v>
      </c>
      <c r="D35" s="82">
        <v>22</v>
      </c>
      <c r="E35" s="82">
        <v>200</v>
      </c>
      <c r="F35" s="82"/>
      <c r="G35" s="82"/>
      <c r="H35" s="82"/>
      <c r="I35" s="82"/>
      <c r="J35" s="82"/>
      <c r="K35" s="378">
        <f t="shared" si="6"/>
        <v>302</v>
      </c>
      <c r="L35" s="88"/>
    </row>
    <row r="36" spans="1:12" ht="12.75" customHeight="1">
      <c r="A36" s="770"/>
      <c r="B36" s="81" t="s">
        <v>947</v>
      </c>
      <c r="C36" s="82">
        <v>80</v>
      </c>
      <c r="D36" s="82">
        <v>22</v>
      </c>
      <c r="E36" s="82"/>
      <c r="F36" s="82"/>
      <c r="G36" s="82"/>
      <c r="H36" s="82"/>
      <c r="I36" s="82"/>
      <c r="J36" s="82"/>
      <c r="K36" s="378">
        <f t="shared" si="6"/>
        <v>102</v>
      </c>
      <c r="L36" s="88"/>
    </row>
    <row r="37" spans="1:12" ht="12.75" customHeight="1">
      <c r="A37" s="770" t="s">
        <v>727</v>
      </c>
      <c r="B37" s="81" t="s">
        <v>162</v>
      </c>
      <c r="C37" s="82">
        <v>20121</v>
      </c>
      <c r="D37" s="82">
        <v>5433</v>
      </c>
      <c r="E37" s="82">
        <v>630</v>
      </c>
      <c r="F37" s="82"/>
      <c r="G37" s="82"/>
      <c r="H37" s="82"/>
      <c r="I37" s="82"/>
      <c r="J37" s="82"/>
      <c r="K37" s="378">
        <f t="shared" si="6"/>
        <v>26184</v>
      </c>
      <c r="L37" s="88"/>
    </row>
    <row r="38" spans="1:12" ht="12.75" customHeight="1">
      <c r="A38" s="770"/>
      <c r="B38" s="81" t="s">
        <v>888</v>
      </c>
      <c r="C38" s="82">
        <v>20121</v>
      </c>
      <c r="D38" s="82">
        <v>5433</v>
      </c>
      <c r="E38" s="82">
        <v>630</v>
      </c>
      <c r="F38" s="82"/>
      <c r="G38" s="82"/>
      <c r="H38" s="82"/>
      <c r="I38" s="82"/>
      <c r="J38" s="82"/>
      <c r="K38" s="378">
        <f t="shared" si="6"/>
        <v>26184</v>
      </c>
      <c r="L38" s="88"/>
    </row>
    <row r="39" spans="1:12" ht="12.75" customHeight="1">
      <c r="A39" s="770"/>
      <c r="B39" s="81" t="s">
        <v>947</v>
      </c>
      <c r="C39" s="82">
        <v>20121</v>
      </c>
      <c r="D39" s="82">
        <v>5433</v>
      </c>
      <c r="E39" s="82">
        <v>630</v>
      </c>
      <c r="F39" s="82"/>
      <c r="G39" s="82"/>
      <c r="H39" s="82"/>
      <c r="I39" s="82"/>
      <c r="J39" s="82"/>
      <c r="K39" s="378">
        <f t="shared" si="6"/>
        <v>26184</v>
      </c>
      <c r="L39" s="88"/>
    </row>
    <row r="40" spans="1:12" ht="12.75" customHeight="1">
      <c r="A40" s="771" t="s">
        <v>500</v>
      </c>
      <c r="B40" s="83" t="s">
        <v>162</v>
      </c>
      <c r="C40" s="84">
        <f aca="true" t="shared" si="7" ref="C40:J40">SUM(C28+C31+C34+C37)</f>
        <v>82636</v>
      </c>
      <c r="D40" s="84">
        <f t="shared" si="7"/>
        <v>23816</v>
      </c>
      <c r="E40" s="84">
        <f t="shared" si="7"/>
        <v>79492</v>
      </c>
      <c r="F40" s="84">
        <f t="shared" si="7"/>
        <v>0</v>
      </c>
      <c r="G40" s="84">
        <f t="shared" si="7"/>
        <v>0</v>
      </c>
      <c r="H40" s="84">
        <f t="shared" si="7"/>
        <v>0</v>
      </c>
      <c r="I40" s="84">
        <f t="shared" si="7"/>
        <v>1800</v>
      </c>
      <c r="J40" s="84">
        <f t="shared" si="7"/>
        <v>0</v>
      </c>
      <c r="K40" s="378">
        <f t="shared" si="6"/>
        <v>187744</v>
      </c>
      <c r="L40" s="88"/>
    </row>
    <row r="41" spans="1:12" ht="12.75" customHeight="1">
      <c r="A41" s="771"/>
      <c r="B41" s="623" t="s">
        <v>888</v>
      </c>
      <c r="C41" s="84">
        <f aca="true" t="shared" si="8" ref="C41:J42">SUM(C29+C32+C35+C38)</f>
        <v>85089</v>
      </c>
      <c r="D41" s="84">
        <f t="shared" si="8"/>
        <v>24331</v>
      </c>
      <c r="E41" s="84">
        <f t="shared" si="8"/>
        <v>109921</v>
      </c>
      <c r="F41" s="84">
        <f t="shared" si="8"/>
        <v>0</v>
      </c>
      <c r="G41" s="84">
        <f t="shared" si="8"/>
        <v>0</v>
      </c>
      <c r="H41" s="84">
        <f t="shared" si="8"/>
        <v>0</v>
      </c>
      <c r="I41" s="84">
        <f t="shared" si="8"/>
        <v>12182</v>
      </c>
      <c r="J41" s="84">
        <f t="shared" si="8"/>
        <v>13423</v>
      </c>
      <c r="K41" s="378">
        <f t="shared" si="6"/>
        <v>244946</v>
      </c>
      <c r="L41" s="88"/>
    </row>
    <row r="42" spans="1:12" ht="12.75" customHeight="1">
      <c r="A42" s="771"/>
      <c r="B42" s="623" t="s">
        <v>947</v>
      </c>
      <c r="C42" s="84">
        <f t="shared" si="8"/>
        <v>88724</v>
      </c>
      <c r="D42" s="84">
        <f t="shared" si="8"/>
        <v>24940</v>
      </c>
      <c r="E42" s="84">
        <f t="shared" si="8"/>
        <v>113924</v>
      </c>
      <c r="F42" s="84">
        <f t="shared" si="8"/>
        <v>0</v>
      </c>
      <c r="G42" s="84">
        <f t="shared" si="8"/>
        <v>0</v>
      </c>
      <c r="H42" s="84">
        <f t="shared" si="8"/>
        <v>0</v>
      </c>
      <c r="I42" s="84">
        <f t="shared" si="8"/>
        <v>15182</v>
      </c>
      <c r="J42" s="84">
        <f t="shared" si="8"/>
        <v>10423</v>
      </c>
      <c r="K42" s="378">
        <f t="shared" si="6"/>
        <v>253193</v>
      </c>
      <c r="L42" s="88"/>
    </row>
    <row r="43" spans="1:12" ht="12.75" customHeight="1">
      <c r="A43" s="771" t="s">
        <v>711</v>
      </c>
      <c r="B43" s="83" t="s">
        <v>162</v>
      </c>
      <c r="C43" s="84">
        <f aca="true" t="shared" si="9" ref="C43:J43">SUM(C40)</f>
        <v>82636</v>
      </c>
      <c r="D43" s="84">
        <f t="shared" si="9"/>
        <v>23816</v>
      </c>
      <c r="E43" s="84">
        <f t="shared" si="9"/>
        <v>79492</v>
      </c>
      <c r="F43" s="84">
        <f t="shared" si="9"/>
        <v>0</v>
      </c>
      <c r="G43" s="84">
        <f t="shared" si="9"/>
        <v>0</v>
      </c>
      <c r="H43" s="84">
        <f t="shared" si="9"/>
        <v>0</v>
      </c>
      <c r="I43" s="84">
        <f t="shared" si="9"/>
        <v>1800</v>
      </c>
      <c r="J43" s="84">
        <f t="shared" si="9"/>
        <v>0</v>
      </c>
      <c r="K43" s="378">
        <f t="shared" si="6"/>
        <v>187744</v>
      </c>
      <c r="L43" s="88"/>
    </row>
    <row r="44" spans="1:11" ht="12.75">
      <c r="A44" s="769"/>
      <c r="B44" s="623" t="s">
        <v>888</v>
      </c>
      <c r="C44" s="84">
        <f>SUM(C41)</f>
        <v>85089</v>
      </c>
      <c r="D44" s="84">
        <f aca="true" t="shared" si="10" ref="D44:J44">SUM(D41)</f>
        <v>24331</v>
      </c>
      <c r="E44" s="84">
        <f t="shared" si="10"/>
        <v>109921</v>
      </c>
      <c r="F44" s="84">
        <f t="shared" si="10"/>
        <v>0</v>
      </c>
      <c r="G44" s="84">
        <f t="shared" si="10"/>
        <v>0</v>
      </c>
      <c r="H44" s="84">
        <f t="shared" si="10"/>
        <v>0</v>
      </c>
      <c r="I44" s="84">
        <f t="shared" si="10"/>
        <v>12182</v>
      </c>
      <c r="J44" s="84">
        <f t="shared" si="10"/>
        <v>13423</v>
      </c>
      <c r="K44" s="378">
        <f t="shared" si="6"/>
        <v>244946</v>
      </c>
    </row>
    <row r="45" spans="1:11" ht="13.5" thickBot="1">
      <c r="A45" s="236"/>
      <c r="B45" s="624" t="s">
        <v>947</v>
      </c>
      <c r="C45" s="85">
        <f>SUM(C42)</f>
        <v>88724</v>
      </c>
      <c r="D45" s="85">
        <f aca="true" t="shared" si="11" ref="D45:J45">SUM(D42)</f>
        <v>24940</v>
      </c>
      <c r="E45" s="85">
        <f t="shared" si="11"/>
        <v>113924</v>
      </c>
      <c r="F45" s="85">
        <f t="shared" si="11"/>
        <v>0</v>
      </c>
      <c r="G45" s="85">
        <f t="shared" si="11"/>
        <v>0</v>
      </c>
      <c r="H45" s="85">
        <f t="shared" si="11"/>
        <v>0</v>
      </c>
      <c r="I45" s="85">
        <f t="shared" si="11"/>
        <v>15182</v>
      </c>
      <c r="J45" s="85">
        <f t="shared" si="11"/>
        <v>10423</v>
      </c>
      <c r="K45" s="379">
        <f t="shared" si="6"/>
        <v>253193</v>
      </c>
    </row>
    <row r="47" ht="12.75">
      <c r="A47" s="242" t="s">
        <v>1122</v>
      </c>
    </row>
    <row r="48" ht="12.75">
      <c r="A48" s="1" t="s">
        <v>1123</v>
      </c>
    </row>
    <row r="49" ht="12.75">
      <c r="A49" s="1" t="s">
        <v>1124</v>
      </c>
    </row>
    <row r="50" ht="12.75">
      <c r="A50" s="1" t="s">
        <v>1141</v>
      </c>
    </row>
  </sheetData>
  <sheetProtection/>
  <mergeCells count="16">
    <mergeCell ref="A1:O1"/>
    <mergeCell ref="A3:B4"/>
    <mergeCell ref="C3:C4"/>
    <mergeCell ref="D3:E3"/>
    <mergeCell ref="F3:F4"/>
    <mergeCell ref="G3:H3"/>
    <mergeCell ref="I3:J3"/>
    <mergeCell ref="K3:K4"/>
    <mergeCell ref="L3:M3"/>
    <mergeCell ref="N3:N4"/>
    <mergeCell ref="O3:O4"/>
    <mergeCell ref="A24:K24"/>
    <mergeCell ref="A26:B27"/>
    <mergeCell ref="C26:G26"/>
    <mergeCell ref="I26:J26"/>
    <mergeCell ref="K26:K27"/>
  </mergeCells>
  <printOptions horizontalCentered="1"/>
  <pageMargins left="0.1968503937007874" right="0.1968503937007874" top="0.984251968503937" bottom="0.8267716535433072" header="0.5118110236220472" footer="0.5118110236220472"/>
  <pageSetup horizontalDpi="600" verticalDpi="600" orientation="landscape" paperSize="9" scale="65" r:id="rId1"/>
  <headerFooter alignWithMargins="0">
    <oddHeader xml:space="preserve">&amp;L 7. melléklet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D126"/>
  <sheetViews>
    <sheetView view="pageLayout" zoomScaleSheetLayoutView="100" workbookViewId="0" topLeftCell="A1">
      <selection activeCell="A126" sqref="A126"/>
    </sheetView>
  </sheetViews>
  <sheetFormatPr defaultColWidth="9.00390625" defaultRowHeight="12.75"/>
  <cols>
    <col min="1" max="1" width="97.00390625" style="843" customWidth="1"/>
    <col min="2" max="2" width="10.25390625" style="845" customWidth="1"/>
    <col min="3" max="3" width="11.375" style="844" customWidth="1"/>
    <col min="4" max="4" width="11.875" style="845" customWidth="1"/>
    <col min="5" max="9" width="8.125" style="844" customWidth="1"/>
    <col min="10" max="16384" width="9.125" style="844" customWidth="1"/>
  </cols>
  <sheetData>
    <row r="1" ht="12.75">
      <c r="B1" s="844"/>
    </row>
    <row r="2" spans="1:4" ht="15.75">
      <c r="A2" s="1168" t="s">
        <v>787</v>
      </c>
      <c r="B2" s="1168"/>
      <c r="C2" s="1168"/>
      <c r="D2" s="1168"/>
    </row>
    <row r="3" spans="1:4" ht="15.75">
      <c r="A3" s="1169" t="s">
        <v>788</v>
      </c>
      <c r="B3" s="1169"/>
      <c r="C3" s="1169"/>
      <c r="D3" s="1169"/>
    </row>
    <row r="4" ht="13.5" thickBot="1"/>
    <row r="5" spans="1:4" s="849" customFormat="1" ht="12.75">
      <c r="A5" s="846" t="s">
        <v>121</v>
      </c>
      <c r="B5" s="847" t="s">
        <v>162</v>
      </c>
      <c r="C5" s="847" t="s">
        <v>888</v>
      </c>
      <c r="D5" s="848" t="s">
        <v>947</v>
      </c>
    </row>
    <row r="6" spans="1:4" ht="12.75">
      <c r="A6" s="850"/>
      <c r="B6" s="851"/>
      <c r="C6" s="851"/>
      <c r="D6" s="852"/>
    </row>
    <row r="7" spans="1:4" ht="12.75">
      <c r="A7" s="853" t="s">
        <v>163</v>
      </c>
      <c r="B7" s="854">
        <f>SUM(B9,B29,B41)</f>
        <v>2418569</v>
      </c>
      <c r="C7" s="854">
        <f>SUM(C9,C29,C41)</f>
        <v>2527109</v>
      </c>
      <c r="D7" s="855">
        <f>SUM(D9,D29,D41)</f>
        <v>2708848</v>
      </c>
    </row>
    <row r="8" spans="1:4" ht="12.75">
      <c r="A8" s="850"/>
      <c r="B8" s="851"/>
      <c r="C8" s="851"/>
      <c r="D8" s="852"/>
    </row>
    <row r="9" spans="1:4" ht="12.75">
      <c r="A9" s="853" t="s">
        <v>789</v>
      </c>
      <c r="B9" s="854">
        <f>SUM(B10:B25)</f>
        <v>2027029</v>
      </c>
      <c r="C9" s="854">
        <f>SUM(C10:C26)</f>
        <v>2151077</v>
      </c>
      <c r="D9" s="855">
        <f>SUM(D10:D27)</f>
        <v>2503688</v>
      </c>
    </row>
    <row r="10" spans="1:4" ht="12.75">
      <c r="A10" s="850" t="s">
        <v>164</v>
      </c>
      <c r="B10" s="851">
        <v>590931</v>
      </c>
      <c r="C10" s="851">
        <v>580072</v>
      </c>
      <c r="D10" s="852">
        <f>580072-75994-100000</f>
        <v>404078</v>
      </c>
    </row>
    <row r="11" spans="1:4" ht="12.75">
      <c r="A11" s="850" t="s">
        <v>790</v>
      </c>
      <c r="B11" s="851">
        <f>35000+4500</f>
        <v>39500</v>
      </c>
      <c r="C11" s="851">
        <v>39500</v>
      </c>
      <c r="D11" s="852">
        <v>0</v>
      </c>
    </row>
    <row r="12" spans="1:4" ht="25.5">
      <c r="A12" s="850" t="s">
        <v>165</v>
      </c>
      <c r="B12" s="851">
        <v>320000</v>
      </c>
      <c r="C12" s="851">
        <v>337007</v>
      </c>
      <c r="D12" s="852">
        <f>337007-43845</f>
        <v>293162</v>
      </c>
    </row>
    <row r="13" spans="1:4" ht="12.75">
      <c r="A13" s="850" t="s">
        <v>168</v>
      </c>
      <c r="B13" s="851">
        <v>185000</v>
      </c>
      <c r="C13" s="851">
        <v>185000</v>
      </c>
      <c r="D13" s="852">
        <f>185000-13105</f>
        <v>171895</v>
      </c>
    </row>
    <row r="14" spans="1:4" ht="25.5">
      <c r="A14" s="850" t="s">
        <v>180</v>
      </c>
      <c r="B14" s="851">
        <v>28107</v>
      </c>
      <c r="C14" s="851">
        <v>107217</v>
      </c>
      <c r="D14" s="852">
        <f>107217-762</f>
        <v>106455</v>
      </c>
    </row>
    <row r="15" spans="1:4" ht="12.75">
      <c r="A15" s="850" t="s">
        <v>167</v>
      </c>
      <c r="B15" s="851">
        <v>90625</v>
      </c>
      <c r="C15" s="851">
        <v>90625</v>
      </c>
      <c r="D15" s="852">
        <v>90625</v>
      </c>
    </row>
    <row r="16" spans="1:4" ht="25.5">
      <c r="A16" s="850" t="s">
        <v>964</v>
      </c>
      <c r="B16" s="851">
        <v>48600</v>
      </c>
      <c r="C16" s="851">
        <v>48600</v>
      </c>
      <c r="D16" s="852">
        <f>48600+305-20324</f>
        <v>28581</v>
      </c>
    </row>
    <row r="17" spans="1:4" ht="12.75">
      <c r="A17" s="850" t="s">
        <v>182</v>
      </c>
      <c r="B17" s="851">
        <v>44957</v>
      </c>
      <c r="C17" s="851">
        <v>44957</v>
      </c>
      <c r="D17" s="852">
        <v>44957</v>
      </c>
    </row>
    <row r="18" spans="1:4" ht="12.75">
      <c r="A18" s="850" t="s">
        <v>791</v>
      </c>
      <c r="B18" s="851">
        <v>15000</v>
      </c>
      <c r="C18" s="851">
        <v>24221</v>
      </c>
      <c r="D18" s="852">
        <v>24221</v>
      </c>
    </row>
    <row r="19" spans="1:4" ht="12.75">
      <c r="A19" s="850" t="s">
        <v>166</v>
      </c>
      <c r="B19" s="851">
        <v>1174</v>
      </c>
      <c r="C19" s="851">
        <v>1174</v>
      </c>
      <c r="D19" s="852">
        <v>1174</v>
      </c>
    </row>
    <row r="20" spans="1:4" ht="12.75">
      <c r="A20" s="850" t="s">
        <v>172</v>
      </c>
      <c r="B20" s="851">
        <v>52290</v>
      </c>
      <c r="C20" s="851">
        <v>52290</v>
      </c>
      <c r="D20" s="852">
        <v>0</v>
      </c>
    </row>
    <row r="21" spans="1:4" ht="12.75">
      <c r="A21" s="850" t="s">
        <v>184</v>
      </c>
      <c r="B21" s="851">
        <v>40000</v>
      </c>
      <c r="C21" s="851">
        <v>0</v>
      </c>
      <c r="D21" s="852">
        <v>0</v>
      </c>
    </row>
    <row r="22" spans="1:4" ht="12.75">
      <c r="A22" s="850" t="s">
        <v>185</v>
      </c>
      <c r="B22" s="851">
        <v>16000</v>
      </c>
      <c r="C22" s="851">
        <v>0</v>
      </c>
      <c r="D22" s="852">
        <v>0</v>
      </c>
    </row>
    <row r="23" spans="1:4" ht="12.75">
      <c r="A23" s="850" t="s">
        <v>199</v>
      </c>
      <c r="B23" s="851">
        <v>192845</v>
      </c>
      <c r="C23" s="851">
        <v>188615</v>
      </c>
      <c r="D23" s="852">
        <v>188615</v>
      </c>
    </row>
    <row r="24" spans="1:4" ht="12.75">
      <c r="A24" s="850" t="s">
        <v>200</v>
      </c>
      <c r="B24" s="851">
        <v>193000</v>
      </c>
      <c r="C24" s="851">
        <v>187394</v>
      </c>
      <c r="D24" s="852">
        <f>187394-160000+2499</f>
        <v>29893</v>
      </c>
    </row>
    <row r="25" spans="1:4" ht="12.75">
      <c r="A25" s="850" t="s">
        <v>216</v>
      </c>
      <c r="B25" s="851">
        <v>169000</v>
      </c>
      <c r="C25" s="851">
        <v>166426</v>
      </c>
      <c r="D25" s="852">
        <f>166426-12201</f>
        <v>154225</v>
      </c>
    </row>
    <row r="26" spans="1:4" ht="12.75">
      <c r="A26" s="850" t="s">
        <v>178</v>
      </c>
      <c r="B26" s="851"/>
      <c r="C26" s="851">
        <v>97979</v>
      </c>
      <c r="D26" s="852">
        <v>963807</v>
      </c>
    </row>
    <row r="27" spans="1:4" ht="12.75">
      <c r="A27" s="850" t="s">
        <v>179</v>
      </c>
      <c r="B27" s="851"/>
      <c r="C27" s="851"/>
      <c r="D27" s="852">
        <f>5000-3000</f>
        <v>2000</v>
      </c>
    </row>
    <row r="28" spans="1:4" ht="12.75">
      <c r="A28" s="850"/>
      <c r="B28" s="851"/>
      <c r="C28" s="851"/>
      <c r="D28" s="852"/>
    </row>
    <row r="29" spans="1:4" ht="12.75">
      <c r="A29" s="853" t="s">
        <v>792</v>
      </c>
      <c r="B29" s="854">
        <f>SUM(B30:B32)</f>
        <v>85242</v>
      </c>
      <c r="C29" s="854">
        <f>SUM(C30:C34)</f>
        <v>54490</v>
      </c>
      <c r="D29" s="855">
        <f>SUM(D30:D39)</f>
        <v>58308</v>
      </c>
    </row>
    <row r="30" spans="1:4" ht="12.75">
      <c r="A30" s="850" t="s">
        <v>793</v>
      </c>
      <c r="B30" s="851">
        <v>56670</v>
      </c>
      <c r="C30" s="851">
        <v>18912</v>
      </c>
      <c r="D30" s="852">
        <f>18912+5715-18522</f>
        <v>6105</v>
      </c>
    </row>
    <row r="31" spans="1:4" ht="12.75">
      <c r="A31" s="850" t="s">
        <v>794</v>
      </c>
      <c r="B31" s="851">
        <v>572</v>
      </c>
      <c r="C31" s="851">
        <v>572</v>
      </c>
      <c r="D31" s="852">
        <v>572</v>
      </c>
    </row>
    <row r="32" spans="1:4" ht="12.75">
      <c r="A32" s="850" t="s">
        <v>795</v>
      </c>
      <c r="B32" s="851">
        <v>28000</v>
      </c>
      <c r="C32" s="851">
        <v>28000</v>
      </c>
      <c r="D32" s="852">
        <v>28000</v>
      </c>
    </row>
    <row r="33" spans="1:4" ht="12.75">
      <c r="A33" s="850" t="s">
        <v>796</v>
      </c>
      <c r="B33" s="851"/>
      <c r="C33" s="851">
        <v>0</v>
      </c>
      <c r="D33" s="852">
        <v>0</v>
      </c>
    </row>
    <row r="34" spans="1:4" ht="12.75">
      <c r="A34" s="850" t="s">
        <v>797</v>
      </c>
      <c r="B34" s="851"/>
      <c r="C34" s="851">
        <v>7006</v>
      </c>
      <c r="D34" s="852">
        <v>7010</v>
      </c>
    </row>
    <row r="35" spans="1:4" ht="12.75">
      <c r="A35" s="850" t="s">
        <v>965</v>
      </c>
      <c r="B35" s="851"/>
      <c r="C35" s="851"/>
      <c r="D35" s="852">
        <v>5000</v>
      </c>
    </row>
    <row r="36" spans="1:4" ht="12.75">
      <c r="A36" s="850" t="s">
        <v>966</v>
      </c>
      <c r="B36" s="851"/>
      <c r="C36" s="851"/>
      <c r="D36" s="852">
        <v>8500</v>
      </c>
    </row>
    <row r="37" spans="1:4" ht="12.75">
      <c r="A37" s="850" t="s">
        <v>967</v>
      </c>
      <c r="B37" s="851"/>
      <c r="C37" s="851"/>
      <c r="D37" s="852">
        <v>585</v>
      </c>
    </row>
    <row r="38" spans="1:4" ht="12.75">
      <c r="A38" s="850" t="s">
        <v>968</v>
      </c>
      <c r="B38" s="851"/>
      <c r="C38" s="851"/>
      <c r="D38" s="852">
        <v>536</v>
      </c>
    </row>
    <row r="39" spans="1:4" ht="12.75">
      <c r="A39" s="850" t="s">
        <v>969</v>
      </c>
      <c r="B39" s="851"/>
      <c r="C39" s="851"/>
      <c r="D39" s="852">
        <v>2000</v>
      </c>
    </row>
    <row r="40" spans="1:4" ht="12.75">
      <c r="A40" s="850"/>
      <c r="B40" s="851"/>
      <c r="C40" s="851"/>
      <c r="D40" s="852"/>
    </row>
    <row r="41" spans="1:4" ht="12.75">
      <c r="A41" s="853" t="s">
        <v>798</v>
      </c>
      <c r="B41" s="854">
        <f>SUM(B42:B59)</f>
        <v>306298</v>
      </c>
      <c r="C41" s="854">
        <f>SUM(C42:C66)</f>
        <v>321542</v>
      </c>
      <c r="D41" s="855">
        <f>SUM(D42:D78)</f>
        <v>146852</v>
      </c>
    </row>
    <row r="42" spans="1:4" ht="12.75">
      <c r="A42" s="850" t="s">
        <v>799</v>
      </c>
      <c r="B42" s="851">
        <v>2500</v>
      </c>
      <c r="C42" s="851">
        <v>2052</v>
      </c>
      <c r="D42" s="852">
        <v>2052</v>
      </c>
    </row>
    <row r="43" spans="1:4" ht="12.75">
      <c r="A43" s="850" t="s">
        <v>800</v>
      </c>
      <c r="B43" s="851">
        <v>3867</v>
      </c>
      <c r="C43" s="851">
        <v>3867</v>
      </c>
      <c r="D43" s="852">
        <v>3867</v>
      </c>
    </row>
    <row r="44" spans="1:4" ht="12.75">
      <c r="A44" s="850" t="s">
        <v>801</v>
      </c>
      <c r="B44" s="851">
        <v>1651</v>
      </c>
      <c r="C44" s="851">
        <v>1651</v>
      </c>
      <c r="D44" s="852">
        <v>1651</v>
      </c>
    </row>
    <row r="45" spans="1:4" ht="12.75">
      <c r="A45" s="850" t="s">
        <v>802</v>
      </c>
      <c r="B45" s="851">
        <v>6350</v>
      </c>
      <c r="C45" s="851">
        <v>6350</v>
      </c>
      <c r="D45" s="852">
        <f>6350-4000</f>
        <v>2350</v>
      </c>
    </row>
    <row r="46" spans="1:4" ht="12.75">
      <c r="A46" s="850" t="s">
        <v>803</v>
      </c>
      <c r="B46" s="851">
        <v>2540</v>
      </c>
      <c r="C46" s="851">
        <v>2540</v>
      </c>
      <c r="D46" s="852">
        <v>2540</v>
      </c>
    </row>
    <row r="47" spans="1:4" ht="12.75">
      <c r="A47" s="850" t="s">
        <v>177</v>
      </c>
      <c r="B47" s="851">
        <v>200000</v>
      </c>
      <c r="C47" s="851">
        <v>176000</v>
      </c>
      <c r="D47" s="852">
        <v>0</v>
      </c>
    </row>
    <row r="48" spans="1:4" ht="12.75">
      <c r="A48" s="850" t="s">
        <v>804</v>
      </c>
      <c r="B48" s="851">
        <f>5000-1500</f>
        <v>3500</v>
      </c>
      <c r="C48" s="851">
        <v>3500</v>
      </c>
      <c r="D48" s="852">
        <f>3500-85</f>
        <v>3415</v>
      </c>
    </row>
    <row r="49" spans="1:4" ht="12.75">
      <c r="A49" s="850" t="s">
        <v>805</v>
      </c>
      <c r="B49" s="851">
        <f>25000-2000</f>
        <v>23000</v>
      </c>
      <c r="C49" s="851">
        <v>23000</v>
      </c>
      <c r="D49" s="852">
        <v>23000</v>
      </c>
    </row>
    <row r="50" spans="1:4" ht="12.75">
      <c r="A50" s="850" t="s">
        <v>806</v>
      </c>
      <c r="B50" s="851">
        <v>2000</v>
      </c>
      <c r="C50" s="851">
        <v>2000</v>
      </c>
      <c r="D50" s="852">
        <v>2000</v>
      </c>
    </row>
    <row r="51" spans="1:4" ht="12.75">
      <c r="A51" s="850" t="s">
        <v>807</v>
      </c>
      <c r="B51" s="851">
        <v>1270</v>
      </c>
      <c r="C51" s="851">
        <v>1270</v>
      </c>
      <c r="D51" s="852">
        <v>1270</v>
      </c>
    </row>
    <row r="52" spans="1:4" ht="12.75">
      <c r="A52" s="850" t="s">
        <v>808</v>
      </c>
      <c r="B52" s="851">
        <v>500</v>
      </c>
      <c r="C52" s="851">
        <v>500</v>
      </c>
      <c r="D52" s="852">
        <v>500</v>
      </c>
    </row>
    <row r="53" spans="1:4" ht="12.75">
      <c r="A53" s="850" t="s">
        <v>809</v>
      </c>
      <c r="B53" s="851">
        <v>5080</v>
      </c>
      <c r="C53" s="851">
        <v>5080</v>
      </c>
      <c r="D53" s="852">
        <v>5080</v>
      </c>
    </row>
    <row r="54" spans="1:4" ht="12.75">
      <c r="A54" s="850" t="s">
        <v>810</v>
      </c>
      <c r="B54" s="851">
        <v>8500</v>
      </c>
      <c r="C54" s="851">
        <v>8500</v>
      </c>
      <c r="D54" s="852">
        <f>8500-5715-1951-254</f>
        <v>580</v>
      </c>
    </row>
    <row r="55" spans="1:4" ht="12.75">
      <c r="A55" s="850" t="s">
        <v>811</v>
      </c>
      <c r="B55" s="851">
        <v>2540</v>
      </c>
      <c r="C55" s="851">
        <v>2540</v>
      </c>
      <c r="D55" s="852">
        <v>2540</v>
      </c>
    </row>
    <row r="56" spans="1:4" ht="12.75">
      <c r="A56" s="850" t="s">
        <v>812</v>
      </c>
      <c r="B56" s="851">
        <v>7000</v>
      </c>
      <c r="C56" s="851">
        <v>7000</v>
      </c>
      <c r="D56" s="852">
        <v>7000</v>
      </c>
    </row>
    <row r="57" spans="1:4" ht="12.75">
      <c r="A57" s="850" t="s">
        <v>813</v>
      </c>
      <c r="B57" s="851">
        <v>6000</v>
      </c>
      <c r="C57" s="851">
        <v>6000</v>
      </c>
      <c r="D57" s="852">
        <v>6000</v>
      </c>
    </row>
    <row r="58" spans="1:4" ht="12.75">
      <c r="A58" s="850" t="s">
        <v>814</v>
      </c>
      <c r="B58" s="851">
        <v>5000</v>
      </c>
      <c r="C58" s="851">
        <v>5000</v>
      </c>
      <c r="D58" s="852">
        <v>5000</v>
      </c>
    </row>
    <row r="59" spans="1:4" ht="12.75">
      <c r="A59" s="850" t="s">
        <v>201</v>
      </c>
      <c r="B59" s="851">
        <v>25000</v>
      </c>
      <c r="C59" s="851">
        <v>25000</v>
      </c>
      <c r="D59" s="852">
        <v>152</v>
      </c>
    </row>
    <row r="60" spans="1:4" ht="12.75">
      <c r="A60" s="850" t="s">
        <v>815</v>
      </c>
      <c r="B60" s="851"/>
      <c r="C60" s="851">
        <v>5276</v>
      </c>
      <c r="D60" s="852">
        <v>5276</v>
      </c>
    </row>
    <row r="61" spans="1:4" ht="12.75">
      <c r="A61" s="850" t="s">
        <v>816</v>
      </c>
      <c r="B61" s="851"/>
      <c r="C61" s="851">
        <v>3390</v>
      </c>
      <c r="D61" s="852">
        <v>3390</v>
      </c>
    </row>
    <row r="62" spans="1:4" ht="12.75">
      <c r="A62" s="850" t="s">
        <v>817</v>
      </c>
      <c r="B62" s="851"/>
      <c r="C62" s="851">
        <v>13</v>
      </c>
      <c r="D62" s="852">
        <v>13</v>
      </c>
    </row>
    <row r="63" spans="1:4" ht="12.75">
      <c r="A63" s="850" t="s">
        <v>818</v>
      </c>
      <c r="B63" s="851"/>
      <c r="C63" s="851">
        <v>30350</v>
      </c>
      <c r="D63" s="852">
        <f>30350+3072</f>
        <v>33422</v>
      </c>
    </row>
    <row r="64" spans="1:4" ht="12.75">
      <c r="A64" s="850" t="s">
        <v>819</v>
      </c>
      <c r="B64" s="851"/>
      <c r="C64" s="851">
        <v>254</v>
      </c>
      <c r="D64" s="852">
        <v>254</v>
      </c>
    </row>
    <row r="65" spans="1:4" ht="12.75">
      <c r="A65" s="850" t="s">
        <v>820</v>
      </c>
      <c r="B65" s="851"/>
      <c r="C65" s="851">
        <v>280</v>
      </c>
      <c r="D65" s="852">
        <v>280</v>
      </c>
    </row>
    <row r="66" spans="1:4" ht="12.75">
      <c r="A66" s="850" t="s">
        <v>821</v>
      </c>
      <c r="B66" s="851"/>
      <c r="C66" s="851">
        <v>129</v>
      </c>
      <c r="D66" s="852">
        <v>129</v>
      </c>
    </row>
    <row r="67" spans="1:4" ht="12.75">
      <c r="A67" s="850" t="s">
        <v>970</v>
      </c>
      <c r="B67" s="851"/>
      <c r="C67" s="851"/>
      <c r="D67" s="852">
        <v>6000</v>
      </c>
    </row>
    <row r="68" spans="1:4" ht="12.75">
      <c r="A68" s="850" t="s">
        <v>971</v>
      </c>
      <c r="B68" s="851"/>
      <c r="C68" s="851"/>
      <c r="D68" s="852">
        <v>28100</v>
      </c>
    </row>
    <row r="69" spans="1:4" ht="12.75">
      <c r="A69" s="850" t="s">
        <v>972</v>
      </c>
      <c r="B69" s="851"/>
      <c r="C69" s="851"/>
      <c r="D69" s="852">
        <v>389</v>
      </c>
    </row>
    <row r="70" spans="1:4" ht="12.75">
      <c r="A70" s="850" t="s">
        <v>973</v>
      </c>
      <c r="B70" s="851"/>
      <c r="C70" s="851"/>
      <c r="D70" s="852">
        <v>27</v>
      </c>
    </row>
    <row r="71" spans="1:4" ht="12.75">
      <c r="A71" s="850" t="s">
        <v>974</v>
      </c>
      <c r="B71" s="851"/>
      <c r="C71" s="851"/>
      <c r="D71" s="852">
        <v>2</v>
      </c>
    </row>
    <row r="72" spans="1:4" ht="12.75">
      <c r="A72" s="850" t="s">
        <v>975</v>
      </c>
      <c r="B72" s="851"/>
      <c r="C72" s="851"/>
      <c r="D72" s="852">
        <v>176</v>
      </c>
    </row>
    <row r="73" spans="1:4" ht="12.75">
      <c r="A73" s="850" t="s">
        <v>976</v>
      </c>
      <c r="B73" s="851"/>
      <c r="C73" s="851"/>
      <c r="D73" s="852">
        <v>397</v>
      </c>
    </row>
    <row r="74" spans="1:4" ht="12.75">
      <c r="A74" s="850" t="s">
        <v>176</v>
      </c>
      <c r="B74" s="851"/>
      <c r="C74" s="851"/>
      <c r="D74" s="852">
        <v>0</v>
      </c>
    </row>
    <row r="75" spans="1:4" ht="12.75">
      <c r="A75" s="850" t="s">
        <v>175</v>
      </c>
      <c r="B75" s="851"/>
      <c r="C75" s="851"/>
      <c r="D75" s="852">
        <v>0</v>
      </c>
    </row>
    <row r="76" spans="1:4" ht="12.75">
      <c r="A76" s="850" t="s">
        <v>231</v>
      </c>
      <c r="B76" s="851"/>
      <c r="C76" s="851"/>
      <c r="D76" s="852">
        <v>0</v>
      </c>
    </row>
    <row r="77" spans="1:4" ht="12.75">
      <c r="A77" s="850" t="s">
        <v>215</v>
      </c>
      <c r="B77" s="851"/>
      <c r="C77" s="851"/>
      <c r="D77" s="852">
        <v>0</v>
      </c>
    </row>
    <row r="78" spans="1:4" ht="13.5" thickBot="1">
      <c r="A78" s="856" t="s">
        <v>218</v>
      </c>
      <c r="B78" s="857"/>
      <c r="C78" s="857"/>
      <c r="D78" s="858">
        <v>0</v>
      </c>
    </row>
    <row r="79" spans="1:4" ht="12.75">
      <c r="A79" s="952"/>
      <c r="B79" s="953"/>
      <c r="C79" s="953"/>
      <c r="D79" s="954"/>
    </row>
    <row r="80" spans="1:4" ht="12.75">
      <c r="A80" s="853" t="s">
        <v>169</v>
      </c>
      <c r="B80" s="854">
        <f>SUM(B92,B95,B82)</f>
        <v>20058</v>
      </c>
      <c r="C80" s="854">
        <f>SUM(C92,C95,C82)</f>
        <v>20088</v>
      </c>
      <c r="D80" s="855">
        <f>SUM(D92,D95,D82)</f>
        <v>20088</v>
      </c>
    </row>
    <row r="81" spans="1:4" ht="12.75">
      <c r="A81" s="853"/>
      <c r="B81" s="854"/>
      <c r="C81" s="851"/>
      <c r="D81" s="852"/>
    </row>
    <row r="82" spans="1:4" ht="13.5">
      <c r="A82" s="859" t="s">
        <v>822</v>
      </c>
      <c r="B82" s="860">
        <f>SUM(B83:B90)</f>
        <v>19321</v>
      </c>
      <c r="C82" s="860">
        <f>SUM(C83:C90)</f>
        <v>19321</v>
      </c>
      <c r="D82" s="861">
        <f>SUM(D83:D90)</f>
        <v>19321</v>
      </c>
    </row>
    <row r="83" spans="1:4" ht="12.75">
      <c r="A83" s="862" t="s">
        <v>799</v>
      </c>
      <c r="B83" s="851">
        <v>3000</v>
      </c>
      <c r="C83" s="851">
        <v>3000</v>
      </c>
      <c r="D83" s="852">
        <v>3000</v>
      </c>
    </row>
    <row r="84" spans="1:4" ht="12.75">
      <c r="A84" s="850" t="s">
        <v>823</v>
      </c>
      <c r="B84" s="851">
        <v>5715</v>
      </c>
      <c r="C84" s="851">
        <v>5715</v>
      </c>
      <c r="D84" s="852">
        <v>5715</v>
      </c>
    </row>
    <row r="85" spans="1:4" ht="12.75">
      <c r="A85" s="850" t="s">
        <v>824</v>
      </c>
      <c r="B85" s="851">
        <v>6985</v>
      </c>
      <c r="C85" s="851">
        <v>6985</v>
      </c>
      <c r="D85" s="852">
        <v>6985</v>
      </c>
    </row>
    <row r="86" spans="1:4" ht="12.75">
      <c r="A86" s="850" t="s">
        <v>825</v>
      </c>
      <c r="B86" s="851">
        <v>1905</v>
      </c>
      <c r="C86" s="851">
        <v>1905</v>
      </c>
      <c r="D86" s="852">
        <v>1905</v>
      </c>
    </row>
    <row r="87" spans="1:4" s="863" customFormat="1" ht="13.5">
      <c r="A87" s="850" t="s">
        <v>826</v>
      </c>
      <c r="B87" s="851">
        <v>90</v>
      </c>
      <c r="C87" s="851">
        <v>90</v>
      </c>
      <c r="D87" s="852">
        <v>90</v>
      </c>
    </row>
    <row r="88" spans="1:4" ht="12.75">
      <c r="A88" s="850" t="s">
        <v>827</v>
      </c>
      <c r="B88" s="851">
        <v>126</v>
      </c>
      <c r="C88" s="851">
        <v>126</v>
      </c>
      <c r="D88" s="852">
        <v>126</v>
      </c>
    </row>
    <row r="89" spans="1:4" ht="12.75">
      <c r="A89" s="850" t="s">
        <v>828</v>
      </c>
      <c r="B89" s="851">
        <v>500</v>
      </c>
      <c r="C89" s="851">
        <v>500</v>
      </c>
      <c r="D89" s="852">
        <v>500</v>
      </c>
    </row>
    <row r="90" spans="1:4" s="863" customFormat="1" ht="13.5">
      <c r="A90" s="850" t="s">
        <v>829</v>
      </c>
      <c r="B90" s="851">
        <v>1000</v>
      </c>
      <c r="C90" s="851">
        <v>1000</v>
      </c>
      <c r="D90" s="852">
        <v>1000</v>
      </c>
    </row>
    <row r="91" spans="1:4" ht="12.75">
      <c r="A91" s="864"/>
      <c r="B91" s="865"/>
      <c r="C91" s="865"/>
      <c r="D91" s="866"/>
    </row>
    <row r="92" spans="1:4" ht="13.5">
      <c r="A92" s="859" t="s">
        <v>25</v>
      </c>
      <c r="B92" s="860">
        <f>SUM(B93)</f>
        <v>546</v>
      </c>
      <c r="C92" s="860">
        <f>SUM(C93)</f>
        <v>546</v>
      </c>
      <c r="D92" s="861">
        <f>SUM(D93)</f>
        <v>546</v>
      </c>
    </row>
    <row r="93" spans="1:4" ht="12.75">
      <c r="A93" s="850" t="s">
        <v>830</v>
      </c>
      <c r="B93" s="851">
        <v>546</v>
      </c>
      <c r="C93" s="851">
        <v>546</v>
      </c>
      <c r="D93" s="852">
        <v>546</v>
      </c>
    </row>
    <row r="94" spans="1:4" s="849" customFormat="1" ht="12.75">
      <c r="A94" s="850"/>
      <c r="B94" s="851"/>
      <c r="C94" s="854"/>
      <c r="D94" s="855"/>
    </row>
    <row r="95" spans="1:4" ht="13.5">
      <c r="A95" s="859" t="s">
        <v>26</v>
      </c>
      <c r="B95" s="860">
        <f>SUM(B96)</f>
        <v>191</v>
      </c>
      <c r="C95" s="860">
        <f>SUM(C96)</f>
        <v>221</v>
      </c>
      <c r="D95" s="861">
        <f>SUM(D96)</f>
        <v>221</v>
      </c>
    </row>
    <row r="96" spans="1:4" ht="12.75">
      <c r="A96" s="850" t="s">
        <v>831</v>
      </c>
      <c r="B96" s="851">
        <v>191</v>
      </c>
      <c r="C96" s="851">
        <v>221</v>
      </c>
      <c r="D96" s="852">
        <v>221</v>
      </c>
    </row>
    <row r="97" spans="1:4" ht="12.75">
      <c r="A97" s="850"/>
      <c r="B97" s="851"/>
      <c r="C97" s="851"/>
      <c r="D97" s="852"/>
    </row>
    <row r="98" spans="1:4" ht="12.75">
      <c r="A98" s="853" t="s">
        <v>832</v>
      </c>
      <c r="B98" s="854">
        <f>SUM(B99:B115)</f>
        <v>6795</v>
      </c>
      <c r="C98" s="854">
        <f>SUM(C99:C115)</f>
        <v>19990</v>
      </c>
      <c r="D98" s="855">
        <f>SUM(D99:D115)</f>
        <v>28708</v>
      </c>
    </row>
    <row r="99" spans="1:4" ht="12.75">
      <c r="A99" s="850" t="s">
        <v>833</v>
      </c>
      <c r="B99" s="851">
        <f>970+550</f>
        <v>1520</v>
      </c>
      <c r="C99" s="851">
        <v>3190</v>
      </c>
      <c r="D99" s="852">
        <v>3190</v>
      </c>
    </row>
    <row r="100" spans="1:4" s="849" customFormat="1" ht="12.75">
      <c r="A100" s="850" t="s">
        <v>977</v>
      </c>
      <c r="B100" s="851">
        <v>500</v>
      </c>
      <c r="C100" s="851">
        <v>2449</v>
      </c>
      <c r="D100" s="852">
        <v>2599</v>
      </c>
    </row>
    <row r="101" spans="1:4" s="849" customFormat="1" ht="12.75">
      <c r="A101" s="850" t="s">
        <v>834</v>
      </c>
      <c r="B101" s="851">
        <v>900</v>
      </c>
      <c r="C101" s="851">
        <v>3094</v>
      </c>
      <c r="D101" s="852">
        <v>3225</v>
      </c>
    </row>
    <row r="102" spans="1:4" s="849" customFormat="1" ht="12.75">
      <c r="A102" s="850" t="s">
        <v>978</v>
      </c>
      <c r="B102" s="851">
        <v>700</v>
      </c>
      <c r="C102" s="851">
        <v>1193</v>
      </c>
      <c r="D102" s="852">
        <v>1493</v>
      </c>
    </row>
    <row r="103" spans="1:4" s="849" customFormat="1" ht="12.75">
      <c r="A103" s="850" t="s">
        <v>835</v>
      </c>
      <c r="B103" s="851">
        <v>3175</v>
      </c>
      <c r="C103" s="851">
        <v>4689</v>
      </c>
      <c r="D103" s="852">
        <v>4689</v>
      </c>
    </row>
    <row r="104" spans="1:4" s="849" customFormat="1" ht="12.75">
      <c r="A104" s="850" t="s">
        <v>979</v>
      </c>
      <c r="B104" s="851"/>
      <c r="C104" s="851">
        <v>414</v>
      </c>
      <c r="D104" s="852">
        <v>414</v>
      </c>
    </row>
    <row r="105" spans="1:4" s="849" customFormat="1" ht="12.75">
      <c r="A105" s="850" t="s">
        <v>836</v>
      </c>
      <c r="B105" s="851"/>
      <c r="C105" s="851">
        <v>932</v>
      </c>
      <c r="D105" s="852">
        <v>932</v>
      </c>
    </row>
    <row r="106" spans="1:4" s="849" customFormat="1" ht="12.75">
      <c r="A106" s="850" t="s">
        <v>980</v>
      </c>
      <c r="B106" s="851"/>
      <c r="C106" s="851">
        <v>1533</v>
      </c>
      <c r="D106" s="852">
        <v>1833</v>
      </c>
    </row>
    <row r="107" spans="1:4" s="849" customFormat="1" ht="12.75">
      <c r="A107" s="850" t="s">
        <v>927</v>
      </c>
      <c r="B107" s="851"/>
      <c r="C107" s="851">
        <v>75</v>
      </c>
      <c r="D107" s="852">
        <v>75</v>
      </c>
    </row>
    <row r="108" spans="1:4" s="849" customFormat="1" ht="12.75">
      <c r="A108" s="850" t="s">
        <v>837</v>
      </c>
      <c r="B108" s="851"/>
      <c r="C108" s="851">
        <v>1488</v>
      </c>
      <c r="D108" s="852">
        <v>1488</v>
      </c>
    </row>
    <row r="109" spans="1:4" s="849" customFormat="1" ht="12.75">
      <c r="A109" s="850" t="s">
        <v>989</v>
      </c>
      <c r="B109" s="851"/>
      <c r="C109" s="851">
        <v>55</v>
      </c>
      <c r="D109" s="852">
        <v>912</v>
      </c>
    </row>
    <row r="110" spans="1:4" s="849" customFormat="1" ht="12.75">
      <c r="A110" s="850" t="s">
        <v>990</v>
      </c>
      <c r="B110" s="851"/>
      <c r="C110" s="851"/>
      <c r="D110" s="852">
        <v>213</v>
      </c>
    </row>
    <row r="111" spans="1:4" s="849" customFormat="1" ht="12.75">
      <c r="A111" s="850" t="s">
        <v>991</v>
      </c>
      <c r="B111" s="851"/>
      <c r="C111" s="851">
        <v>20</v>
      </c>
      <c r="D111" s="852">
        <v>377</v>
      </c>
    </row>
    <row r="112" spans="1:4" s="849" customFormat="1" ht="12.75">
      <c r="A112" s="850" t="s">
        <v>992</v>
      </c>
      <c r="B112" s="851"/>
      <c r="C112" s="851"/>
      <c r="D112" s="852">
        <v>116</v>
      </c>
    </row>
    <row r="113" spans="1:4" s="849" customFormat="1" ht="12.75">
      <c r="A113" s="850" t="s">
        <v>993</v>
      </c>
      <c r="B113" s="851"/>
      <c r="C113" s="851">
        <v>208</v>
      </c>
      <c r="D113" s="852">
        <v>6462</v>
      </c>
    </row>
    <row r="114" spans="1:4" s="849" customFormat="1" ht="12.75">
      <c r="A114" s="850" t="s">
        <v>838</v>
      </c>
      <c r="B114" s="851"/>
      <c r="C114" s="851">
        <v>650</v>
      </c>
      <c r="D114" s="852">
        <v>650</v>
      </c>
    </row>
    <row r="115" spans="1:4" s="849" customFormat="1" ht="12.75">
      <c r="A115" s="850" t="s">
        <v>988</v>
      </c>
      <c r="B115" s="854"/>
      <c r="C115" s="854"/>
      <c r="D115" s="855">
        <v>40</v>
      </c>
    </row>
    <row r="116" spans="1:4" s="849" customFormat="1" ht="12.75">
      <c r="A116" s="850"/>
      <c r="B116" s="854"/>
      <c r="C116" s="854"/>
      <c r="D116" s="855"/>
    </row>
    <row r="117" spans="1:4" s="867" customFormat="1" ht="12.75">
      <c r="A117" s="853" t="s">
        <v>170</v>
      </c>
      <c r="B117" s="854">
        <f>SUM(B118)</f>
        <v>1800</v>
      </c>
      <c r="C117" s="854">
        <f>SUM(C118)</f>
        <v>12182</v>
      </c>
      <c r="D117" s="855">
        <f>SUM(D118)</f>
        <v>15182</v>
      </c>
    </row>
    <row r="118" spans="1:4" ht="12.75">
      <c r="A118" s="850" t="s">
        <v>839</v>
      </c>
      <c r="B118" s="851">
        <v>1800</v>
      </c>
      <c r="C118" s="851">
        <v>12182</v>
      </c>
      <c r="D118" s="852">
        <v>15182</v>
      </c>
    </row>
    <row r="119" spans="1:4" ht="12.75">
      <c r="A119" s="850"/>
      <c r="B119" s="851"/>
      <c r="C119" s="851"/>
      <c r="D119" s="852"/>
    </row>
    <row r="120" spans="1:4" ht="12.75">
      <c r="A120" s="853"/>
      <c r="B120" s="854"/>
      <c r="C120" s="851"/>
      <c r="D120" s="852"/>
    </row>
    <row r="121" spans="1:4" ht="13.5" thickBot="1">
      <c r="A121" s="868" t="s">
        <v>171</v>
      </c>
      <c r="B121" s="869">
        <f>SUM(B7,B98,B117,B80)</f>
        <v>2447222</v>
      </c>
      <c r="C121" s="869">
        <f>SUM(C7,C80,C98,C117)</f>
        <v>2579369</v>
      </c>
      <c r="D121" s="870">
        <f>SUM(D7,D80,D98,D117)</f>
        <v>2772826</v>
      </c>
    </row>
    <row r="123" ht="12.75">
      <c r="A123" s="242" t="s">
        <v>1119</v>
      </c>
    </row>
    <row r="124" ht="12.75">
      <c r="A124" s="1" t="s">
        <v>1120</v>
      </c>
    </row>
    <row r="125" ht="12.75">
      <c r="A125" s="1" t="s">
        <v>1121</v>
      </c>
    </row>
    <row r="126" ht="12.75">
      <c r="A126" s="1" t="s">
        <v>1142</v>
      </c>
    </row>
  </sheetData>
  <sheetProtection/>
  <mergeCells count="2">
    <mergeCell ref="A2:D2"/>
    <mergeCell ref="A3:D3"/>
  </mergeCells>
  <printOptions horizontalCentered="1"/>
  <pageMargins left="0.5118110236220472" right="0.2755905511811024" top="1.0209375" bottom="0.5905511811023623" header="0.5511811023622047" footer="0"/>
  <pageSetup horizontalDpi="600" verticalDpi="600" orientation="portrait" paperSize="9" scale="71" r:id="rId1"/>
  <headerFooter alignWithMargins="0">
    <oddHeader xml:space="preserve">&amp;L 8. melléklet </oddHeader>
  </headerFooter>
  <rowBreaks count="1" manualBreakCount="1">
    <brk id="7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zsombokiandrea</dc:creator>
  <cp:keywords/>
  <dc:description/>
  <cp:lastModifiedBy>zomborimonika</cp:lastModifiedBy>
  <cp:lastPrinted>2014-12-19T09:24:07Z</cp:lastPrinted>
  <dcterms:created xsi:type="dcterms:W3CDTF">2014-01-10T08:24:40Z</dcterms:created>
  <dcterms:modified xsi:type="dcterms:W3CDTF">2014-12-19T09:28:01Z</dcterms:modified>
  <cp:category/>
  <cp:version/>
  <cp:contentType/>
  <cp:contentStatus/>
</cp:coreProperties>
</file>