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15" windowHeight="8445" tabRatio="666" firstSheet="14" activeTab="15"/>
  </bookViews>
  <sheets>
    <sheet name="1.sz. melléklet" sheetId="1" r:id="rId1"/>
    <sheet name="2. sz. melléklet" sheetId="2" r:id="rId2"/>
    <sheet name="3. sz. melléklet" sheetId="3" r:id="rId3"/>
    <sheet name="4.sz. melléklet" sheetId="4" r:id="rId4"/>
    <sheet name="5.sz. melléklet-Önkormányzat" sheetId="5" r:id="rId5"/>
    <sheet name="5.sz. melléklet-Polg.Hiv." sheetId="6" r:id="rId6"/>
    <sheet name="5.sz. melléklet-Közterület" sheetId="7" r:id="rId7"/>
    <sheet name="5.sz. melléklet-Közös Hivatal" sheetId="8" r:id="rId8"/>
    <sheet name="6.sz. melléklet" sheetId="9" r:id="rId9"/>
    <sheet name="7. sz.  melléklet" sheetId="10" r:id="rId10"/>
    <sheet name="8. sz. melléklet" sheetId="11" r:id="rId11"/>
    <sheet name="9. sz. melléklet" sheetId="12" r:id="rId12"/>
    <sheet name="10. sz. melléklet" sheetId="13" r:id="rId13"/>
    <sheet name="11. sz. melléklet" sheetId="14" r:id="rId14"/>
    <sheet name="12. sz. melléklet" sheetId="15" r:id="rId15"/>
    <sheet name="13. sz. melléklet" sheetId="16" r:id="rId16"/>
    <sheet name="14. sz. melléklet" sheetId="17" r:id="rId17"/>
    <sheet name="15. sz. melléklet" sheetId="18" r:id="rId18"/>
    <sheet name="16. sz. melléklet" sheetId="19" r:id="rId19"/>
    <sheet name="17. sz. melléklet" sheetId="20" r:id="rId20"/>
    <sheet name="18. sz. mellékle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c" localSheetId="8">#REF!</definedName>
    <definedName name="c">#REF!</definedName>
    <definedName name="Excel_BuiltIn__FilterDatabase_5" localSheetId="0">#REF!</definedName>
    <definedName name="Excel_BuiltIn__FilterDatabase_5" localSheetId="12">#REF!</definedName>
    <definedName name="Excel_BuiltIn__FilterDatabase_5" localSheetId="13">'[8]4. sz. melléklet'!#REF!</definedName>
    <definedName name="Excel_BuiltIn__FilterDatabase_5" localSheetId="14">'[8]4. sz. melléklet'!#REF!</definedName>
    <definedName name="Excel_BuiltIn__FilterDatabase_5" localSheetId="15">#REF!</definedName>
    <definedName name="Excel_BuiltIn__FilterDatabase_5" localSheetId="18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7">'5.sz. melléklet-Közös Hivatal'!#REF!</definedName>
    <definedName name="Excel_BuiltIn__FilterDatabase_5" localSheetId="6">'5.sz. melléklet-Közterület'!#REF!</definedName>
    <definedName name="Excel_BuiltIn__FilterDatabase_5" localSheetId="4">'5.sz. melléklet-Önkormányzat'!#REF!</definedName>
    <definedName name="Excel_BuiltIn__FilterDatabase_5" localSheetId="5">'5.sz. melléklet-Polg.Hiv.'!#REF!</definedName>
    <definedName name="Excel_BuiltIn__FilterDatabase_5" localSheetId="8">#REF!</definedName>
    <definedName name="Excel_BuiltIn__FilterDatabase_5" localSheetId="9">#REF!</definedName>
    <definedName name="Excel_BuiltIn__FilterDatabase_5" localSheetId="10">'[8]4. sz. melléklet'!#REF!</definedName>
    <definedName name="Excel_BuiltIn__FilterDatabase_5" localSheetId="11">'[8]4. sz. melléklet'!#REF!</definedName>
    <definedName name="Excel_BuiltIn__FilterDatabase_5">#REF!</definedName>
    <definedName name="Excel_BuiltIn__FilterDatabase_5_1" localSheetId="15">'[2]4. sz. melléklet'!#REF!</definedName>
    <definedName name="Excel_BuiltIn__FilterDatabase_5_1" localSheetId="4">'[2]4. sz. melléklet'!#REF!</definedName>
    <definedName name="Excel_BuiltIn__FilterDatabase_5_1" localSheetId="8">'[2]4. sz. melléklet'!#REF!</definedName>
    <definedName name="Excel_BuiltIn__FilterDatabase_5_1" localSheetId="9">'[2]4.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8">'[4]4. sz. melléklet'!#REF!</definedName>
    <definedName name="Excel_BuiltIn__FilterDatabase_5_11" localSheetId="9">'[4]4. sz. melléklet'!#REF!</definedName>
    <definedName name="Excel_BuiltIn__FilterDatabase_5_11">'[4]4. sz. melléklet'!#REF!</definedName>
    <definedName name="Excel_BuiltIn__FilterDatabase_5_12" localSheetId="8">'[4]4. sz. melléklet'!#REF!</definedName>
    <definedName name="Excel_BuiltIn__FilterDatabase_5_12" localSheetId="9">'[4]4. sz. melléklet'!#REF!</definedName>
    <definedName name="Excel_BuiltIn__FilterDatabase_5_12">'[4]4. sz. melléklet'!#REF!</definedName>
    <definedName name="Excel_BuiltIn__FilterDatabase_5_13" localSheetId="0">#REF!</definedName>
    <definedName name="Excel_BuiltIn__FilterDatabase_5_13" localSheetId="12">#REF!</definedName>
    <definedName name="Excel_BuiltIn__FilterDatabase_5_13" localSheetId="13">#REF!</definedName>
    <definedName name="Excel_BuiltIn__FilterDatabase_5_13" localSheetId="14">#REF!</definedName>
    <definedName name="Excel_BuiltIn__FilterDatabase_5_13" localSheetId="15">#REF!</definedName>
    <definedName name="Excel_BuiltIn__FilterDatabase_5_13" localSheetId="18">#REF!</definedName>
    <definedName name="Excel_BuiltIn__FilterDatabase_5_13" localSheetId="1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7">#REF!</definedName>
    <definedName name="Excel_BuiltIn__FilterDatabase_5_13" localSheetId="6">#REF!</definedName>
    <definedName name="Excel_BuiltIn__FilterDatabase_5_13" localSheetId="4">#REF!</definedName>
    <definedName name="Excel_BuiltIn__FilterDatabase_5_13" localSheetId="5">#REF!</definedName>
    <definedName name="Excel_BuiltIn__FilterDatabase_5_13" localSheetId="8">#REF!</definedName>
    <definedName name="Excel_BuiltIn__FilterDatabase_5_13" localSheetId="9">#REF!</definedName>
    <definedName name="Excel_BuiltIn__FilterDatabase_5_13" localSheetId="10">#REF!</definedName>
    <definedName name="Excel_BuiltIn__FilterDatabase_5_13" localSheetId="11">#REF!</definedName>
    <definedName name="Excel_BuiltIn__FilterDatabase_5_13">#REF!</definedName>
    <definedName name="Excel_BuiltIn__FilterDatabase_5_15" localSheetId="8">'[5]4. sz. melléklet'!#REF!</definedName>
    <definedName name="Excel_BuiltIn__FilterDatabase_5_15" localSheetId="9">'[5]4. sz. melléklet'!#REF!</definedName>
    <definedName name="Excel_BuiltIn__FilterDatabase_5_15">'[5]4. sz. melléklet'!#REF!</definedName>
    <definedName name="Excel_BuiltIn__FilterDatabase_5_17" localSheetId="0">#REF!</definedName>
    <definedName name="Excel_BuiltIn__FilterDatabase_5_17" localSheetId="12">#REF!</definedName>
    <definedName name="Excel_BuiltIn__FilterDatabase_5_17" localSheetId="13">#REF!</definedName>
    <definedName name="Excel_BuiltIn__FilterDatabase_5_17" localSheetId="14">#REF!</definedName>
    <definedName name="Excel_BuiltIn__FilterDatabase_5_17" localSheetId="15">#REF!</definedName>
    <definedName name="Excel_BuiltIn__FilterDatabase_5_17" localSheetId="18">#REF!</definedName>
    <definedName name="Excel_BuiltIn__FilterDatabase_5_17" localSheetId="1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7">#REF!</definedName>
    <definedName name="Excel_BuiltIn__FilterDatabase_5_17" localSheetId="6">#REF!</definedName>
    <definedName name="Excel_BuiltIn__FilterDatabase_5_17" localSheetId="4">#REF!</definedName>
    <definedName name="Excel_BuiltIn__FilterDatabase_5_17" localSheetId="5">#REF!</definedName>
    <definedName name="Excel_BuiltIn__FilterDatabase_5_17" localSheetId="8">#REF!</definedName>
    <definedName name="Excel_BuiltIn__FilterDatabase_5_17" localSheetId="9">#REF!</definedName>
    <definedName name="Excel_BuiltIn__FilterDatabase_5_17" localSheetId="10">#REF!</definedName>
    <definedName name="Excel_BuiltIn__FilterDatabase_5_17" localSheetId="11">#REF!</definedName>
    <definedName name="Excel_BuiltIn__FilterDatabase_5_17">#REF!</definedName>
    <definedName name="Excel_BuiltIn__FilterDatabase_5_5" localSheetId="8">'[3]4.A sz. melléklet'!#REF!</definedName>
    <definedName name="Excel_BuiltIn__FilterDatabase_5_5" localSheetId="9">'[3]4.A sz. melléklet'!#REF!</definedName>
    <definedName name="Excel_BuiltIn__FilterDatabase_5_5">'[3]4.A sz. melléklet'!#REF!</definedName>
    <definedName name="Excel_BuiltIn__FilterDatabase_5_6" localSheetId="8">'[3]4.B-C. sz. melléklet'!#REF!</definedName>
    <definedName name="Excel_BuiltIn__FilterDatabase_5_6" localSheetId="9">'[3]4.B-C. sz. melléklet'!#REF!</definedName>
    <definedName name="Excel_BuiltIn__FilterDatabase_5_6">'[3]4.B-C. sz. melléklet'!#REF!</definedName>
    <definedName name="Excel_BuiltIn__FilterDatabase_5_7">NA()</definedName>
    <definedName name="Excel_BuiltIn__FilterDatabase_5_8" localSheetId="8">'[4]4. sz. melléklet'!#REF!</definedName>
    <definedName name="Excel_BuiltIn__FilterDatabase_5_8" localSheetId="9">'[4]4. sz. melléklet'!#REF!</definedName>
    <definedName name="Excel_BuiltIn__FilterDatabase_5_8">'[4]4. sz. melléklet'!#REF!</definedName>
    <definedName name="Excel_BuiltIn__FilterDatabase_5_9" localSheetId="8">'[4]4. sz. melléklet'!#REF!</definedName>
    <definedName name="Excel_BuiltIn__FilterDatabase_5_9" localSheetId="9">'[4]4. sz. melléklet'!#REF!</definedName>
    <definedName name="Excel_BuiltIn__FilterDatabase_5_9">'[4]4. sz. melléklet'!#REF!</definedName>
    <definedName name="Excel_BuiltIn_Print_Area_1" localSheetId="0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8">'16. sz. melléklet'!#REF!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7">#REF!</definedName>
    <definedName name="Excel_BuiltIn_Print_Area_1" localSheetId="6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>#REF!</definedName>
    <definedName name="Excel_BuiltIn_Print_Area_1_1">NA()</definedName>
    <definedName name="Excel_BuiltIn_Print_Area_1_15" localSheetId="0">#REF!</definedName>
    <definedName name="Excel_BuiltIn_Print_Area_1_15" localSheetId="12">#REF!</definedName>
    <definedName name="Excel_BuiltIn_Print_Area_1_15" localSheetId="13">#REF!</definedName>
    <definedName name="Excel_BuiltIn_Print_Area_1_15" localSheetId="14">#REF!</definedName>
    <definedName name="Excel_BuiltIn_Print_Area_1_15" localSheetId="15">#REF!</definedName>
    <definedName name="Excel_BuiltIn_Print_Area_1_15" localSheetId="18">#REF!</definedName>
    <definedName name="Excel_BuiltIn_Print_Area_1_15" localSheetId="1">#REF!</definedName>
    <definedName name="Excel_BuiltIn_Print_Area_1_15" localSheetId="2">#REF!</definedName>
    <definedName name="Excel_BuiltIn_Print_Area_1_15" localSheetId="3">#REF!</definedName>
    <definedName name="Excel_BuiltIn_Print_Area_1_15" localSheetId="7">#REF!</definedName>
    <definedName name="Excel_BuiltIn_Print_Area_1_15" localSheetId="6">#REF!</definedName>
    <definedName name="Excel_BuiltIn_Print_Area_1_15" localSheetId="4">#REF!</definedName>
    <definedName name="Excel_BuiltIn_Print_Area_1_15" localSheetId="5">#REF!</definedName>
    <definedName name="Excel_BuiltIn_Print_Area_1_15" localSheetId="8">#REF!</definedName>
    <definedName name="Excel_BuiltIn_Print_Area_1_15" localSheetId="9">#REF!</definedName>
    <definedName name="Excel_BuiltIn_Print_Area_1_15" localSheetId="10">#REF!</definedName>
    <definedName name="Excel_BuiltIn_Print_Area_1_15" localSheetId="11">#REF!</definedName>
    <definedName name="Excel_BuiltIn_Print_Area_1_15">#REF!</definedName>
    <definedName name="Excel_BuiltIn_Print_Area_1_21" localSheetId="8">'[3]18.'!#REF!</definedName>
    <definedName name="Excel_BuiltIn_Print_Area_1_21" localSheetId="9">'[3]18.'!#REF!</definedName>
    <definedName name="Excel_BuiltIn_Print_Area_1_21">'[3]18.'!#REF!</definedName>
    <definedName name="Excel_BuiltIn_Print_Area_1_22" localSheetId="8">'[3]19.'!#REF!</definedName>
    <definedName name="Excel_BuiltIn_Print_Area_1_22" localSheetId="9">'[3]19.'!#REF!</definedName>
    <definedName name="Excel_BuiltIn_Print_Area_1_22">'[3]19.'!#REF!</definedName>
    <definedName name="Excel_BuiltIn_Print_Area_2" localSheetId="0">#REF!</definedName>
    <definedName name="Excel_BuiltIn_Print_Area_2" localSheetId="12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8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7">#REF!</definedName>
    <definedName name="Excel_BuiltIn_Print_Area_2" localSheetId="6">#REF!</definedName>
    <definedName name="Excel_BuiltIn_Print_Area_2" localSheetId="4">#REF!</definedName>
    <definedName name="Excel_BuiltIn_Print_Area_2" localSheetId="5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>#REF!</definedName>
    <definedName name="Excel_BuiltIn_Print_Area_21" localSheetId="0">#REF!</definedName>
    <definedName name="Excel_BuiltIn_Print_Area_21" localSheetId="12">#REF!</definedName>
    <definedName name="Excel_BuiltIn_Print_Area_21" localSheetId="13">#REF!</definedName>
    <definedName name="Excel_BuiltIn_Print_Area_21" localSheetId="14">#REF!</definedName>
    <definedName name="Excel_BuiltIn_Print_Area_21" localSheetId="15">#REF!</definedName>
    <definedName name="Excel_BuiltIn_Print_Area_21" localSheetId="18">#REF!</definedName>
    <definedName name="Excel_BuiltIn_Print_Area_21" localSheetId="1">#REF!</definedName>
    <definedName name="Excel_BuiltIn_Print_Area_21" localSheetId="2">#REF!</definedName>
    <definedName name="Excel_BuiltIn_Print_Area_21" localSheetId="3">#REF!</definedName>
    <definedName name="Excel_BuiltIn_Print_Area_21" localSheetId="7">#REF!</definedName>
    <definedName name="Excel_BuiltIn_Print_Area_21" localSheetId="6">#REF!</definedName>
    <definedName name="Excel_BuiltIn_Print_Area_21" localSheetId="4">#REF!</definedName>
    <definedName name="Excel_BuiltIn_Print_Area_21" localSheetId="5">#REF!</definedName>
    <definedName name="Excel_BuiltIn_Print_Area_21" localSheetId="8">#REF!</definedName>
    <definedName name="Excel_BuiltIn_Print_Area_21" localSheetId="9">#REF!</definedName>
    <definedName name="Excel_BuiltIn_Print_Area_21" localSheetId="10">#REF!</definedName>
    <definedName name="Excel_BuiltIn_Print_Area_21" localSheetId="11">#REF!</definedName>
    <definedName name="Excel_BuiltIn_Print_Area_21">#REF!</definedName>
    <definedName name="Excel_BuiltIn_Print_Area_2_1" localSheetId="8">#REF!</definedName>
    <definedName name="Excel_BuiltIn_Print_Area_2_1">#REF!</definedName>
    <definedName name="Excel_BuiltIn_Print_Area_2_15" localSheetId="0">#REF!</definedName>
    <definedName name="Excel_BuiltIn_Print_Area_2_15" localSheetId="12">#REF!</definedName>
    <definedName name="Excel_BuiltIn_Print_Area_2_15" localSheetId="13">#REF!</definedName>
    <definedName name="Excel_BuiltIn_Print_Area_2_15" localSheetId="14">#REF!</definedName>
    <definedName name="Excel_BuiltIn_Print_Area_2_15" localSheetId="15">#REF!</definedName>
    <definedName name="Excel_BuiltIn_Print_Area_2_15" localSheetId="18">#REF!</definedName>
    <definedName name="Excel_BuiltIn_Print_Area_2_15" localSheetId="1">#REF!</definedName>
    <definedName name="Excel_BuiltIn_Print_Area_2_15" localSheetId="2">#REF!</definedName>
    <definedName name="Excel_BuiltIn_Print_Area_2_15" localSheetId="3">#REF!</definedName>
    <definedName name="Excel_BuiltIn_Print_Area_2_15" localSheetId="7">#REF!</definedName>
    <definedName name="Excel_BuiltIn_Print_Area_2_15" localSheetId="6">#REF!</definedName>
    <definedName name="Excel_BuiltIn_Print_Area_2_15" localSheetId="4">#REF!</definedName>
    <definedName name="Excel_BuiltIn_Print_Area_2_15" localSheetId="5">#REF!</definedName>
    <definedName name="Excel_BuiltIn_Print_Area_2_15" localSheetId="8">#REF!</definedName>
    <definedName name="Excel_BuiltIn_Print_Area_2_15" localSheetId="9">#REF!</definedName>
    <definedName name="Excel_BuiltIn_Print_Area_2_15" localSheetId="10">#REF!</definedName>
    <definedName name="Excel_BuiltIn_Print_Area_2_15" localSheetId="11">#REF!</definedName>
    <definedName name="Excel_BuiltIn_Print_Area_2_15">#REF!</definedName>
    <definedName name="Excel_BuiltIn_Print_Area_2_5" localSheetId="0">#REF!</definedName>
    <definedName name="Excel_BuiltIn_Print_Area_2_5" localSheetId="12">#REF!</definedName>
    <definedName name="Excel_BuiltIn_Print_Area_2_5" localSheetId="13">#REF!</definedName>
    <definedName name="Excel_BuiltIn_Print_Area_2_5" localSheetId="14">#REF!</definedName>
    <definedName name="Excel_BuiltIn_Print_Area_2_5" localSheetId="15">#REF!</definedName>
    <definedName name="Excel_BuiltIn_Print_Area_2_5" localSheetId="18">#REF!</definedName>
    <definedName name="Excel_BuiltIn_Print_Area_2_5" localSheetId="1">#REF!</definedName>
    <definedName name="Excel_BuiltIn_Print_Area_2_5" localSheetId="2">#REF!</definedName>
    <definedName name="Excel_BuiltIn_Print_Area_2_5" localSheetId="3">#REF!</definedName>
    <definedName name="Excel_BuiltIn_Print_Area_2_5" localSheetId="7">#REF!</definedName>
    <definedName name="Excel_BuiltIn_Print_Area_2_5" localSheetId="6">#REF!</definedName>
    <definedName name="Excel_BuiltIn_Print_Area_2_5" localSheetId="4">#REF!</definedName>
    <definedName name="Excel_BuiltIn_Print_Area_2_5" localSheetId="5">#REF!</definedName>
    <definedName name="Excel_BuiltIn_Print_Area_2_5" localSheetId="8">#REF!</definedName>
    <definedName name="Excel_BuiltIn_Print_Area_2_5" localSheetId="9">#REF!</definedName>
    <definedName name="Excel_BuiltIn_Print_Area_2_5" localSheetId="10">#REF!</definedName>
    <definedName name="Excel_BuiltIn_Print_Area_2_5" localSheetId="11">#REF!</definedName>
    <definedName name="Excel_BuiltIn_Print_Area_2_5">#REF!</definedName>
    <definedName name="Excel_BuiltIn_Print_Area_2_6" localSheetId="0">#REF!</definedName>
    <definedName name="Excel_BuiltIn_Print_Area_2_6" localSheetId="12">#REF!</definedName>
    <definedName name="Excel_BuiltIn_Print_Area_2_6" localSheetId="13">#REF!</definedName>
    <definedName name="Excel_BuiltIn_Print_Area_2_6" localSheetId="14">#REF!</definedName>
    <definedName name="Excel_BuiltIn_Print_Area_2_6" localSheetId="15">#REF!</definedName>
    <definedName name="Excel_BuiltIn_Print_Area_2_6" localSheetId="18">#REF!</definedName>
    <definedName name="Excel_BuiltIn_Print_Area_2_6" localSheetId="1">#REF!</definedName>
    <definedName name="Excel_BuiltIn_Print_Area_2_6" localSheetId="2">#REF!</definedName>
    <definedName name="Excel_BuiltIn_Print_Area_2_6" localSheetId="3">#REF!</definedName>
    <definedName name="Excel_BuiltIn_Print_Area_2_6" localSheetId="7">#REF!</definedName>
    <definedName name="Excel_BuiltIn_Print_Area_2_6" localSheetId="6">#REF!</definedName>
    <definedName name="Excel_BuiltIn_Print_Area_2_6" localSheetId="4">#REF!</definedName>
    <definedName name="Excel_BuiltIn_Print_Area_2_6" localSheetId="5">#REF!</definedName>
    <definedName name="Excel_BuiltIn_Print_Area_2_6" localSheetId="8">#REF!</definedName>
    <definedName name="Excel_BuiltIn_Print_Area_2_6" localSheetId="9">#REF!</definedName>
    <definedName name="Excel_BuiltIn_Print_Area_2_6" localSheetId="10">#REF!</definedName>
    <definedName name="Excel_BuiltIn_Print_Area_2_6" localSheetId="11">#REF!</definedName>
    <definedName name="Excel_BuiltIn_Print_Area_2_6">#REF!</definedName>
    <definedName name="Excel_BuiltIn_Print_Titles_6" localSheetId="8">'[3]4.B-C. sz. melléklet'!#REF!</definedName>
    <definedName name="Excel_BuiltIn_Print_Titles_6" localSheetId="9">'[3]4.B-C. sz. melléklet'!#REF!</definedName>
    <definedName name="Excel_BuiltIn_Print_Titles_6">'[3]4.B-C. sz. melléklet'!#REF!</definedName>
    <definedName name="fff" localSheetId="8">#REF!</definedName>
    <definedName name="fff">#REF!</definedName>
    <definedName name="_xlnm.Print_Titles" localSheetId="4">'5.sz. melléklet-Önkormányzat'!$6:$8</definedName>
    <definedName name="_xlnm.Print_Titles" localSheetId="5">'5.sz. melléklet-Polg.Hiv.'!$4:$6</definedName>
    <definedName name="_xlnm.Print_Titles" localSheetId="8">'6.sz. melléklet'!$3:$4</definedName>
    <definedName name="_xlnm.Print_Titles" localSheetId="10">'8. sz. melléklet'!$100:$102</definedName>
    <definedName name="_xlnm.Print_Area" localSheetId="12">'10. sz. melléklet'!$A$1:$G$88</definedName>
    <definedName name="_xlnm.Print_Area" localSheetId="13">'11. sz. melléklet'!$A$1:$D$129</definedName>
    <definedName name="_xlnm.Print_Area" localSheetId="14">'12. sz. melléklet'!$A$1:$D$138</definedName>
    <definedName name="_xlnm.Print_Area" localSheetId="15">'13. sz. melléklet'!$A$1:$D$51</definedName>
    <definedName name="_xlnm.Print_Area" localSheetId="1">'2. sz. melléklet'!$A$1:$H$69</definedName>
    <definedName name="_xlnm.Print_Area" localSheetId="2">'3. sz. melléklet'!$A$1:$U$60</definedName>
    <definedName name="_xlnm.Print_Area" localSheetId="3">'4.sz. melléklet'!$A$1:$W$48</definedName>
    <definedName name="_xlnm.Print_Area" localSheetId="7">'5.sz. melléklet-Közös Hivatal'!$A$1:$O$136</definedName>
    <definedName name="_xlnm.Print_Area" localSheetId="6">'5.sz. melléklet-Közterület'!$A$1:$O$27</definedName>
    <definedName name="_xlnm.Print_Area" localSheetId="4">'5.sz. melléklet-Önkormányzat'!$A$1:$P$288</definedName>
    <definedName name="_xlnm.Print_Area" localSheetId="5">'5.sz. melléklet-Polg.Hiv.'!$A$1:$O$85</definedName>
    <definedName name="_xlnm.Print_Area" localSheetId="8">'6.sz. melléklet'!$A$1:$AF$205</definedName>
    <definedName name="_xlnm.Print_Area" localSheetId="9">'7. sz.  melléklet'!$A$1:$O$52</definedName>
    <definedName name="_xlnm.Print_Area" localSheetId="10">'8. sz. melléklet'!$A$1:$D$147</definedName>
    <definedName name="_xlnm.Print_Area" localSheetId="11">'9. sz. melléklet'!$A$1:$D$76</definedName>
    <definedName name="SHARED_FORMULA_1_10_1_10_2" localSheetId="18">SUM(#REF!,#REF!,#REF!,#REF!,#REF!,#REF!)</definedName>
    <definedName name="SHARED_FORMULA_1_10_1_10_2" localSheetId="8">SUM(#REF!,#REF!,#REF!,#REF!,#REF!,#REF!)</definedName>
    <definedName name="SHARED_FORMULA_1_10_1_10_2" localSheetId="10">SUM(#REF!,#REF!,#REF!,#REF!,#REF!,#REF!)</definedName>
    <definedName name="SHARED_FORMULA_1_10_1_10_2" localSheetId="11">SUM(#REF!,#REF!,#REF!,#REF!,#REF!,#REF!)</definedName>
    <definedName name="SHARED_FORMULA_1_10_1_10_2">SUM(#REF!,#REF!,#REF!,#REF!,#REF!,#REF!)</definedName>
    <definedName name="SHARED_FORMULA_1_26_1_26_2" localSheetId="18">SUM(#REF!,#REF!,#REF!)</definedName>
    <definedName name="SHARED_FORMULA_1_26_1_26_2" localSheetId="8">SUM(#REF!,#REF!,#REF!)</definedName>
    <definedName name="SHARED_FORMULA_1_26_1_26_2" localSheetId="10">SUM(#REF!,#REF!,#REF!)</definedName>
    <definedName name="SHARED_FORMULA_1_26_1_26_2" localSheetId="11">SUM(#REF!,#REF!,#REF!)</definedName>
    <definedName name="SHARED_FORMULA_1_26_1_26_2">SUM(#REF!,#REF!,#REF!)</definedName>
    <definedName name="SHARED_FORMULA_1_38_1_38_8" localSheetId="18">SUM(#REF!)</definedName>
    <definedName name="SHARED_FORMULA_1_38_1_38_8" localSheetId="8">SUM(#REF!)</definedName>
    <definedName name="SHARED_FORMULA_1_38_1_38_8" localSheetId="10">SUM(#REF!)</definedName>
    <definedName name="SHARED_FORMULA_1_38_1_38_8" localSheetId="11">SUM(#REF!)</definedName>
    <definedName name="SHARED_FORMULA_1_38_1_38_8">SUM(#REF!)</definedName>
    <definedName name="SHARED_FORMULA_1_42_1_42_8" localSheetId="18">SUM(#REF!,#REF!)</definedName>
    <definedName name="SHARED_FORMULA_1_42_1_42_8" localSheetId="8">SUM(#REF!,#REF!)</definedName>
    <definedName name="SHARED_FORMULA_1_42_1_42_8" localSheetId="10">SUM(#REF!,#REF!)</definedName>
    <definedName name="SHARED_FORMULA_1_42_1_42_8" localSheetId="11">SUM(#REF!,#REF!)</definedName>
    <definedName name="SHARED_FORMULA_1_42_1_42_8">SUM(#REF!,#REF!)</definedName>
    <definedName name="SHARED_FORMULA_10_41_10_41_2" localSheetId="18">SUM(#REF!+#REF!+#REF!)</definedName>
    <definedName name="SHARED_FORMULA_10_41_10_41_2" localSheetId="8">SUM(#REF!+#REF!+#REF!)</definedName>
    <definedName name="SHARED_FORMULA_10_41_10_41_2" localSheetId="10">SUM(#REF!+#REF!+#REF!)</definedName>
    <definedName name="SHARED_FORMULA_10_41_10_41_2" localSheetId="11">SUM(#REF!+#REF!+#REF!)</definedName>
    <definedName name="SHARED_FORMULA_10_41_10_41_2">SUM(#REF!+#REF!+#REF!)</definedName>
    <definedName name="SHARED_FORMULA_10_5_10_5_2" localSheetId="18">SUM(#REF!+#REF!+#REF!)</definedName>
    <definedName name="SHARED_FORMULA_10_5_10_5_2" localSheetId="8">SUM(#REF!+#REF!+#REF!)</definedName>
    <definedName name="SHARED_FORMULA_10_5_10_5_2" localSheetId="10">SUM(#REF!+#REF!+#REF!)</definedName>
    <definedName name="SHARED_FORMULA_10_5_10_5_2" localSheetId="11">SUM(#REF!+#REF!+#REF!)</definedName>
    <definedName name="SHARED_FORMULA_10_5_10_5_2">SUM(#REF!+#REF!+#REF!)</definedName>
    <definedName name="SHARED_FORMULA_11_40_11_40_2" localSheetId="18">SUM(#REF!+#REF!+#REF!)</definedName>
    <definedName name="SHARED_FORMULA_11_40_11_40_2" localSheetId="8">SUM(#REF!+#REF!+#REF!)</definedName>
    <definedName name="SHARED_FORMULA_11_40_11_40_2" localSheetId="10">SUM(#REF!+#REF!+#REF!)</definedName>
    <definedName name="SHARED_FORMULA_11_40_11_40_2" localSheetId="11">SUM(#REF!+#REF!+#REF!)</definedName>
    <definedName name="SHARED_FORMULA_11_40_11_40_2">SUM(#REF!+#REF!+#REF!)</definedName>
    <definedName name="SHARED_FORMULA_11_5_11_5_2" localSheetId="18">SUM(#REF!+#REF!+#REF!)</definedName>
    <definedName name="SHARED_FORMULA_11_5_11_5_2" localSheetId="8">SUM(#REF!+#REF!+#REF!)</definedName>
    <definedName name="SHARED_FORMULA_11_5_11_5_2" localSheetId="10">SUM(#REF!+#REF!+#REF!)</definedName>
    <definedName name="SHARED_FORMULA_11_5_11_5_2" localSheetId="11">SUM(#REF!+#REF!+#REF!)</definedName>
    <definedName name="SHARED_FORMULA_11_5_11_5_2">SUM(#REF!+#REF!+#REF!)</definedName>
    <definedName name="SHARED_FORMULA_12_13_12_13_3" localSheetId="18">SUM(#REF!+#REF!+#REF!)</definedName>
    <definedName name="SHARED_FORMULA_12_13_12_13_3" localSheetId="8">SUM(#REF!+#REF!+#REF!)</definedName>
    <definedName name="SHARED_FORMULA_12_13_12_13_3" localSheetId="10">SUM(#REF!+#REF!+#REF!)</definedName>
    <definedName name="SHARED_FORMULA_12_13_12_13_3" localSheetId="11">SUM(#REF!+#REF!+#REF!)</definedName>
    <definedName name="SHARED_FORMULA_12_13_12_13_3">SUM(#REF!+#REF!+#REF!)</definedName>
    <definedName name="SHARED_FORMULA_12_133_12_133_5" localSheetId="18">SUM(#REF!)-#REF!-#REF!-#REF!</definedName>
    <definedName name="SHARED_FORMULA_12_133_12_133_5" localSheetId="8">SUM(#REF!)-#REF!-#REF!-#REF!</definedName>
    <definedName name="SHARED_FORMULA_12_133_12_133_5" localSheetId="10">SUM(#REF!)-#REF!-#REF!-#REF!</definedName>
    <definedName name="SHARED_FORMULA_12_133_12_133_5" localSheetId="11">SUM(#REF!)-#REF!-#REF!-#REF!</definedName>
    <definedName name="SHARED_FORMULA_12_133_12_133_5">SUM(#REF!)-#REF!-#REF!-#REF!</definedName>
    <definedName name="SHARED_FORMULA_12_40_12_40_2" localSheetId="18">SUM(#REF!+#REF!+#REF!)</definedName>
    <definedName name="SHARED_FORMULA_12_40_12_40_2" localSheetId="8">SUM(#REF!+#REF!+#REF!)</definedName>
    <definedName name="SHARED_FORMULA_12_40_12_40_2" localSheetId="10">SUM(#REF!+#REF!+#REF!)</definedName>
    <definedName name="SHARED_FORMULA_12_40_12_40_2" localSheetId="11">SUM(#REF!+#REF!+#REF!)</definedName>
    <definedName name="SHARED_FORMULA_12_40_12_40_2">SUM(#REF!+#REF!+#REF!)</definedName>
    <definedName name="SHARED_FORMULA_12_5_12_5_2" localSheetId="18">SUM(#REF!+#REF!+#REF!)</definedName>
    <definedName name="SHARED_FORMULA_12_5_12_5_2" localSheetId="8">SUM(#REF!+#REF!+#REF!)</definedName>
    <definedName name="SHARED_FORMULA_12_5_12_5_2" localSheetId="10">SUM(#REF!+#REF!+#REF!)</definedName>
    <definedName name="SHARED_FORMULA_12_5_12_5_2" localSheetId="11">SUM(#REF!+#REF!+#REF!)</definedName>
    <definedName name="SHARED_FORMULA_12_5_12_5_2">SUM(#REF!+#REF!+#REF!)</definedName>
    <definedName name="SHARED_FORMULA_12_5_12_5_3" localSheetId="18">SUM(#REF!+#REF!+#REF!)</definedName>
    <definedName name="SHARED_FORMULA_12_5_12_5_3" localSheetId="8">SUM(#REF!+#REF!+#REF!)</definedName>
    <definedName name="SHARED_FORMULA_12_5_12_5_3" localSheetId="10">SUM(#REF!+#REF!+#REF!)</definedName>
    <definedName name="SHARED_FORMULA_12_5_12_5_3" localSheetId="11">SUM(#REF!+#REF!+#REF!)</definedName>
    <definedName name="SHARED_FORMULA_12_5_12_5_3">SUM(#REF!+#REF!+#REF!)</definedName>
    <definedName name="SHARED_FORMULA_12_6_12_6_0" localSheetId="18">#REF!/#REF!*100</definedName>
    <definedName name="SHARED_FORMULA_12_6_12_6_0" localSheetId="8">#REF!/#REF!*100</definedName>
    <definedName name="SHARED_FORMULA_12_6_12_6_0" localSheetId="10">#REF!/#REF!*100</definedName>
    <definedName name="SHARED_FORMULA_12_6_12_6_0" localSheetId="11">#REF!/#REF!*100</definedName>
    <definedName name="SHARED_FORMULA_12_6_12_6_0">#REF!/#REF!*100</definedName>
    <definedName name="SHARED_FORMULA_13_105_13_105_5" localSheetId="18">SUM(#REF!)-#REF!</definedName>
    <definedName name="SHARED_FORMULA_13_105_13_105_5" localSheetId="8">SUM(#REF!)-#REF!</definedName>
    <definedName name="SHARED_FORMULA_13_105_13_105_5" localSheetId="10">SUM(#REF!)-#REF!</definedName>
    <definedName name="SHARED_FORMULA_13_105_13_105_5" localSheetId="11">SUM(#REF!)-#REF!</definedName>
    <definedName name="SHARED_FORMULA_13_105_13_105_5">SUM(#REF!)-#REF!</definedName>
    <definedName name="SHARED_FORMULA_13_3_13_3_5" localSheetId="18">SUM(#REF!)-#REF!</definedName>
    <definedName name="SHARED_FORMULA_13_3_13_3_5" localSheetId="8">SUM(#REF!)-#REF!</definedName>
    <definedName name="SHARED_FORMULA_13_3_13_3_5" localSheetId="10">SUM(#REF!)-#REF!</definedName>
    <definedName name="SHARED_FORMULA_13_3_13_3_5" localSheetId="11">SUM(#REF!)-#REF!</definedName>
    <definedName name="SHARED_FORMULA_13_3_13_3_5">SUM(#REF!)-#REF!</definedName>
    <definedName name="SHARED_FORMULA_13_41_13_41_5" localSheetId="18">SUM(#REF!)-#REF!</definedName>
    <definedName name="SHARED_FORMULA_13_41_13_41_5" localSheetId="8">SUM(#REF!)-#REF!</definedName>
    <definedName name="SHARED_FORMULA_13_41_13_41_5" localSheetId="10">SUM(#REF!)-#REF!</definedName>
    <definedName name="SHARED_FORMULA_13_41_13_41_5" localSheetId="11">SUM(#REF!)-#REF!</definedName>
    <definedName name="SHARED_FORMULA_13_41_13_41_5">SUM(#REF!)-#REF!</definedName>
    <definedName name="SHARED_FORMULA_13_73_13_73_5" localSheetId="18">SUM(#REF!)-#REF!</definedName>
    <definedName name="SHARED_FORMULA_13_73_13_73_5" localSheetId="8">SUM(#REF!)-#REF!</definedName>
    <definedName name="SHARED_FORMULA_13_73_13_73_5" localSheetId="10">SUM(#REF!)-#REF!</definedName>
    <definedName name="SHARED_FORMULA_13_73_13_73_5" localSheetId="11">SUM(#REF!)-#REF!</definedName>
    <definedName name="SHARED_FORMULA_13_73_13_73_5">SUM(#REF!)-#REF!</definedName>
    <definedName name="SHARED_FORMULA_13_9_13_9_3" localSheetId="18">SUM(#REF!+#REF!+#REF!)</definedName>
    <definedName name="SHARED_FORMULA_13_9_13_9_3" localSheetId="8">SUM(#REF!+#REF!+#REF!)</definedName>
    <definedName name="SHARED_FORMULA_13_9_13_9_3" localSheetId="10">SUM(#REF!+#REF!+#REF!)</definedName>
    <definedName name="SHARED_FORMULA_13_9_13_9_3" localSheetId="11">SUM(#REF!+#REF!+#REF!)</definedName>
    <definedName name="SHARED_FORMULA_13_9_13_9_3">SUM(#REF!+#REF!+#REF!)</definedName>
    <definedName name="SHARED_FORMULA_14_102_14_102_5" localSheetId="18">#REF!</definedName>
    <definedName name="SHARED_FORMULA_14_102_14_102_5" localSheetId="8">#REF!</definedName>
    <definedName name="SHARED_FORMULA_14_102_14_102_5" localSheetId="10">#REF!</definedName>
    <definedName name="SHARED_FORMULA_14_102_14_102_5" localSheetId="11">#REF!</definedName>
    <definedName name="SHARED_FORMULA_14_102_14_102_5">#REF!</definedName>
    <definedName name="SHARED_FORMULA_14_121_14_121_5" localSheetId="18">#REF!+#REF!+#REF!+#REF!</definedName>
    <definedName name="SHARED_FORMULA_14_121_14_121_5" localSheetId="8">#REF!+#REF!+#REF!+#REF!</definedName>
    <definedName name="SHARED_FORMULA_14_121_14_121_5" localSheetId="10">#REF!+#REF!+#REF!+#REF!</definedName>
    <definedName name="SHARED_FORMULA_14_121_14_121_5" localSheetId="11">#REF!+#REF!+#REF!+#REF!</definedName>
    <definedName name="SHARED_FORMULA_14_121_14_121_5">#REF!+#REF!+#REF!+#REF!</definedName>
    <definedName name="SHARED_FORMULA_14_131_14_131_5" localSheetId="18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8">#REF!+#REF!</definedName>
    <definedName name="SHARED_FORMULA_14_150_14_150_5" localSheetId="8">#REF!+#REF!</definedName>
    <definedName name="SHARED_FORMULA_14_150_14_150_5" localSheetId="10">#REF!+#REF!</definedName>
    <definedName name="SHARED_FORMULA_14_150_14_150_5" localSheetId="11">#REF!+#REF!</definedName>
    <definedName name="SHARED_FORMULA_14_150_14_150_5">#REF!+#REF!</definedName>
    <definedName name="SHARED_FORMULA_14_151_14_151_5" localSheetId="18">#REF!-#REF!</definedName>
    <definedName name="SHARED_FORMULA_14_151_14_151_5" localSheetId="8">#REF!-#REF!</definedName>
    <definedName name="SHARED_FORMULA_14_151_14_151_5" localSheetId="10">#REF!-#REF!</definedName>
    <definedName name="SHARED_FORMULA_14_151_14_151_5" localSheetId="11">#REF!-#REF!</definedName>
    <definedName name="SHARED_FORMULA_14_151_14_151_5">#REF!-#REF!</definedName>
    <definedName name="SHARED_FORMULA_14_71_14_71_5" localSheetId="18">#REF!+#REF!+#REF!+#REF!</definedName>
    <definedName name="SHARED_FORMULA_14_71_14_71_5" localSheetId="8">#REF!+#REF!+#REF!+#REF!</definedName>
    <definedName name="SHARED_FORMULA_14_71_14_71_5" localSheetId="10">#REF!+#REF!+#REF!+#REF!</definedName>
    <definedName name="SHARED_FORMULA_14_71_14_71_5" localSheetId="11">#REF!+#REF!+#REF!+#REF!</definedName>
    <definedName name="SHARED_FORMULA_14_71_14_71_5">#REF!+#REF!+#REF!+#REF!</definedName>
    <definedName name="SHARED_FORMULA_14_72_14_72_5" localSheetId="18">#REF!+#REF!+#REF!+#REF!</definedName>
    <definedName name="SHARED_FORMULA_14_72_14_72_5" localSheetId="8">#REF!+#REF!+#REF!+#REF!</definedName>
    <definedName name="SHARED_FORMULA_14_72_14_72_5" localSheetId="10">#REF!+#REF!+#REF!+#REF!</definedName>
    <definedName name="SHARED_FORMULA_14_72_14_72_5" localSheetId="11">#REF!+#REF!+#REF!+#REF!</definedName>
    <definedName name="SHARED_FORMULA_14_72_14_72_5">#REF!+#REF!+#REF!+#REF!</definedName>
    <definedName name="SHARED_FORMULA_14_73_14_73_5" localSheetId="18">#REF!+#REF!+#REF!+#REF!</definedName>
    <definedName name="SHARED_FORMULA_14_73_14_73_5" localSheetId="8">#REF!+#REF!+#REF!+#REF!</definedName>
    <definedName name="SHARED_FORMULA_14_73_14_73_5" localSheetId="10">#REF!+#REF!+#REF!+#REF!</definedName>
    <definedName name="SHARED_FORMULA_14_73_14_73_5" localSheetId="11">#REF!+#REF!+#REF!+#REF!</definedName>
    <definedName name="SHARED_FORMULA_14_73_14_73_5">#REF!+#REF!+#REF!+#REF!</definedName>
    <definedName name="SHARED_FORMULA_14_74_14_74_5" localSheetId="18">#REF!+#REF!+#REF!+#REF!</definedName>
    <definedName name="SHARED_FORMULA_14_74_14_74_5" localSheetId="8">#REF!+#REF!+#REF!+#REF!</definedName>
    <definedName name="SHARED_FORMULA_14_74_14_74_5" localSheetId="10">#REF!+#REF!+#REF!+#REF!</definedName>
    <definedName name="SHARED_FORMULA_14_74_14_74_5" localSheetId="11">#REF!+#REF!+#REF!+#REF!</definedName>
    <definedName name="SHARED_FORMULA_14_74_14_74_5">#REF!+#REF!+#REF!+#REF!</definedName>
    <definedName name="SHARED_FORMULA_14_75_14_75_5" localSheetId="18">#REF!+#REF!+#REF!+#REF!</definedName>
    <definedName name="SHARED_FORMULA_14_75_14_75_5" localSheetId="8">#REF!+#REF!+#REF!+#REF!</definedName>
    <definedName name="SHARED_FORMULA_14_75_14_75_5" localSheetId="10">#REF!+#REF!+#REF!+#REF!</definedName>
    <definedName name="SHARED_FORMULA_14_75_14_75_5" localSheetId="11">#REF!+#REF!+#REF!+#REF!</definedName>
    <definedName name="SHARED_FORMULA_14_75_14_75_5">#REF!+#REF!+#REF!+#REF!</definedName>
    <definedName name="SHARED_FORMULA_14_86_14_86_5" localSheetId="18">#REF!+#REF!</definedName>
    <definedName name="SHARED_FORMULA_14_86_14_86_5" localSheetId="8">#REF!+#REF!</definedName>
    <definedName name="SHARED_FORMULA_14_86_14_86_5" localSheetId="10">#REF!+#REF!</definedName>
    <definedName name="SHARED_FORMULA_14_86_14_86_5" localSheetId="11">#REF!+#REF!</definedName>
    <definedName name="SHARED_FORMULA_14_86_14_86_5">#REF!+#REF!</definedName>
    <definedName name="SHARED_FORMULA_14_9_14_9_3" localSheetId="18">SUM(#REF!+#REF!+#REF!)</definedName>
    <definedName name="SHARED_FORMULA_14_9_14_9_3" localSheetId="8">SUM(#REF!+#REF!+#REF!)</definedName>
    <definedName name="SHARED_FORMULA_14_9_14_9_3" localSheetId="10">SUM(#REF!+#REF!+#REF!)</definedName>
    <definedName name="SHARED_FORMULA_14_9_14_9_3" localSheetId="11">SUM(#REF!+#REF!+#REF!)</definedName>
    <definedName name="SHARED_FORMULA_14_9_14_9_3">SUM(#REF!+#REF!+#REF!)</definedName>
    <definedName name="SHARED_FORMULA_16_112_16_112_5" localSheetId="18">#REF!</definedName>
    <definedName name="SHARED_FORMULA_16_112_16_112_5" localSheetId="8">#REF!</definedName>
    <definedName name="SHARED_FORMULA_16_112_16_112_5" localSheetId="10">#REF!</definedName>
    <definedName name="SHARED_FORMULA_16_112_16_112_5" localSheetId="11">#REF!</definedName>
    <definedName name="SHARED_FORMULA_16_112_16_112_5">#REF!</definedName>
    <definedName name="SHARED_FORMULA_17_108_17_108_5" localSheetId="18">#REF!</definedName>
    <definedName name="SHARED_FORMULA_17_108_17_108_5" localSheetId="8">#REF!</definedName>
    <definedName name="SHARED_FORMULA_17_108_17_108_5" localSheetId="10">#REF!</definedName>
    <definedName name="SHARED_FORMULA_17_108_17_108_5" localSheetId="11">#REF!</definedName>
    <definedName name="SHARED_FORMULA_17_108_17_108_5">#REF!</definedName>
    <definedName name="SHARED_FORMULA_17_117_17_117_5" localSheetId="18">#REF!</definedName>
    <definedName name="SHARED_FORMULA_17_117_17_117_5" localSheetId="8">#REF!</definedName>
    <definedName name="SHARED_FORMULA_17_117_17_117_5" localSheetId="10">#REF!</definedName>
    <definedName name="SHARED_FORMULA_17_117_17_117_5" localSheetId="11">#REF!</definedName>
    <definedName name="SHARED_FORMULA_17_117_17_117_5">#REF!</definedName>
    <definedName name="SHARED_FORMULA_17_127_17_127_5" localSheetId="18">#REF!</definedName>
    <definedName name="SHARED_FORMULA_17_127_17_127_5" localSheetId="8">#REF!</definedName>
    <definedName name="SHARED_FORMULA_17_127_17_127_5" localSheetId="10">#REF!</definedName>
    <definedName name="SHARED_FORMULA_17_127_17_127_5" localSheetId="11">#REF!</definedName>
    <definedName name="SHARED_FORMULA_17_127_17_127_5">#REF!</definedName>
    <definedName name="SHARED_FORMULA_17_22_17_22_5" localSheetId="18">#REF!</definedName>
    <definedName name="SHARED_FORMULA_17_22_17_22_5" localSheetId="8">#REF!</definedName>
    <definedName name="SHARED_FORMULA_17_22_17_22_5" localSheetId="10">#REF!</definedName>
    <definedName name="SHARED_FORMULA_17_22_17_22_5" localSheetId="11">#REF!</definedName>
    <definedName name="SHARED_FORMULA_17_22_17_22_5">#REF!</definedName>
    <definedName name="SHARED_FORMULA_17_27_17_27_5" localSheetId="18">#REF!</definedName>
    <definedName name="SHARED_FORMULA_17_27_17_27_5" localSheetId="8">#REF!</definedName>
    <definedName name="SHARED_FORMULA_17_27_17_27_5" localSheetId="10">#REF!</definedName>
    <definedName name="SHARED_FORMULA_17_27_17_27_5" localSheetId="11">#REF!</definedName>
    <definedName name="SHARED_FORMULA_17_27_17_27_5">#REF!</definedName>
    <definedName name="SHARED_FORMULA_17_32_17_32_5" localSheetId="18">#REF!</definedName>
    <definedName name="SHARED_FORMULA_17_32_17_32_5" localSheetId="8">#REF!</definedName>
    <definedName name="SHARED_FORMULA_17_32_17_32_5" localSheetId="10">#REF!</definedName>
    <definedName name="SHARED_FORMULA_17_32_17_32_5" localSheetId="11">#REF!</definedName>
    <definedName name="SHARED_FORMULA_17_32_17_32_5">#REF!</definedName>
    <definedName name="SHARED_FORMULA_17_37_17_37_5" localSheetId="18">#REF!</definedName>
    <definedName name="SHARED_FORMULA_17_37_17_37_5" localSheetId="8">#REF!</definedName>
    <definedName name="SHARED_FORMULA_17_37_17_37_5" localSheetId="10">#REF!</definedName>
    <definedName name="SHARED_FORMULA_17_37_17_37_5" localSheetId="11">#REF!</definedName>
    <definedName name="SHARED_FORMULA_17_37_17_37_5">#REF!</definedName>
    <definedName name="SHARED_FORMULA_17_4_17_4_5" localSheetId="18">#REF!</definedName>
    <definedName name="SHARED_FORMULA_17_4_17_4_5" localSheetId="8">#REF!</definedName>
    <definedName name="SHARED_FORMULA_17_4_17_4_5" localSheetId="10">#REF!</definedName>
    <definedName name="SHARED_FORMULA_17_4_17_4_5" localSheetId="11">#REF!</definedName>
    <definedName name="SHARED_FORMULA_17_4_17_4_5">#REF!</definedName>
    <definedName name="SHARED_FORMULA_17_43_17_43_5" localSheetId="18">#REF!</definedName>
    <definedName name="SHARED_FORMULA_17_43_17_43_5" localSheetId="8">#REF!</definedName>
    <definedName name="SHARED_FORMULA_17_43_17_43_5" localSheetId="10">#REF!</definedName>
    <definedName name="SHARED_FORMULA_17_43_17_43_5" localSheetId="11">#REF!</definedName>
    <definedName name="SHARED_FORMULA_17_43_17_43_5">#REF!</definedName>
    <definedName name="SHARED_FORMULA_17_47_17_47_5" localSheetId="18">#REF!</definedName>
    <definedName name="SHARED_FORMULA_17_47_17_47_5" localSheetId="8">#REF!</definedName>
    <definedName name="SHARED_FORMULA_17_47_17_47_5" localSheetId="10">#REF!</definedName>
    <definedName name="SHARED_FORMULA_17_47_17_47_5" localSheetId="11">#REF!</definedName>
    <definedName name="SHARED_FORMULA_17_47_17_47_5">#REF!</definedName>
    <definedName name="SHARED_FORMULA_17_52_17_52_5" localSheetId="18">#REF!</definedName>
    <definedName name="SHARED_FORMULA_17_52_17_52_5" localSheetId="8">#REF!</definedName>
    <definedName name="SHARED_FORMULA_17_52_17_52_5" localSheetId="10">#REF!</definedName>
    <definedName name="SHARED_FORMULA_17_52_17_52_5" localSheetId="11">#REF!</definedName>
    <definedName name="SHARED_FORMULA_17_52_17_52_5">#REF!</definedName>
    <definedName name="SHARED_FORMULA_17_57_17_57_5" localSheetId="18">#REF!</definedName>
    <definedName name="SHARED_FORMULA_17_57_17_57_5" localSheetId="8">#REF!</definedName>
    <definedName name="SHARED_FORMULA_17_57_17_57_5" localSheetId="10">#REF!</definedName>
    <definedName name="SHARED_FORMULA_17_57_17_57_5" localSheetId="11">#REF!</definedName>
    <definedName name="SHARED_FORMULA_17_57_17_57_5">#REF!</definedName>
    <definedName name="SHARED_FORMULA_17_62_17_62_5" localSheetId="18">#REF!</definedName>
    <definedName name="SHARED_FORMULA_17_62_17_62_5" localSheetId="8">#REF!</definedName>
    <definedName name="SHARED_FORMULA_17_62_17_62_5" localSheetId="10">#REF!</definedName>
    <definedName name="SHARED_FORMULA_17_62_17_62_5" localSheetId="11">#REF!</definedName>
    <definedName name="SHARED_FORMULA_17_62_17_62_5">#REF!</definedName>
    <definedName name="SHARED_FORMULA_17_67_17_67_5" localSheetId="18">#REF!</definedName>
    <definedName name="SHARED_FORMULA_17_67_17_67_5" localSheetId="8">#REF!</definedName>
    <definedName name="SHARED_FORMULA_17_67_17_67_5" localSheetId="10">#REF!</definedName>
    <definedName name="SHARED_FORMULA_17_67_17_67_5" localSheetId="11">#REF!</definedName>
    <definedName name="SHARED_FORMULA_17_67_17_67_5">#REF!</definedName>
    <definedName name="SHARED_FORMULA_17_77_17_77_5" localSheetId="18">#REF!</definedName>
    <definedName name="SHARED_FORMULA_17_77_17_77_5" localSheetId="8">#REF!</definedName>
    <definedName name="SHARED_FORMULA_17_77_17_77_5" localSheetId="10">#REF!</definedName>
    <definedName name="SHARED_FORMULA_17_77_17_77_5" localSheetId="11">#REF!</definedName>
    <definedName name="SHARED_FORMULA_17_77_17_77_5">#REF!</definedName>
    <definedName name="SHARED_FORMULA_17_82_17_82_5" localSheetId="18">#REF!</definedName>
    <definedName name="SHARED_FORMULA_17_82_17_82_5" localSheetId="8">#REF!</definedName>
    <definedName name="SHARED_FORMULA_17_82_17_82_5" localSheetId="10">#REF!</definedName>
    <definedName name="SHARED_FORMULA_17_82_17_82_5" localSheetId="11">#REF!</definedName>
    <definedName name="SHARED_FORMULA_17_82_17_82_5">#REF!</definedName>
    <definedName name="SHARED_FORMULA_17_9_17_9_5" localSheetId="18">#REF!</definedName>
    <definedName name="SHARED_FORMULA_17_9_17_9_5" localSheetId="8">#REF!</definedName>
    <definedName name="SHARED_FORMULA_17_9_17_9_5" localSheetId="10">#REF!</definedName>
    <definedName name="SHARED_FORMULA_17_9_17_9_5" localSheetId="11">#REF!</definedName>
    <definedName name="SHARED_FORMULA_17_9_17_9_5">#REF!</definedName>
    <definedName name="SHARED_FORMULA_17_92_17_92_5" localSheetId="18">#REF!</definedName>
    <definedName name="SHARED_FORMULA_17_92_17_92_5" localSheetId="8">#REF!</definedName>
    <definedName name="SHARED_FORMULA_17_92_17_92_5" localSheetId="10">#REF!</definedName>
    <definedName name="SHARED_FORMULA_17_92_17_92_5" localSheetId="11">#REF!</definedName>
    <definedName name="SHARED_FORMULA_17_92_17_92_5">#REF!</definedName>
    <definedName name="SHARED_FORMULA_17_97_17_97_5" localSheetId="18">#REF!</definedName>
    <definedName name="SHARED_FORMULA_17_97_17_97_5" localSheetId="8">#REF!</definedName>
    <definedName name="SHARED_FORMULA_17_97_17_97_5" localSheetId="10">#REF!</definedName>
    <definedName name="SHARED_FORMULA_17_97_17_97_5" localSheetId="11">#REF!</definedName>
    <definedName name="SHARED_FORMULA_17_97_17_97_5">#REF!</definedName>
    <definedName name="SHARED_FORMULA_2_102_2_102_5" localSheetId="18">#REF!</definedName>
    <definedName name="SHARED_FORMULA_2_102_2_102_5" localSheetId="8">#REF!</definedName>
    <definedName name="SHARED_FORMULA_2_102_2_102_5" localSheetId="10">#REF!</definedName>
    <definedName name="SHARED_FORMULA_2_102_2_102_5" localSheetId="11">#REF!</definedName>
    <definedName name="SHARED_FORMULA_2_102_2_102_5">#REF!</definedName>
    <definedName name="SHARED_FORMULA_2_107_2_107_5" localSheetId="18">#REF!</definedName>
    <definedName name="SHARED_FORMULA_2_107_2_107_5" localSheetId="8">#REF!</definedName>
    <definedName name="SHARED_FORMULA_2_107_2_107_5" localSheetId="10">#REF!</definedName>
    <definedName name="SHARED_FORMULA_2_107_2_107_5" localSheetId="11">#REF!</definedName>
    <definedName name="SHARED_FORMULA_2_107_2_107_5">#REF!</definedName>
    <definedName name="SHARED_FORMULA_2_112_2_112_5" localSheetId="18">#REF!</definedName>
    <definedName name="SHARED_FORMULA_2_112_2_112_5" localSheetId="8">#REF!</definedName>
    <definedName name="SHARED_FORMULA_2_112_2_112_5" localSheetId="10">#REF!</definedName>
    <definedName name="SHARED_FORMULA_2_112_2_112_5" localSheetId="11">#REF!</definedName>
    <definedName name="SHARED_FORMULA_2_112_2_112_5">#REF!</definedName>
    <definedName name="SHARED_FORMULA_2_121_2_121_5" localSheetId="18">#REF!+#REF!+#REF!+#REF!</definedName>
    <definedName name="SHARED_FORMULA_2_121_2_121_5" localSheetId="8">#REF!+#REF!+#REF!+#REF!</definedName>
    <definedName name="SHARED_FORMULA_2_121_2_121_5" localSheetId="10">#REF!+#REF!+#REF!+#REF!</definedName>
    <definedName name="SHARED_FORMULA_2_121_2_121_5" localSheetId="11">#REF!+#REF!+#REF!+#REF!</definedName>
    <definedName name="SHARED_FORMULA_2_121_2_121_5">#REF!+#REF!+#REF!+#REF!</definedName>
    <definedName name="SHARED_FORMULA_2_122_2_122_5" localSheetId="18">#REF!+#REF!+#REF!+#REF!</definedName>
    <definedName name="SHARED_FORMULA_2_122_2_122_5" localSheetId="8">#REF!+#REF!+#REF!+#REF!</definedName>
    <definedName name="SHARED_FORMULA_2_122_2_122_5" localSheetId="10">#REF!+#REF!+#REF!+#REF!</definedName>
    <definedName name="SHARED_FORMULA_2_122_2_122_5" localSheetId="11">#REF!+#REF!+#REF!+#REF!</definedName>
    <definedName name="SHARED_FORMULA_2_122_2_122_5">#REF!+#REF!+#REF!+#REF!</definedName>
    <definedName name="SHARED_FORMULA_2_123_2_123_5" localSheetId="18">#REF!+#REF!+#REF!+#REF!</definedName>
    <definedName name="SHARED_FORMULA_2_123_2_123_5" localSheetId="8">#REF!+#REF!+#REF!+#REF!</definedName>
    <definedName name="SHARED_FORMULA_2_123_2_123_5" localSheetId="10">#REF!+#REF!+#REF!+#REF!</definedName>
    <definedName name="SHARED_FORMULA_2_123_2_123_5" localSheetId="11">#REF!+#REF!+#REF!+#REF!</definedName>
    <definedName name="SHARED_FORMULA_2_123_2_123_5">#REF!+#REF!+#REF!+#REF!</definedName>
    <definedName name="SHARED_FORMULA_2_124_2_124_5" localSheetId="18">#REF!+#REF!+#REF!+#REF!</definedName>
    <definedName name="SHARED_FORMULA_2_124_2_124_5" localSheetId="8">#REF!+#REF!+#REF!+#REF!</definedName>
    <definedName name="SHARED_FORMULA_2_124_2_124_5" localSheetId="10">#REF!+#REF!+#REF!+#REF!</definedName>
    <definedName name="SHARED_FORMULA_2_124_2_124_5" localSheetId="11">#REF!+#REF!+#REF!+#REF!</definedName>
    <definedName name="SHARED_FORMULA_2_124_2_124_5">#REF!+#REF!+#REF!+#REF!</definedName>
    <definedName name="SHARED_FORMULA_2_125_2_125_5" localSheetId="18">#REF!+#REF!+#REF!+#REF!</definedName>
    <definedName name="SHARED_FORMULA_2_125_2_125_5" localSheetId="8">#REF!+#REF!+#REF!+#REF!</definedName>
    <definedName name="SHARED_FORMULA_2_125_2_125_5" localSheetId="10">#REF!+#REF!+#REF!+#REF!</definedName>
    <definedName name="SHARED_FORMULA_2_125_2_125_5" localSheetId="11">#REF!+#REF!+#REF!+#REF!</definedName>
    <definedName name="SHARED_FORMULA_2_125_2_125_5">#REF!+#REF!+#REF!+#REF!</definedName>
    <definedName name="SHARED_FORMULA_2_127_2_127_5" localSheetId="18">#REF!</definedName>
    <definedName name="SHARED_FORMULA_2_127_2_127_5" localSheetId="8">#REF!</definedName>
    <definedName name="SHARED_FORMULA_2_127_2_127_5" localSheetId="10">#REF!</definedName>
    <definedName name="SHARED_FORMULA_2_127_2_127_5" localSheetId="11">#REF!</definedName>
    <definedName name="SHARED_FORMULA_2_127_2_127_5">#REF!</definedName>
    <definedName name="SHARED_FORMULA_2_131_2_131_5" localSheetId="18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8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8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8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8">#REF!</definedName>
    <definedName name="SHARED_FORMULA_2_14_2_14_5" localSheetId="8">#REF!</definedName>
    <definedName name="SHARED_FORMULA_2_14_2_14_5" localSheetId="10">#REF!</definedName>
    <definedName name="SHARED_FORMULA_2_14_2_14_5" localSheetId="11">#REF!</definedName>
    <definedName name="SHARED_FORMULA_2_14_2_14_5">#REF!</definedName>
    <definedName name="SHARED_FORMULA_2_140_2_140_5" localSheetId="18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8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8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8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8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8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8">#REF!-#REF!</definedName>
    <definedName name="SHARED_FORMULA_2_146_2_146_5" localSheetId="8">#REF!-#REF!</definedName>
    <definedName name="SHARED_FORMULA_2_146_2_146_5" localSheetId="10">#REF!-#REF!</definedName>
    <definedName name="SHARED_FORMULA_2_146_2_146_5" localSheetId="11">#REF!-#REF!</definedName>
    <definedName name="SHARED_FORMULA_2_146_2_146_5">#REF!-#REF!</definedName>
    <definedName name="SHARED_FORMULA_2_22_2_22_5" localSheetId="18">#REF!</definedName>
    <definedName name="SHARED_FORMULA_2_22_2_22_5" localSheetId="8">#REF!</definedName>
    <definedName name="SHARED_FORMULA_2_22_2_22_5" localSheetId="10">#REF!</definedName>
    <definedName name="SHARED_FORMULA_2_22_2_22_5" localSheetId="11">#REF!</definedName>
    <definedName name="SHARED_FORMULA_2_22_2_22_5">#REF!</definedName>
    <definedName name="SHARED_FORMULA_2_27_2_27_5" localSheetId="18">#REF!</definedName>
    <definedName name="SHARED_FORMULA_2_27_2_27_5" localSheetId="8">#REF!</definedName>
    <definedName name="SHARED_FORMULA_2_27_2_27_5" localSheetId="10">#REF!</definedName>
    <definedName name="SHARED_FORMULA_2_27_2_27_5" localSheetId="11">#REF!</definedName>
    <definedName name="SHARED_FORMULA_2_27_2_27_5">#REF!</definedName>
    <definedName name="SHARED_FORMULA_2_32_2_32_5" localSheetId="18">#REF!</definedName>
    <definedName name="SHARED_FORMULA_2_32_2_32_5" localSheetId="8">#REF!</definedName>
    <definedName name="SHARED_FORMULA_2_32_2_32_5" localSheetId="10">#REF!</definedName>
    <definedName name="SHARED_FORMULA_2_32_2_32_5" localSheetId="11">#REF!</definedName>
    <definedName name="SHARED_FORMULA_2_32_2_32_5">#REF!</definedName>
    <definedName name="SHARED_FORMULA_2_37_2_37_5" localSheetId="18">#REF!</definedName>
    <definedName name="SHARED_FORMULA_2_37_2_37_5" localSheetId="8">#REF!</definedName>
    <definedName name="SHARED_FORMULA_2_37_2_37_5" localSheetId="10">#REF!</definedName>
    <definedName name="SHARED_FORMULA_2_37_2_37_5" localSheetId="11">#REF!</definedName>
    <definedName name="SHARED_FORMULA_2_37_2_37_5">#REF!</definedName>
    <definedName name="SHARED_FORMULA_2_4_2_4_5" localSheetId="18">#REF!</definedName>
    <definedName name="SHARED_FORMULA_2_4_2_4_5" localSheetId="8">#REF!</definedName>
    <definedName name="SHARED_FORMULA_2_4_2_4_5" localSheetId="10">#REF!</definedName>
    <definedName name="SHARED_FORMULA_2_4_2_4_5" localSheetId="11">#REF!</definedName>
    <definedName name="SHARED_FORMULA_2_4_2_4_5">#REF!</definedName>
    <definedName name="SHARED_FORMULA_2_42_2_42_5" localSheetId="18">#REF!</definedName>
    <definedName name="SHARED_FORMULA_2_42_2_42_5" localSheetId="8">#REF!</definedName>
    <definedName name="SHARED_FORMULA_2_42_2_42_5" localSheetId="10">#REF!</definedName>
    <definedName name="SHARED_FORMULA_2_42_2_42_5" localSheetId="11">#REF!</definedName>
    <definedName name="SHARED_FORMULA_2_42_2_42_5">#REF!</definedName>
    <definedName name="SHARED_FORMULA_2_44_2_44_5" localSheetId="18">#REF!</definedName>
    <definedName name="SHARED_FORMULA_2_44_2_44_5" localSheetId="8">#REF!</definedName>
    <definedName name="SHARED_FORMULA_2_44_2_44_5" localSheetId="10">#REF!</definedName>
    <definedName name="SHARED_FORMULA_2_44_2_44_5" localSheetId="11">#REF!</definedName>
    <definedName name="SHARED_FORMULA_2_44_2_44_5">#REF!</definedName>
    <definedName name="SHARED_FORMULA_2_47_2_47_5" localSheetId="18">#REF!</definedName>
    <definedName name="SHARED_FORMULA_2_47_2_47_5" localSheetId="8">#REF!</definedName>
    <definedName name="SHARED_FORMULA_2_47_2_47_5" localSheetId="10">#REF!</definedName>
    <definedName name="SHARED_FORMULA_2_47_2_47_5" localSheetId="11">#REF!</definedName>
    <definedName name="SHARED_FORMULA_2_47_2_47_5">#REF!</definedName>
    <definedName name="SHARED_FORMULA_2_48_2_48_5" localSheetId="18">#REF!</definedName>
    <definedName name="SHARED_FORMULA_2_48_2_48_5" localSheetId="8">#REF!</definedName>
    <definedName name="SHARED_FORMULA_2_48_2_48_5" localSheetId="10">#REF!</definedName>
    <definedName name="SHARED_FORMULA_2_48_2_48_5" localSheetId="11">#REF!</definedName>
    <definedName name="SHARED_FORMULA_2_48_2_48_5">#REF!</definedName>
    <definedName name="SHARED_FORMULA_2_52_2_52_5" localSheetId="18">#REF!</definedName>
    <definedName name="SHARED_FORMULA_2_52_2_52_5" localSheetId="8">#REF!</definedName>
    <definedName name="SHARED_FORMULA_2_52_2_52_5" localSheetId="10">#REF!</definedName>
    <definedName name="SHARED_FORMULA_2_52_2_52_5" localSheetId="11">#REF!</definedName>
    <definedName name="SHARED_FORMULA_2_52_2_52_5">#REF!</definedName>
    <definedName name="SHARED_FORMULA_2_57_2_57_5" localSheetId="18">#REF!</definedName>
    <definedName name="SHARED_FORMULA_2_57_2_57_5" localSheetId="8">#REF!</definedName>
    <definedName name="SHARED_FORMULA_2_57_2_57_5" localSheetId="10">#REF!</definedName>
    <definedName name="SHARED_FORMULA_2_57_2_57_5" localSheetId="11">#REF!</definedName>
    <definedName name="SHARED_FORMULA_2_57_2_57_5">#REF!</definedName>
    <definedName name="SHARED_FORMULA_2_67_2_67_5" localSheetId="18">#REF!</definedName>
    <definedName name="SHARED_FORMULA_2_67_2_67_5" localSheetId="8">#REF!</definedName>
    <definedName name="SHARED_FORMULA_2_67_2_67_5" localSheetId="10">#REF!</definedName>
    <definedName name="SHARED_FORMULA_2_67_2_67_5" localSheetId="11">#REF!</definedName>
    <definedName name="SHARED_FORMULA_2_67_2_67_5">#REF!</definedName>
    <definedName name="SHARED_FORMULA_2_71_2_71_5" localSheetId="18">#REF!+#REF!+#REF!+#REF!</definedName>
    <definedName name="SHARED_FORMULA_2_71_2_71_5" localSheetId="8">#REF!+#REF!+#REF!+#REF!</definedName>
    <definedName name="SHARED_FORMULA_2_71_2_71_5" localSheetId="10">#REF!+#REF!+#REF!+#REF!</definedName>
    <definedName name="SHARED_FORMULA_2_71_2_71_5" localSheetId="11">#REF!+#REF!+#REF!+#REF!</definedName>
    <definedName name="SHARED_FORMULA_2_71_2_71_5">#REF!+#REF!+#REF!+#REF!</definedName>
    <definedName name="SHARED_FORMULA_2_72_2_72_5" localSheetId="18">#REF!+#REF!+#REF!+#REF!</definedName>
    <definedName name="SHARED_FORMULA_2_72_2_72_5" localSheetId="8">#REF!+#REF!+#REF!+#REF!</definedName>
    <definedName name="SHARED_FORMULA_2_72_2_72_5" localSheetId="10">#REF!+#REF!+#REF!+#REF!</definedName>
    <definedName name="SHARED_FORMULA_2_72_2_72_5" localSheetId="11">#REF!+#REF!+#REF!+#REF!</definedName>
    <definedName name="SHARED_FORMULA_2_72_2_72_5">#REF!+#REF!+#REF!+#REF!</definedName>
    <definedName name="SHARED_FORMULA_2_73_2_73_5" localSheetId="18">#REF!+#REF!+#REF!+#REF!</definedName>
    <definedName name="SHARED_FORMULA_2_73_2_73_5" localSheetId="8">#REF!+#REF!+#REF!+#REF!</definedName>
    <definedName name="SHARED_FORMULA_2_73_2_73_5" localSheetId="10">#REF!+#REF!+#REF!+#REF!</definedName>
    <definedName name="SHARED_FORMULA_2_73_2_73_5" localSheetId="11">#REF!+#REF!+#REF!+#REF!</definedName>
    <definedName name="SHARED_FORMULA_2_73_2_73_5">#REF!+#REF!+#REF!+#REF!</definedName>
    <definedName name="SHARED_FORMULA_2_74_2_74_5" localSheetId="18">#REF!+#REF!+#REF!+#REF!</definedName>
    <definedName name="SHARED_FORMULA_2_74_2_74_5" localSheetId="8">#REF!+#REF!+#REF!+#REF!</definedName>
    <definedName name="SHARED_FORMULA_2_74_2_74_5" localSheetId="10">#REF!+#REF!+#REF!+#REF!</definedName>
    <definedName name="SHARED_FORMULA_2_74_2_74_5" localSheetId="11">#REF!+#REF!+#REF!+#REF!</definedName>
    <definedName name="SHARED_FORMULA_2_74_2_74_5">#REF!+#REF!+#REF!+#REF!</definedName>
    <definedName name="SHARED_FORMULA_2_75_2_75_5" localSheetId="18">#REF!+#REF!+#REF!+#REF!</definedName>
    <definedName name="SHARED_FORMULA_2_75_2_75_5" localSheetId="8">#REF!+#REF!+#REF!+#REF!</definedName>
    <definedName name="SHARED_FORMULA_2_75_2_75_5" localSheetId="10">#REF!+#REF!+#REF!+#REF!</definedName>
    <definedName name="SHARED_FORMULA_2_75_2_75_5" localSheetId="11">#REF!+#REF!+#REF!+#REF!</definedName>
    <definedName name="SHARED_FORMULA_2_75_2_75_5">#REF!+#REF!+#REF!+#REF!</definedName>
    <definedName name="SHARED_FORMULA_2_82_2_82_5" localSheetId="18">#REF!</definedName>
    <definedName name="SHARED_FORMULA_2_82_2_82_5" localSheetId="8">#REF!</definedName>
    <definedName name="SHARED_FORMULA_2_82_2_82_5" localSheetId="10">#REF!</definedName>
    <definedName name="SHARED_FORMULA_2_82_2_82_5" localSheetId="11">#REF!</definedName>
    <definedName name="SHARED_FORMULA_2_82_2_82_5">#REF!</definedName>
    <definedName name="SHARED_FORMULA_2_86_2_86_5" localSheetId="18">#REF!+#REF!</definedName>
    <definedName name="SHARED_FORMULA_2_86_2_86_5" localSheetId="8">#REF!+#REF!</definedName>
    <definedName name="SHARED_FORMULA_2_86_2_86_5" localSheetId="10">#REF!+#REF!</definedName>
    <definedName name="SHARED_FORMULA_2_86_2_86_5" localSheetId="11">#REF!+#REF!</definedName>
    <definedName name="SHARED_FORMULA_2_86_2_86_5">#REF!+#REF!</definedName>
    <definedName name="SHARED_FORMULA_2_87_2_87_5" localSheetId="18">#REF!+#REF!</definedName>
    <definedName name="SHARED_FORMULA_2_87_2_87_5" localSheetId="8">#REF!+#REF!</definedName>
    <definedName name="SHARED_FORMULA_2_87_2_87_5" localSheetId="10">#REF!+#REF!</definedName>
    <definedName name="SHARED_FORMULA_2_87_2_87_5" localSheetId="11">#REF!+#REF!</definedName>
    <definedName name="SHARED_FORMULA_2_87_2_87_5">#REF!+#REF!</definedName>
    <definedName name="SHARED_FORMULA_2_88_2_88_5" localSheetId="18">#REF!+#REF!</definedName>
    <definedName name="SHARED_FORMULA_2_88_2_88_5" localSheetId="8">#REF!+#REF!</definedName>
    <definedName name="SHARED_FORMULA_2_88_2_88_5" localSheetId="10">#REF!+#REF!</definedName>
    <definedName name="SHARED_FORMULA_2_88_2_88_5" localSheetId="11">#REF!+#REF!</definedName>
    <definedName name="SHARED_FORMULA_2_88_2_88_5">#REF!+#REF!</definedName>
    <definedName name="SHARED_FORMULA_2_89_2_89_5" localSheetId="18">#REF!+#REF!</definedName>
    <definedName name="SHARED_FORMULA_2_89_2_89_5" localSheetId="8">#REF!+#REF!</definedName>
    <definedName name="SHARED_FORMULA_2_89_2_89_5" localSheetId="10">#REF!+#REF!</definedName>
    <definedName name="SHARED_FORMULA_2_89_2_89_5" localSheetId="11">#REF!+#REF!</definedName>
    <definedName name="SHARED_FORMULA_2_89_2_89_5">#REF!+#REF!</definedName>
    <definedName name="SHARED_FORMULA_2_9_2_9_5" localSheetId="18">#REF!</definedName>
    <definedName name="SHARED_FORMULA_2_9_2_9_5" localSheetId="8">#REF!</definedName>
    <definedName name="SHARED_FORMULA_2_9_2_9_5" localSheetId="10">#REF!</definedName>
    <definedName name="SHARED_FORMULA_2_9_2_9_5" localSheetId="11">#REF!</definedName>
    <definedName name="SHARED_FORMULA_2_9_2_9_5">#REF!</definedName>
    <definedName name="SHARED_FORMULA_2_90_2_90_5" localSheetId="18">#REF!+#REF!</definedName>
    <definedName name="SHARED_FORMULA_2_90_2_90_5" localSheetId="8">#REF!+#REF!</definedName>
    <definedName name="SHARED_FORMULA_2_90_2_90_5" localSheetId="10">#REF!+#REF!</definedName>
    <definedName name="SHARED_FORMULA_2_90_2_90_5" localSheetId="11">#REF!+#REF!</definedName>
    <definedName name="SHARED_FORMULA_2_90_2_90_5">#REF!+#REF!</definedName>
    <definedName name="SHARED_FORMULA_2_92_2_92_5" localSheetId="18">#REF!</definedName>
    <definedName name="SHARED_FORMULA_2_92_2_92_5" localSheetId="8">#REF!</definedName>
    <definedName name="SHARED_FORMULA_2_92_2_92_5" localSheetId="10">#REF!</definedName>
    <definedName name="SHARED_FORMULA_2_92_2_92_5" localSheetId="11">#REF!</definedName>
    <definedName name="SHARED_FORMULA_2_92_2_92_5">#REF!</definedName>
    <definedName name="SHARED_FORMULA_2_97_2_97_5" localSheetId="18">#REF!</definedName>
    <definedName name="SHARED_FORMULA_2_97_2_97_5" localSheetId="8">#REF!</definedName>
    <definedName name="SHARED_FORMULA_2_97_2_97_5" localSheetId="10">#REF!</definedName>
    <definedName name="SHARED_FORMULA_2_97_2_97_5" localSheetId="11">#REF!</definedName>
    <definedName name="SHARED_FORMULA_2_97_2_97_5">#REF!</definedName>
    <definedName name="SHARED_FORMULA_20_10_20_10_5" localSheetId="18">#REF!</definedName>
    <definedName name="SHARED_FORMULA_20_10_20_10_5" localSheetId="8">#REF!</definedName>
    <definedName name="SHARED_FORMULA_20_10_20_10_5" localSheetId="10">#REF!</definedName>
    <definedName name="SHARED_FORMULA_20_10_20_10_5" localSheetId="11">#REF!</definedName>
    <definedName name="SHARED_FORMULA_20_10_20_10_5">#REF!</definedName>
    <definedName name="SHARED_FORMULA_20_102_20_102_5" localSheetId="18">#REF!</definedName>
    <definedName name="SHARED_FORMULA_20_102_20_102_5" localSheetId="8">#REF!</definedName>
    <definedName name="SHARED_FORMULA_20_102_20_102_5" localSheetId="10">#REF!</definedName>
    <definedName name="SHARED_FORMULA_20_102_20_102_5" localSheetId="11">#REF!</definedName>
    <definedName name="SHARED_FORMULA_20_102_20_102_5">#REF!</definedName>
    <definedName name="SHARED_FORMULA_20_112_20_112_5" localSheetId="18">#REF!</definedName>
    <definedName name="SHARED_FORMULA_20_112_20_112_5" localSheetId="8">#REF!</definedName>
    <definedName name="SHARED_FORMULA_20_112_20_112_5" localSheetId="10">#REF!</definedName>
    <definedName name="SHARED_FORMULA_20_112_20_112_5" localSheetId="11">#REF!</definedName>
    <definedName name="SHARED_FORMULA_20_112_20_112_5">#REF!</definedName>
    <definedName name="SHARED_FORMULA_20_117_20_117_5" localSheetId="18">#REF!</definedName>
    <definedName name="SHARED_FORMULA_20_117_20_117_5" localSheetId="8">#REF!</definedName>
    <definedName name="SHARED_FORMULA_20_117_20_117_5" localSheetId="10">#REF!</definedName>
    <definedName name="SHARED_FORMULA_20_117_20_117_5" localSheetId="11">#REF!</definedName>
    <definedName name="SHARED_FORMULA_20_117_20_117_5">#REF!</definedName>
    <definedName name="SHARED_FORMULA_20_121_20_121_5" localSheetId="18">#REF!+#REF!+#REF!+#REF!</definedName>
    <definedName name="SHARED_FORMULA_20_121_20_121_5" localSheetId="8">#REF!+#REF!+#REF!+#REF!</definedName>
    <definedName name="SHARED_FORMULA_20_121_20_121_5" localSheetId="10">#REF!+#REF!+#REF!+#REF!</definedName>
    <definedName name="SHARED_FORMULA_20_121_20_121_5" localSheetId="11">#REF!+#REF!+#REF!+#REF!</definedName>
    <definedName name="SHARED_FORMULA_20_121_20_121_5">#REF!+#REF!+#REF!+#REF!</definedName>
    <definedName name="SHARED_FORMULA_20_127_20_127_5" localSheetId="18">#REF!</definedName>
    <definedName name="SHARED_FORMULA_20_127_20_127_5" localSheetId="8">#REF!</definedName>
    <definedName name="SHARED_FORMULA_20_127_20_127_5" localSheetId="10">#REF!</definedName>
    <definedName name="SHARED_FORMULA_20_127_20_127_5" localSheetId="11">#REF!</definedName>
    <definedName name="SHARED_FORMULA_20_127_20_127_5">#REF!</definedName>
    <definedName name="SHARED_FORMULA_20_131_20_131_5" localSheetId="18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8">#REF!</definedName>
    <definedName name="SHARED_FORMULA_20_14_20_14_5" localSheetId="8">#REF!</definedName>
    <definedName name="SHARED_FORMULA_20_14_20_14_5" localSheetId="10">#REF!</definedName>
    <definedName name="SHARED_FORMULA_20_14_20_14_5" localSheetId="11">#REF!</definedName>
    <definedName name="SHARED_FORMULA_20_14_20_14_5">#REF!</definedName>
    <definedName name="SHARED_FORMULA_20_141_20_141_5" localSheetId="18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8">#REF!</definedName>
    <definedName name="SHARED_FORMULA_20_19_20_19_5" localSheetId="8">#REF!</definedName>
    <definedName name="SHARED_FORMULA_20_19_20_19_5" localSheetId="10">#REF!</definedName>
    <definedName name="SHARED_FORMULA_20_19_20_19_5" localSheetId="11">#REF!</definedName>
    <definedName name="SHARED_FORMULA_20_19_20_19_5">#REF!</definedName>
    <definedName name="SHARED_FORMULA_20_22_20_22_5" localSheetId="18">#REF!</definedName>
    <definedName name="SHARED_FORMULA_20_22_20_22_5" localSheetId="8">#REF!</definedName>
    <definedName name="SHARED_FORMULA_20_22_20_22_5" localSheetId="10">#REF!</definedName>
    <definedName name="SHARED_FORMULA_20_22_20_22_5" localSheetId="11">#REF!</definedName>
    <definedName name="SHARED_FORMULA_20_22_20_22_5">#REF!</definedName>
    <definedName name="SHARED_FORMULA_20_27_20_27_5" localSheetId="18">#REF!</definedName>
    <definedName name="SHARED_FORMULA_20_27_20_27_5" localSheetId="8">#REF!</definedName>
    <definedName name="SHARED_FORMULA_20_27_20_27_5" localSheetId="10">#REF!</definedName>
    <definedName name="SHARED_FORMULA_20_27_20_27_5" localSheetId="11">#REF!</definedName>
    <definedName name="SHARED_FORMULA_20_27_20_27_5">#REF!</definedName>
    <definedName name="SHARED_FORMULA_20_33_20_33_5" localSheetId="18">#REF!</definedName>
    <definedName name="SHARED_FORMULA_20_33_20_33_5" localSheetId="8">#REF!</definedName>
    <definedName name="SHARED_FORMULA_20_33_20_33_5" localSheetId="10">#REF!</definedName>
    <definedName name="SHARED_FORMULA_20_33_20_33_5" localSheetId="11">#REF!</definedName>
    <definedName name="SHARED_FORMULA_20_33_20_33_5">#REF!</definedName>
    <definedName name="SHARED_FORMULA_20_37_20_37_5" localSheetId="18">#REF!</definedName>
    <definedName name="SHARED_FORMULA_20_37_20_37_5" localSheetId="8">#REF!</definedName>
    <definedName name="SHARED_FORMULA_20_37_20_37_5" localSheetId="10">#REF!</definedName>
    <definedName name="SHARED_FORMULA_20_37_20_37_5" localSheetId="11">#REF!</definedName>
    <definedName name="SHARED_FORMULA_20_37_20_37_5">#REF!</definedName>
    <definedName name="SHARED_FORMULA_20_42_20_42_5" localSheetId="18">#REF!</definedName>
    <definedName name="SHARED_FORMULA_20_42_20_42_5" localSheetId="8">#REF!</definedName>
    <definedName name="SHARED_FORMULA_20_42_20_42_5" localSheetId="10">#REF!</definedName>
    <definedName name="SHARED_FORMULA_20_42_20_42_5" localSheetId="11">#REF!</definedName>
    <definedName name="SHARED_FORMULA_20_42_20_42_5">#REF!</definedName>
    <definedName name="SHARED_FORMULA_20_57_20_57_5" localSheetId="18">#REF!</definedName>
    <definedName name="SHARED_FORMULA_20_57_20_57_5" localSheetId="8">#REF!</definedName>
    <definedName name="SHARED_FORMULA_20_57_20_57_5" localSheetId="10">#REF!</definedName>
    <definedName name="SHARED_FORMULA_20_57_20_57_5" localSheetId="11">#REF!</definedName>
    <definedName name="SHARED_FORMULA_20_57_20_57_5">#REF!</definedName>
    <definedName name="SHARED_FORMULA_20_63_20_63_5" localSheetId="18">#REF!</definedName>
    <definedName name="SHARED_FORMULA_20_63_20_63_5" localSheetId="8">#REF!</definedName>
    <definedName name="SHARED_FORMULA_20_63_20_63_5" localSheetId="10">#REF!</definedName>
    <definedName name="SHARED_FORMULA_20_63_20_63_5" localSheetId="11">#REF!</definedName>
    <definedName name="SHARED_FORMULA_20_63_20_63_5">#REF!</definedName>
    <definedName name="SHARED_FORMULA_20_67_20_67_5" localSheetId="18">#REF!</definedName>
    <definedName name="SHARED_FORMULA_20_67_20_67_5" localSheetId="8">#REF!</definedName>
    <definedName name="SHARED_FORMULA_20_67_20_67_5" localSheetId="10">#REF!</definedName>
    <definedName name="SHARED_FORMULA_20_67_20_67_5" localSheetId="11">#REF!</definedName>
    <definedName name="SHARED_FORMULA_20_67_20_67_5">#REF!</definedName>
    <definedName name="SHARED_FORMULA_20_78_20_78_5" localSheetId="18">#REF!</definedName>
    <definedName name="SHARED_FORMULA_20_78_20_78_5" localSheetId="8">#REF!</definedName>
    <definedName name="SHARED_FORMULA_20_78_20_78_5" localSheetId="10">#REF!</definedName>
    <definedName name="SHARED_FORMULA_20_78_20_78_5" localSheetId="11">#REF!</definedName>
    <definedName name="SHARED_FORMULA_20_78_20_78_5">#REF!</definedName>
    <definedName name="SHARED_FORMULA_20_82_20_82_5" localSheetId="18">#REF!</definedName>
    <definedName name="SHARED_FORMULA_20_82_20_82_5" localSheetId="8">#REF!</definedName>
    <definedName name="SHARED_FORMULA_20_82_20_82_5" localSheetId="10">#REF!</definedName>
    <definedName name="SHARED_FORMULA_20_82_20_82_5" localSheetId="11">#REF!</definedName>
    <definedName name="SHARED_FORMULA_20_82_20_82_5">#REF!</definedName>
    <definedName name="SHARED_FORMULA_20_86_20_86_5" localSheetId="18">#REF!+#REF!</definedName>
    <definedName name="SHARED_FORMULA_20_86_20_86_5" localSheetId="8">#REF!+#REF!</definedName>
    <definedName name="SHARED_FORMULA_20_86_20_86_5" localSheetId="10">#REF!+#REF!</definedName>
    <definedName name="SHARED_FORMULA_20_86_20_86_5" localSheetId="11">#REF!+#REF!</definedName>
    <definedName name="SHARED_FORMULA_20_86_20_86_5">#REF!+#REF!</definedName>
    <definedName name="SHARED_FORMULA_20_92_20_92_5" localSheetId="18">#REF!</definedName>
    <definedName name="SHARED_FORMULA_20_92_20_92_5" localSheetId="8">#REF!</definedName>
    <definedName name="SHARED_FORMULA_20_92_20_92_5" localSheetId="10">#REF!</definedName>
    <definedName name="SHARED_FORMULA_20_92_20_92_5" localSheetId="11">#REF!</definedName>
    <definedName name="SHARED_FORMULA_20_92_20_92_5">#REF!</definedName>
    <definedName name="SHARED_FORMULA_23_3_23_3_5" localSheetId="18">SUM(#REF!)-#REF!</definedName>
    <definedName name="SHARED_FORMULA_23_3_23_3_5" localSheetId="8">SUM(#REF!)-#REF!</definedName>
    <definedName name="SHARED_FORMULA_23_3_23_3_5" localSheetId="10">SUM(#REF!)-#REF!</definedName>
    <definedName name="SHARED_FORMULA_23_3_23_3_5" localSheetId="11">SUM(#REF!)-#REF!</definedName>
    <definedName name="SHARED_FORMULA_23_3_23_3_5">SUM(#REF!)-#REF!</definedName>
    <definedName name="SHARED_FORMULA_23_32_23_32_5" localSheetId="18">SUM(#REF!)-#REF!</definedName>
    <definedName name="SHARED_FORMULA_23_32_23_32_5" localSheetId="8">SUM(#REF!)-#REF!</definedName>
    <definedName name="SHARED_FORMULA_23_32_23_32_5" localSheetId="10">SUM(#REF!)-#REF!</definedName>
    <definedName name="SHARED_FORMULA_23_32_23_32_5" localSheetId="11">SUM(#REF!)-#REF!</definedName>
    <definedName name="SHARED_FORMULA_23_32_23_32_5">SUM(#REF!)-#REF!</definedName>
    <definedName name="SHARED_FORMULA_23_64_23_64_5" localSheetId="18">SUM(#REF!)-#REF!</definedName>
    <definedName name="SHARED_FORMULA_23_64_23_64_5" localSheetId="8">SUM(#REF!)-#REF!</definedName>
    <definedName name="SHARED_FORMULA_23_64_23_64_5" localSheetId="10">SUM(#REF!)-#REF!</definedName>
    <definedName name="SHARED_FORMULA_23_64_23_64_5" localSheetId="11">SUM(#REF!)-#REF!</definedName>
    <definedName name="SHARED_FORMULA_23_64_23_64_5">SUM(#REF!)-#REF!</definedName>
    <definedName name="SHARED_FORMULA_23_96_23_96_5" localSheetId="18">SUM(#REF!)-#REF!</definedName>
    <definedName name="SHARED_FORMULA_23_96_23_96_5" localSheetId="8">SUM(#REF!)-#REF!</definedName>
    <definedName name="SHARED_FORMULA_23_96_23_96_5" localSheetId="10">SUM(#REF!)-#REF!</definedName>
    <definedName name="SHARED_FORMULA_23_96_23_96_5" localSheetId="11">SUM(#REF!)-#REF!</definedName>
    <definedName name="SHARED_FORMULA_23_96_23_96_5">SUM(#REF!)-#REF!</definedName>
    <definedName name="SHARED_FORMULA_25_131_25_131_5" localSheetId="18">SUM(#REF!)-#REF!</definedName>
    <definedName name="SHARED_FORMULA_25_131_25_131_5" localSheetId="8">SUM(#REF!)-#REF!</definedName>
    <definedName name="SHARED_FORMULA_25_131_25_131_5" localSheetId="10">SUM(#REF!)-#REF!</definedName>
    <definedName name="SHARED_FORMULA_25_131_25_131_5" localSheetId="11">SUM(#REF!)-#REF!</definedName>
    <definedName name="SHARED_FORMULA_25_131_25_131_5">SUM(#REF!)-#REF!</definedName>
    <definedName name="SHARED_FORMULA_3_10_3_10_3" localSheetId="18">SUM(#REF!)</definedName>
    <definedName name="SHARED_FORMULA_3_10_3_10_3" localSheetId="8">SUM(#REF!)</definedName>
    <definedName name="SHARED_FORMULA_3_10_3_10_3" localSheetId="10">SUM(#REF!)</definedName>
    <definedName name="SHARED_FORMULA_3_10_3_10_3" localSheetId="11">SUM(#REF!)</definedName>
    <definedName name="SHARED_FORMULA_3_10_3_10_3">SUM(#REF!)</definedName>
    <definedName name="SHARED_FORMULA_3_308_3_308_4" localSheetId="18">SUM(#REF!+#REF!+#REF!)</definedName>
    <definedName name="SHARED_FORMULA_3_308_3_308_4" localSheetId="8">SUM(#REF!+#REF!+#REF!)</definedName>
    <definedName name="SHARED_FORMULA_3_308_3_308_4" localSheetId="10">SUM(#REF!+#REF!+#REF!)</definedName>
    <definedName name="SHARED_FORMULA_3_308_3_308_4" localSheetId="11">SUM(#REF!+#REF!+#REF!)</definedName>
    <definedName name="SHARED_FORMULA_3_308_3_308_4">SUM(#REF!+#REF!+#REF!)</definedName>
    <definedName name="SHARED_FORMULA_3_309_3_309_4" localSheetId="18">#REF!+#REF!+#REF!</definedName>
    <definedName name="SHARED_FORMULA_3_309_3_309_4" localSheetId="8">#REF!+#REF!+#REF!</definedName>
    <definedName name="SHARED_FORMULA_3_309_3_309_4" localSheetId="10">#REF!+#REF!+#REF!</definedName>
    <definedName name="SHARED_FORMULA_3_309_3_309_4" localSheetId="11">#REF!+#REF!+#REF!</definedName>
    <definedName name="SHARED_FORMULA_3_309_3_309_4">#REF!+#REF!+#REF!</definedName>
    <definedName name="SHARED_FORMULA_3_312_3_312_4" localSheetId="18">SUM(#REF!+#REF!+#REF!)</definedName>
    <definedName name="SHARED_FORMULA_3_312_3_312_4" localSheetId="8">SUM(#REF!+#REF!+#REF!)</definedName>
    <definedName name="SHARED_FORMULA_3_312_3_312_4" localSheetId="10">SUM(#REF!+#REF!+#REF!)</definedName>
    <definedName name="SHARED_FORMULA_3_312_3_312_4" localSheetId="11">SUM(#REF!+#REF!+#REF!)</definedName>
    <definedName name="SHARED_FORMULA_3_312_3_312_4">SUM(#REF!+#REF!+#REF!)</definedName>
    <definedName name="SHARED_FORMULA_3_32_3_32_2" localSheetId="18">SUM(#REF!)</definedName>
    <definedName name="SHARED_FORMULA_3_32_3_32_2" localSheetId="8">SUM(#REF!)</definedName>
    <definedName name="SHARED_FORMULA_3_32_3_32_2" localSheetId="10">SUM(#REF!)</definedName>
    <definedName name="SHARED_FORMULA_3_32_3_32_2" localSheetId="11">SUM(#REF!)</definedName>
    <definedName name="SHARED_FORMULA_3_32_3_32_2">SUM(#REF!)</definedName>
    <definedName name="SHARED_FORMULA_3_320_3_320_4" localSheetId="18">SUM(#REF!+#REF!+#REF!+#REF!)</definedName>
    <definedName name="SHARED_FORMULA_3_320_3_320_4" localSheetId="8">SUM(#REF!+#REF!+#REF!+#REF!)</definedName>
    <definedName name="SHARED_FORMULA_3_320_3_320_4" localSheetId="10">SUM(#REF!+#REF!+#REF!+#REF!)</definedName>
    <definedName name="SHARED_FORMULA_3_320_3_320_4" localSheetId="11">SUM(#REF!+#REF!+#REF!+#REF!)</definedName>
    <definedName name="SHARED_FORMULA_3_320_3_320_4">SUM(#REF!+#REF!+#REF!+#REF!)</definedName>
    <definedName name="SHARED_FORMULA_3_321_3_321_4" localSheetId="18">SUM(#REF!+#REF!+#REF!+#REF!)</definedName>
    <definedName name="SHARED_FORMULA_3_321_3_321_4" localSheetId="8">SUM(#REF!+#REF!+#REF!+#REF!)</definedName>
    <definedName name="SHARED_FORMULA_3_321_3_321_4" localSheetId="10">SUM(#REF!+#REF!+#REF!+#REF!)</definedName>
    <definedName name="SHARED_FORMULA_3_321_3_321_4" localSheetId="11">SUM(#REF!+#REF!+#REF!+#REF!)</definedName>
    <definedName name="SHARED_FORMULA_3_321_3_321_4">SUM(#REF!+#REF!+#REF!+#REF!)</definedName>
    <definedName name="SHARED_FORMULA_3_37_3_37_2" localSheetId="18">SUM(#REF!)</definedName>
    <definedName name="SHARED_FORMULA_3_37_3_37_2" localSheetId="8">SUM(#REF!)</definedName>
    <definedName name="SHARED_FORMULA_3_37_3_37_2" localSheetId="10">SUM(#REF!)</definedName>
    <definedName name="SHARED_FORMULA_3_37_3_37_2" localSheetId="11">SUM(#REF!)</definedName>
    <definedName name="SHARED_FORMULA_3_37_3_37_2">SUM(#REF!)</definedName>
    <definedName name="SHARED_FORMULA_3_47_3_47_2" localSheetId="18">SUM(#REF!)</definedName>
    <definedName name="SHARED_FORMULA_3_47_3_47_2" localSheetId="8">SUM(#REF!)</definedName>
    <definedName name="SHARED_FORMULA_3_47_3_47_2" localSheetId="10">SUM(#REF!)</definedName>
    <definedName name="SHARED_FORMULA_3_47_3_47_2" localSheetId="11">SUM(#REF!)</definedName>
    <definedName name="SHARED_FORMULA_3_47_3_47_2">SUM(#REF!)</definedName>
    <definedName name="SHARED_FORMULA_3_59_3_59_5" localSheetId="18">#REF!</definedName>
    <definedName name="SHARED_FORMULA_3_59_3_59_5" localSheetId="8">#REF!</definedName>
    <definedName name="SHARED_FORMULA_3_59_3_59_5" localSheetId="10">#REF!</definedName>
    <definedName name="SHARED_FORMULA_3_59_3_59_5" localSheetId="11">#REF!</definedName>
    <definedName name="SHARED_FORMULA_3_59_3_59_5">#REF!</definedName>
    <definedName name="SHARED_FORMULA_3_77_3_77_5" localSheetId="18">#REF!</definedName>
    <definedName name="SHARED_FORMULA_3_77_3_77_5" localSheetId="8">#REF!</definedName>
    <definedName name="SHARED_FORMULA_3_77_3_77_5" localSheetId="10">#REF!</definedName>
    <definedName name="SHARED_FORMULA_3_77_3_77_5" localSheetId="11">#REF!</definedName>
    <definedName name="SHARED_FORMULA_3_77_3_77_5">#REF!</definedName>
    <definedName name="SHARED_FORMULA_3_94_3_94_5" localSheetId="18">#REF!</definedName>
    <definedName name="SHARED_FORMULA_3_94_3_94_5" localSheetId="8">#REF!</definedName>
    <definedName name="SHARED_FORMULA_3_94_3_94_5" localSheetId="10">#REF!</definedName>
    <definedName name="SHARED_FORMULA_3_94_3_94_5" localSheetId="11">#REF!</definedName>
    <definedName name="SHARED_FORMULA_3_94_3_94_5">#REF!</definedName>
    <definedName name="SHARED_FORMULA_4_133_4_133_5" localSheetId="18">SUM(#REF!)-#REF!-#REF!-#REF!</definedName>
    <definedName name="SHARED_FORMULA_4_133_4_133_5" localSheetId="8">SUM(#REF!)-#REF!-#REF!-#REF!</definedName>
    <definedName name="SHARED_FORMULA_4_133_4_133_5" localSheetId="10">SUM(#REF!)-#REF!-#REF!-#REF!</definedName>
    <definedName name="SHARED_FORMULA_4_133_4_133_5" localSheetId="11">SUM(#REF!)-#REF!-#REF!-#REF!</definedName>
    <definedName name="SHARED_FORMULA_4_133_4_133_5">SUM(#REF!)-#REF!-#REF!-#REF!</definedName>
    <definedName name="SHARED_FORMULA_4_136_4_136_4" localSheetId="18">SUM(#REF!)</definedName>
    <definedName name="SHARED_FORMULA_4_136_4_136_4" localSheetId="8">SUM(#REF!)</definedName>
    <definedName name="SHARED_FORMULA_4_136_4_136_4" localSheetId="10">SUM(#REF!)</definedName>
    <definedName name="SHARED_FORMULA_4_136_4_136_4" localSheetId="11">SUM(#REF!)</definedName>
    <definedName name="SHARED_FORMULA_4_136_4_136_4">SUM(#REF!)</definedName>
    <definedName name="SHARED_FORMULA_4_200_4_200_4" localSheetId="18">SUM(#REF!)</definedName>
    <definedName name="SHARED_FORMULA_4_200_4_200_4" localSheetId="8">SUM(#REF!)</definedName>
    <definedName name="SHARED_FORMULA_4_200_4_200_4" localSheetId="10">SUM(#REF!)</definedName>
    <definedName name="SHARED_FORMULA_4_200_4_200_4" localSheetId="11">SUM(#REF!)</definedName>
    <definedName name="SHARED_FORMULA_4_200_4_200_4">SUM(#REF!)</definedName>
    <definedName name="SHARED_FORMULA_4_264_4_264_4" localSheetId="18">SUM(#REF!)</definedName>
    <definedName name="SHARED_FORMULA_4_264_4_264_4" localSheetId="8">SUM(#REF!)</definedName>
    <definedName name="SHARED_FORMULA_4_264_4_264_4" localSheetId="10">SUM(#REF!)</definedName>
    <definedName name="SHARED_FORMULA_4_264_4_264_4" localSheetId="11">SUM(#REF!)</definedName>
    <definedName name="SHARED_FORMULA_4_264_4_264_4">SUM(#REF!)</definedName>
    <definedName name="SHARED_FORMULA_4_322_4_322_4" localSheetId="18">SUM(#REF!,#REF!,#REF!)</definedName>
    <definedName name="SHARED_FORMULA_4_322_4_322_4" localSheetId="8">SUM(#REF!,#REF!,#REF!)</definedName>
    <definedName name="SHARED_FORMULA_4_322_4_322_4" localSheetId="10">SUM(#REF!,#REF!,#REF!)</definedName>
    <definedName name="SHARED_FORMULA_4_322_4_322_4" localSheetId="11">SUM(#REF!,#REF!,#REF!)</definedName>
    <definedName name="SHARED_FORMULA_4_322_4_322_4">SUM(#REF!,#REF!,#REF!)</definedName>
    <definedName name="SHARED_FORMULA_4_43_4_43_3" localSheetId="18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10">SUM(#REF!,#REF!,#REF!,#REF!,#REF!,#REF!,#REF!,#REF!,#REF!,#REF!,#REF!,#REF!,#REF!,#REF!)</definedName>
    <definedName name="SHARED_FORMULA_4_43_4_43_3" localSheetId="11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8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8">SUM(#REF!)</definedName>
    <definedName name="SHARED_FORMULA_4_73_4_73_4" localSheetId="8">SUM(#REF!)</definedName>
    <definedName name="SHARED_FORMULA_4_73_4_73_4" localSheetId="10">SUM(#REF!)</definedName>
    <definedName name="SHARED_FORMULA_4_73_4_73_4" localSheetId="11">SUM(#REF!)</definedName>
    <definedName name="SHARED_FORMULA_4_73_4_73_4">SUM(#REF!)</definedName>
    <definedName name="SHARED_FORMULA_4_8_4_8_4" localSheetId="18">SUM(#REF!)</definedName>
    <definedName name="SHARED_FORMULA_4_8_4_8_4" localSheetId="8">SUM(#REF!)</definedName>
    <definedName name="SHARED_FORMULA_4_8_4_8_4" localSheetId="10">SUM(#REF!)</definedName>
    <definedName name="SHARED_FORMULA_4_8_4_8_4" localSheetId="11">SUM(#REF!)</definedName>
    <definedName name="SHARED_FORMULA_4_8_4_8_4">SUM(#REF!)</definedName>
    <definedName name="SHARED_FORMULA_4_9_4_9_3" localSheetId="18">SUM(#REF!)</definedName>
    <definedName name="SHARED_FORMULA_4_9_4_9_3" localSheetId="8">SUM(#REF!)</definedName>
    <definedName name="SHARED_FORMULA_4_9_4_9_3" localSheetId="10">SUM(#REF!)</definedName>
    <definedName name="SHARED_FORMULA_4_9_4_9_3" localSheetId="11">SUM(#REF!)</definedName>
    <definedName name="SHARED_FORMULA_4_9_4_9_3">SUM(#REF!)</definedName>
    <definedName name="SHARED_FORMULA_5_108_5_108_5" localSheetId="18">#REF!</definedName>
    <definedName name="SHARED_FORMULA_5_108_5_108_5" localSheetId="8">#REF!</definedName>
    <definedName name="SHARED_FORMULA_5_108_5_108_5" localSheetId="10">#REF!</definedName>
    <definedName name="SHARED_FORMULA_5_108_5_108_5" localSheetId="11">#REF!</definedName>
    <definedName name="SHARED_FORMULA_5_108_5_108_5">#REF!</definedName>
    <definedName name="SHARED_FORMULA_5_109_5_109_5" localSheetId="18">#REF!</definedName>
    <definedName name="SHARED_FORMULA_5_109_5_109_5" localSheetId="8">#REF!</definedName>
    <definedName name="SHARED_FORMULA_5_109_5_109_5" localSheetId="10">#REF!</definedName>
    <definedName name="SHARED_FORMULA_5_109_5_109_5" localSheetId="11">#REF!</definedName>
    <definedName name="SHARED_FORMULA_5_109_5_109_5">#REF!</definedName>
    <definedName name="SHARED_FORMULA_5_129_5_129_5" localSheetId="18">#REF!</definedName>
    <definedName name="SHARED_FORMULA_5_129_5_129_5" localSheetId="8">#REF!</definedName>
    <definedName name="SHARED_FORMULA_5_129_5_129_5" localSheetId="10">#REF!</definedName>
    <definedName name="SHARED_FORMULA_5_129_5_129_5" localSheetId="11">#REF!</definedName>
    <definedName name="SHARED_FORMULA_5_129_5_129_5">#REF!</definedName>
    <definedName name="SHARED_FORMULA_5_19_5_19_5" localSheetId="18">#REF!</definedName>
    <definedName name="SHARED_FORMULA_5_19_5_19_5" localSheetId="8">#REF!</definedName>
    <definedName name="SHARED_FORMULA_5_19_5_19_5" localSheetId="10">#REF!</definedName>
    <definedName name="SHARED_FORMULA_5_19_5_19_5" localSheetId="11">#REF!</definedName>
    <definedName name="SHARED_FORMULA_5_19_5_19_5">#REF!</definedName>
    <definedName name="SHARED_FORMULA_5_28_5_28_5" localSheetId="18">#REF!</definedName>
    <definedName name="SHARED_FORMULA_5_28_5_28_5" localSheetId="8">#REF!</definedName>
    <definedName name="SHARED_FORMULA_5_28_5_28_5" localSheetId="10">#REF!</definedName>
    <definedName name="SHARED_FORMULA_5_28_5_28_5" localSheetId="11">#REF!</definedName>
    <definedName name="SHARED_FORMULA_5_28_5_28_5">#REF!</definedName>
    <definedName name="SHARED_FORMULA_5_288_5_288_4" localSheetId="1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8">#REF!</definedName>
    <definedName name="SHARED_FORMULA_5_35_5_35_5" localSheetId="8">#REF!</definedName>
    <definedName name="SHARED_FORMULA_5_35_5_35_5" localSheetId="10">#REF!</definedName>
    <definedName name="SHARED_FORMULA_5_35_5_35_5" localSheetId="11">#REF!</definedName>
    <definedName name="SHARED_FORMULA_5_35_5_35_5">#REF!</definedName>
    <definedName name="SHARED_FORMULA_5_69_5_69_5" localSheetId="18">#REF!</definedName>
    <definedName name="SHARED_FORMULA_5_69_5_69_5" localSheetId="8">#REF!</definedName>
    <definedName name="SHARED_FORMULA_5_69_5_69_5" localSheetId="10">#REF!</definedName>
    <definedName name="SHARED_FORMULA_5_69_5_69_5" localSheetId="11">#REF!</definedName>
    <definedName name="SHARED_FORMULA_5_69_5_69_5">#REF!</definedName>
    <definedName name="SHARED_FORMULA_5_7_5_7_5" localSheetId="18">#REF!</definedName>
    <definedName name="SHARED_FORMULA_5_7_5_7_5" localSheetId="8">#REF!</definedName>
    <definedName name="SHARED_FORMULA_5_7_5_7_5" localSheetId="10">#REF!</definedName>
    <definedName name="SHARED_FORMULA_5_7_5_7_5" localSheetId="11">#REF!</definedName>
    <definedName name="SHARED_FORMULA_5_7_5_7_5">#REF!</definedName>
    <definedName name="SHARED_FORMULA_6_5_6_5_0" localSheetId="18">#REF!/#REF!*100</definedName>
    <definedName name="SHARED_FORMULA_6_5_6_5_0" localSheetId="8">#REF!/#REF!*100</definedName>
    <definedName name="SHARED_FORMULA_6_5_6_5_0" localSheetId="10">#REF!/#REF!*100</definedName>
    <definedName name="SHARED_FORMULA_6_5_6_5_0" localSheetId="11">#REF!/#REF!*100</definedName>
    <definedName name="SHARED_FORMULA_6_5_6_5_0">#REF!/#REF!*100</definedName>
    <definedName name="SHARED_FORMULA_7_62_7_62_5" localSheetId="18">#REF!</definedName>
    <definedName name="SHARED_FORMULA_7_62_7_62_5" localSheetId="8">#REF!</definedName>
    <definedName name="SHARED_FORMULA_7_62_7_62_5" localSheetId="10">#REF!</definedName>
    <definedName name="SHARED_FORMULA_7_62_7_62_5" localSheetId="11">#REF!</definedName>
    <definedName name="SHARED_FORMULA_7_62_7_62_5">#REF!</definedName>
    <definedName name="SHARED_FORMULA_7_82_7_82_5" localSheetId="18">#REF!</definedName>
    <definedName name="SHARED_FORMULA_7_82_7_82_5" localSheetId="8">#REF!</definedName>
    <definedName name="SHARED_FORMULA_7_82_7_82_5" localSheetId="10">#REF!</definedName>
    <definedName name="SHARED_FORMULA_7_82_7_82_5" localSheetId="11">#REF!</definedName>
    <definedName name="SHARED_FORMULA_7_82_7_82_5">#REF!</definedName>
    <definedName name="SHARED_FORMULA_7_93_7_93_5" localSheetId="18">#REF!</definedName>
    <definedName name="SHARED_FORMULA_7_93_7_93_5" localSheetId="8">#REF!</definedName>
    <definedName name="SHARED_FORMULA_7_93_7_93_5" localSheetId="10">#REF!</definedName>
    <definedName name="SHARED_FORMULA_7_93_7_93_5" localSheetId="11">#REF!</definedName>
    <definedName name="SHARED_FORMULA_7_93_7_93_5">#REF!</definedName>
    <definedName name="SHARED_FORMULA_8_48_8_48_5" localSheetId="18">#REF!</definedName>
    <definedName name="SHARED_FORMULA_8_48_8_48_5" localSheetId="8">#REF!</definedName>
    <definedName name="SHARED_FORMULA_8_48_8_48_5" localSheetId="10">#REF!</definedName>
    <definedName name="SHARED_FORMULA_8_48_8_48_5" localSheetId="11">#REF!</definedName>
    <definedName name="SHARED_FORMULA_8_48_8_48_5">#REF!</definedName>
    <definedName name="SHARED_FORMULA_9_112_9_112_5" localSheetId="18">#REF!</definedName>
    <definedName name="SHARED_FORMULA_9_112_9_112_5" localSheetId="8">#REF!</definedName>
    <definedName name="SHARED_FORMULA_9_112_9_112_5" localSheetId="10">#REF!</definedName>
    <definedName name="SHARED_FORMULA_9_112_9_112_5" localSheetId="11">#REF!</definedName>
    <definedName name="SHARED_FORMULA_9_112_9_112_5">#REF!</definedName>
    <definedName name="SHARED_FORMULA_9_118_9_118_5" localSheetId="18">#REF!</definedName>
    <definedName name="SHARED_FORMULA_9_118_9_118_5" localSheetId="8">#REF!</definedName>
    <definedName name="SHARED_FORMULA_9_118_9_118_5" localSheetId="10">#REF!</definedName>
    <definedName name="SHARED_FORMULA_9_118_9_118_5" localSheetId="11">#REF!</definedName>
    <definedName name="SHARED_FORMULA_9_118_9_118_5">#REF!</definedName>
    <definedName name="SHARED_FORMULA_9_44_9_44_5" localSheetId="18">#REF!</definedName>
    <definedName name="SHARED_FORMULA_9_44_9_44_5" localSheetId="8">#REF!</definedName>
    <definedName name="SHARED_FORMULA_9_44_9_44_5" localSheetId="10">#REF!</definedName>
    <definedName name="SHARED_FORMULA_9_44_9_44_5" localSheetId="11">#REF!</definedName>
    <definedName name="SHARED_FORMULA_9_44_9_44_5">#REF!</definedName>
    <definedName name="SHARED_FORMULA_9_53_9_53_5" localSheetId="18">#REF!</definedName>
    <definedName name="SHARED_FORMULA_9_53_9_53_5" localSheetId="8">#REF!</definedName>
    <definedName name="SHARED_FORMULA_9_53_9_53_5" localSheetId="10">#REF!</definedName>
    <definedName name="SHARED_FORMULA_9_53_9_53_5" localSheetId="11">#REF!</definedName>
    <definedName name="SHARED_FORMULA_9_53_9_53_5">#REF!</definedName>
    <definedName name="SHARED_FORMULA_9_77_9_77_5" localSheetId="18">#REF!</definedName>
    <definedName name="SHARED_FORMULA_9_77_9_77_5" localSheetId="8">#REF!</definedName>
    <definedName name="SHARED_FORMULA_9_77_9_77_5" localSheetId="10">#REF!</definedName>
    <definedName name="SHARED_FORMULA_9_77_9_77_5" localSheetId="11">#REF!</definedName>
    <definedName name="SHARED_FORMULA_9_77_9_77_5">#REF!</definedName>
    <definedName name="SHARED_FORMULA_9_98_9_98_5" localSheetId="18">#REF!</definedName>
    <definedName name="SHARED_FORMULA_9_98_9_98_5" localSheetId="8">#REF!</definedName>
    <definedName name="SHARED_FORMULA_9_98_9_98_5" localSheetId="10">#REF!</definedName>
    <definedName name="SHARED_FORMULA_9_98_9_98_5" localSheetId="11">#REF!</definedName>
    <definedName name="SHARED_FORMULA_9_98_9_98_5">#REF!</definedName>
    <definedName name="x" localSheetId="8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<sst xmlns="http://schemas.openxmlformats.org/spreadsheetml/2006/main" count="3182" uniqueCount="1090">
  <si>
    <t>Önkormányzati közfoglalkoztatottak éves létszám-erőirányzata</t>
  </si>
  <si>
    <t>Eredeti átlag létszám</t>
  </si>
  <si>
    <t>Rövid időtartamú közfoglalkoztatás</t>
  </si>
  <si>
    <t>- Dunaalmási Kirendeltésg</t>
  </si>
  <si>
    <t>- Dunaszentmiklósi Kirendeltésg</t>
  </si>
  <si>
    <t>- Neszmélyi Kirendeltség</t>
  </si>
  <si>
    <t>Tata Város Önkormányzat 2013. évi költségvetési terve (szakfeladatok és kiemelt előirányzatok szerinti bontásban) ( E Ft-ban)</t>
  </si>
  <si>
    <t>Bevétel</t>
  </si>
  <si>
    <t>Kiadás</t>
  </si>
  <si>
    <t>Hiteltörl. Kölcsön</t>
  </si>
  <si>
    <t>Tartalékok</t>
  </si>
  <si>
    <t>Költségvetési szerveknek folyósított támogtás</t>
  </si>
  <si>
    <t xml:space="preserve">Személyi juttatások </t>
  </si>
  <si>
    <t>M.adókat terh. jár.</t>
  </si>
  <si>
    <t xml:space="preserve">Dologi egyéb folyó </t>
  </si>
  <si>
    <t>Pénzeszk. Átadás</t>
  </si>
  <si>
    <t>Önk.által foly. ellátás</t>
  </si>
  <si>
    <t>Kötelező</t>
  </si>
  <si>
    <t>020000</t>
  </si>
  <si>
    <t>Erdőgazdálkodás</t>
  </si>
  <si>
    <t>Víztermelés-kezelés ellátás</t>
  </si>
  <si>
    <t>Szennyvíz gyűjtése, tisztítása, elhelyezése</t>
  </si>
  <si>
    <t>Települési hulladék gyűjtése, szállítása</t>
  </si>
  <si>
    <t>Nem kötelező</t>
  </si>
  <si>
    <t>Lakó- és nem lakóépület építése</t>
  </si>
  <si>
    <t>Út, autópálya építése</t>
  </si>
  <si>
    <t>Városi közúti személyszállítás</t>
  </si>
  <si>
    <t>Helyi utak fenntartása</t>
  </si>
  <si>
    <t>Könyvkiadás</t>
  </si>
  <si>
    <t>Egyéb kiadói tevékenység (lapkiadás)</t>
  </si>
  <si>
    <t>Lakóingatlan bérbeadása</t>
  </si>
  <si>
    <t>Nem lakóingatlan bérbeadása</t>
  </si>
  <si>
    <t>Állategészségügyi ellátás</t>
  </si>
  <si>
    <t>Zöldterület kezelés (parkfenntartás)</t>
  </si>
  <si>
    <t>Zöldterület kezelés (játszótér)</t>
  </si>
  <si>
    <t>Állam (igazgatás)</t>
  </si>
  <si>
    <t>Önkormányzati jogalkotás</t>
  </si>
  <si>
    <t>Önkormányzati jogalkotás (Pénzmaradvány)</t>
  </si>
  <si>
    <t>Adó, illeték kiszabása, beszedése, adóellenőrzés</t>
  </si>
  <si>
    <t>Önkormányzati vagyonnal való gazdálkodással kapcsolatos feladatok</t>
  </si>
  <si>
    <t>Nemzeti ünnepek programjai</t>
  </si>
  <si>
    <t>Kiemelt önkormányzati rendezvények (Minimarathon)</t>
  </si>
  <si>
    <t>Kiemelt önkormányzati rendezvények (Városi ünnepek)</t>
  </si>
  <si>
    <t xml:space="preserve">Kiemelt önkormányzati rendezvények </t>
  </si>
  <si>
    <t>Környezet- és természetvédelem helyi igazgatása és szabályozása</t>
  </si>
  <si>
    <t>Kis- és középvállalkozások támogatása</t>
  </si>
  <si>
    <t>Közvilágítás</t>
  </si>
  <si>
    <t>Város- és községgazdálkodás (Közbeszerzés)</t>
  </si>
  <si>
    <t>Város- és községgazdálkodás (VKG)</t>
  </si>
  <si>
    <t>Város- és községgazdálkodás (Építés- és területfejlesztés)</t>
  </si>
  <si>
    <t>Önkormányzatok elszámolása (normatíva)</t>
  </si>
  <si>
    <t>Központi költségvetési befizetések</t>
  </si>
  <si>
    <t>Finanszírozási műveletek</t>
  </si>
  <si>
    <t>Önkormányzatok elszámolása költségvetési szerveikkel</t>
  </si>
  <si>
    <t>Működési- és felhalmozási tartalék</t>
  </si>
  <si>
    <t>Önkormányzatok nemzetközi kapcsolatai "HUSK"</t>
  </si>
  <si>
    <t>Önkormányzatok nemzetközi kapcsolatai (Testvérvárosi feladatok)</t>
  </si>
  <si>
    <t>Önkormányzatok nemzetközi kapcsolatai (Intraktív generációk)</t>
  </si>
  <si>
    <t>Önkormányzatok nemzetközi kapcsolatai (Pons Danubi)</t>
  </si>
  <si>
    <t>Közterület rendjének fenntartása (Polgárőrség, Rendőrség)</t>
  </si>
  <si>
    <t>Tűzoltás, műszaki mentés, katasztrófa elhárítás (Polgári védelem)</t>
  </si>
  <si>
    <t>Lakosság felkészítése, tájékoztatás, riasztás</t>
  </si>
  <si>
    <t>Óvodai nevelés, ellátás</t>
  </si>
  <si>
    <t>Alapfokú oktatás intézményeinek támogatása</t>
  </si>
  <si>
    <t>Alapfokú oktatás (Tanulmányi ösztöndíjak)</t>
  </si>
  <si>
    <t>Középfokú oktatás int. program támogatása</t>
  </si>
  <si>
    <t>Sport, szabadidős képzés (Tanuszoda)</t>
  </si>
  <si>
    <t>Pedagógiai szakmai szolgáltatás</t>
  </si>
  <si>
    <t>Megújuló energia rendszerek fejlesztése pályázat HUSK/1301/2.1-1 268/2013.(V.30.) Tata Kt. határozat (Kőkúti Iskola, Kincseskert Óvoda és a Közös Önkormányzati Hivatal épületeének napelemes rendszerrel való felszerelése)</t>
  </si>
  <si>
    <t>Gombkötő u. 2/b. ingatlan vételára 288/2013.(V.30.) Tata Kt. határozat</t>
  </si>
  <si>
    <t>Gesztenye-fasor 47/a. 1/2. szám alatti, 1988/4/A/10 hrsz.-ú, 36 m2 nagyságú komfortos társasházi lakás 305/2013.(V.30.) Tata Kt. határozat</t>
  </si>
  <si>
    <t>Jázmin u. 40. szám alatti, 2006/41/A/1 hrsz.-ú, 41 m2 nagyságú komfortos társasházi lakás 305/2013.(V.30.) Tata Kt. határozat</t>
  </si>
  <si>
    <t>Távhő Kft. által végrehajtott beruházások átvétele 314/2013.(VI.28.) Tata Kt. határozat</t>
  </si>
  <si>
    <t>A tatai 15374/11 és 15374/12 hrsz.-ú ingatlanokból a 118 m2 nagyságú terület megvételére 377/2013.(VII.12.) Tata Kt. határozat</t>
  </si>
  <si>
    <t>Fényképezőgép beszerzésére (egyéb kiadói tevékenységgel összefüggésben)</t>
  </si>
  <si>
    <t>Tatai Városgazda Nonprofit Kft. jegyzett tőke emelése - általános tartalékból</t>
  </si>
  <si>
    <t>Intézmények Gazdasági Hivatala önként vállalt feladat - új Egészségügyi Alapellátó Intézmény részére eszköz beszerzésre</t>
  </si>
  <si>
    <t>Kincseskert Óvoda cirkulációs vezeték 260/2013. (V.30.) Tata Kt. határozat</t>
  </si>
  <si>
    <t>Magyary Zoltán Művelődési Központ: nyílászáró csere 266/2013.(V.30.) Tata Kt. határozat</t>
  </si>
  <si>
    <t>Kálvária u. 5. ingatlan felújítására 376/2013.(VII.12.) Tata Kt. határozat</t>
  </si>
  <si>
    <t>A tatai Angolpark rehabilitációja című projekthez kapcsolódó együttműködési megállapodás - 11135. számú országos közút felújításához 957 E Ft önerő 383/2013.(VII.12.) Tata Kt. határozat</t>
  </si>
  <si>
    <t>Szivárvány Óvoda felújítási tervei</t>
  </si>
  <si>
    <t>Egészségügyi intézmények programjainak támogatása</t>
  </si>
  <si>
    <t>Járóbeteg ellátás, fogorvosi ellátás támogatása</t>
  </si>
  <si>
    <t>Bentlakásos szociális ellátások intézményi programjainak támogatása</t>
  </si>
  <si>
    <t>Bentlakás nélküli szociális ellátás támogatása</t>
  </si>
  <si>
    <t>Aktívkorúak ellátása</t>
  </si>
  <si>
    <t>Lakásfenntartási támogatás (helyi)</t>
  </si>
  <si>
    <t>Ápolási díj (alanyi jogon)</t>
  </si>
  <si>
    <t>Ápolási díj (méltányossági alapon)</t>
  </si>
  <si>
    <t>Rendkívüli gyermekvédelmi ellátás</t>
  </si>
  <si>
    <t>Egyéb önkormányzati eseti ellátás (szociális ösztöndíj)</t>
  </si>
  <si>
    <t>Egyéb önkormányzati eseti pénbeni ellátások (életkezdési támogatás)</t>
  </si>
  <si>
    <t>Bölcsődei ellátás</t>
  </si>
  <si>
    <t>Jelzőrendszeres házi segítségnyújtás</t>
  </si>
  <si>
    <t>Támogató szolgáltatás</t>
  </si>
  <si>
    <t>Központi költségvetésből származó támogatások</t>
  </si>
  <si>
    <t>Fejlesztési célú támogatások - Központi költségvetésből</t>
  </si>
  <si>
    <t>Otthonteremtési támogatás</t>
  </si>
  <si>
    <t>2013 .07. 01-től</t>
  </si>
  <si>
    <t>Bláthy Ottó Szakközép Iskola, Szakiskola és Kollégium - Szakmai Képzésért Közalapítvány</t>
  </si>
  <si>
    <t>Tatai Református Egyházközség Hajnalcsillag Tatai Református Óvoda támogatása</t>
  </si>
  <si>
    <t>Önkormányzati Szövetségnek árvíz elleni védekezésre</t>
  </si>
  <si>
    <t>Vértes Volán Zrt. helyi közösségi közlekedés támogatása</t>
  </si>
  <si>
    <t>Magyar Máltai Szeretetszolgálat Csilla von Boeselager Gondviselés Háza Támogató Szolgálat és Idősek Napközisotthon támogatása</t>
  </si>
  <si>
    <t>Komárom-Esztergom Megyei 104 Mentőalapítvány támogatása</t>
  </si>
  <si>
    <t>Kőkúti Sasok DSE</t>
  </si>
  <si>
    <t>Szociális Háló Közalapítvány</t>
  </si>
  <si>
    <t>Tatai Kistérségi Többcélú Társulás</t>
  </si>
  <si>
    <t>- Vakok és Gyengénlátók KEM Egyesülete - eszközbeszerzés támogatása</t>
  </si>
  <si>
    <t>- "Kéz a Kézben Alapítvány - országos strandröplabda bajnokság</t>
  </si>
  <si>
    <t>- Tatai Shotokan Karate SE - Tóth Krisztián eb, ob diákolimpiai részvételre</t>
  </si>
  <si>
    <t>- Eötvös József Gimnázium - nyári tehetséggondozó tábor</t>
  </si>
  <si>
    <t>- Magyar Vöröskereszt tatai szervezete - 2013. évi egészgégkárosodott és hátrányos helyzetű gyermektábor támogatása</t>
  </si>
  <si>
    <t>- Tatai Városi Nyugdíjas Klub - rendezvények terembérleti díja, klubtalálkozón való részvétel, Gútai cserekapcsolat</t>
  </si>
  <si>
    <t>Felújításhoz kapcsolódó ÁFA visszatérülés</t>
  </si>
  <si>
    <t>- Tatai Mecénás Közalapítvány - Fiatal Művészek támogatása</t>
  </si>
  <si>
    <t>- Tatai Kenderke Alapítvány - fellépések, tanulmányutak, utazási költség</t>
  </si>
  <si>
    <t>- Magyar Máltai Szeretetszolgálat - akadálymentesített feljáró, felvonó befedése</t>
  </si>
  <si>
    <t>Kistérségi Időskorúak Otthona feladatmutatóinak időarányos átvétele</t>
  </si>
  <si>
    <t>Közösségi szolgáltatás</t>
  </si>
  <si>
    <t>Önkormányzat által nyújtott lakástámogatás</t>
  </si>
  <si>
    <t>Önkormányzat ifjúsági kezdeményezések és programok (Gyermekbarát város)</t>
  </si>
  <si>
    <t>Bérpótló juttatásra jogosultak hosszabb időtartamú közfoglalkoztatása</t>
  </si>
  <si>
    <t>Közművelődési tevékenységek és támogatásuk</t>
  </si>
  <si>
    <t>Tavasz utcai parkoló felújítása - Általános tartalékból</t>
  </si>
  <si>
    <t>Hangszer beszerzés a Menner Bernát Zeneiskola részére - Általános tartalékból</t>
  </si>
  <si>
    <t>Aradi vértanúk emlékoszlopra - 527 E Ft Általános tartalékból</t>
  </si>
  <si>
    <t>Utánpótlás-nevelési tevékenység támogatása (Sportiskola)</t>
  </si>
  <si>
    <t>Máshová nem sorolható egyéb sporttámogatás</t>
  </si>
  <si>
    <t>Szabadidős park, fürdő és strandszolgáltatás</t>
  </si>
  <si>
    <t>Közösségi társadalmi tevékenység (TDM)</t>
  </si>
  <si>
    <t>Köztemető fenntartás és működtetés</t>
  </si>
  <si>
    <t xml:space="preserve"> Kötelező összesen:</t>
  </si>
  <si>
    <t>Nem kötelező összesen:</t>
  </si>
  <si>
    <t>Állam (igazgatás) összesen:</t>
  </si>
  <si>
    <t>TAC Labdarúgó pályához szükséges önerő</t>
  </si>
  <si>
    <t>Tatai Televízió Közalapítványnak</t>
  </si>
  <si>
    <t>Tatai Polgármesteri Hivatal 2013. évi költségvetési terve (szakfeladatok és kiemelt előirányzatok szerinti bontásban) ( E Ft-ban)</t>
  </si>
  <si>
    <t>Út, autópálya építés</t>
  </si>
  <si>
    <t>552001</t>
  </si>
  <si>
    <t>Üdülői szálláshely szolgáltatás</t>
  </si>
  <si>
    <t>Önkormányzatok és társulások általános végrehajtó tevékenysége</t>
  </si>
  <si>
    <t>Város- és községgazdálkodás</t>
  </si>
  <si>
    <t>Önkormányzat elszámolása költségvetési szerveikkel</t>
  </si>
  <si>
    <t xml:space="preserve">Egyéb önk. Eseti ellátások </t>
  </si>
  <si>
    <t>Munkáltatók által nyújtott lakástámogatások</t>
  </si>
  <si>
    <t>Ápolási díj (méltányossági)</t>
  </si>
  <si>
    <t>Máshova nem sorolható személyi szolgáltatás (Anyakönyv)</t>
  </si>
  <si>
    <t>Kötelező összesen:</t>
  </si>
  <si>
    <t>770000</t>
  </si>
  <si>
    <t>Kölcsönzés, lízing</t>
  </si>
  <si>
    <t>821000</t>
  </si>
  <si>
    <t>Adminisztratív szolgáltatás</t>
  </si>
  <si>
    <t>841112</t>
  </si>
  <si>
    <t>Tatai Közös Önkormányzati Hivatal Tatai szervezeti egység 2013. évi költségvetési terve (szakfeladatok és kiemelt előirányzatok szerinti bontásban) ( E Ft-ban)</t>
  </si>
  <si>
    <t>- Közös Hivatal székhely szerinti szervezeti egysége</t>
  </si>
  <si>
    <t>Neszmélyi kirendeltség</t>
  </si>
  <si>
    <t>Önkormányzatok és társulások általános végrehajtó és igazgatási tevékenysége</t>
  </si>
  <si>
    <t xml:space="preserve">Aktív korúak ellátása </t>
  </si>
  <si>
    <t>882113</t>
  </si>
  <si>
    <t>882112</t>
  </si>
  <si>
    <t>Időskorúak ellátása</t>
  </si>
  <si>
    <t>Dunaalmási kirendeltség</t>
  </si>
  <si>
    <t>841126</t>
  </si>
  <si>
    <t>Neszmélyi kirendeltség összesen:</t>
  </si>
  <si>
    <t>Dunaalmási kirendeltség összesen:</t>
  </si>
  <si>
    <t>Dunaszentmiklósi kirendelség</t>
  </si>
  <si>
    <t>Dunaszentmiklósi kirendelség összesen:</t>
  </si>
  <si>
    <t>Tata összesen:</t>
  </si>
  <si>
    <t>Tata Város Közterület-felügyelete 2013. évi költségvetési terve (szakfeladatok és kiemelt előirányzatok szerinti bontásban) ( E Ft-ban)</t>
  </si>
  <si>
    <t>Pénzeszk. átadás és kezesség váll.</t>
  </si>
  <si>
    <t>Közterület rendjének fenntartása (Közterület Felügyelet)</t>
  </si>
  <si>
    <t>Tata Város Önkormányzata 2013. évi költségvetéséhez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</si>
  <si>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</si>
  <si>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</si>
  <si>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</si>
  <si>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</si>
  <si>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</si>
  <si>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</si>
  <si>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</si>
  <si>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</si>
  <si>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</si>
  <si>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</si>
  <si>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</si>
  <si>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</si>
  <si>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</si>
  <si>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</si>
  <si>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</si>
  <si>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</si>
  <si>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</si>
  <si>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</si>
  <si>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</si>
  <si>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</si>
  <si>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</si>
  <si>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</si>
  <si>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</si>
  <si>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</si>
  <si>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1.a) + 1.b) Önk.Hivatal működtet.+Telep.üzemelt.kapcs.felad.támogatása együtt</t>
  </si>
  <si>
    <t>Önkormányzat elvárt bevétele: 2011.ip.űz.adóalap 0,5 %-a</t>
  </si>
  <si>
    <t>I.1.c)</t>
  </si>
  <si>
    <t>Kossth tér városközpont értékmegörző rehabilitációja KDOP-3.1.I/A.-09-1f-2010-0001</t>
  </si>
  <si>
    <t>Erópadíj</t>
  </si>
  <si>
    <t xml:space="preserve">TÁMOP 1.1.2., illetve I. Munkahely Garancia címén átvett támogatás </t>
  </si>
  <si>
    <t>Tata, Kossuth tér városközpont értékmegőrző rehabilitációja KDOP–3.1.1/A–09-1f-2010-0001, Bercsényi u. 1. ingatlan funkcióváltásával kapcsolatban a 471/2013. (X.10.) Tata Kt. határozat alapján</t>
  </si>
  <si>
    <t>Közművek megvételére a Barina Kft-től (Molnár utca (hrsz.:460/87) csapadék csatorna, Molnár-Vitéz-Gázgyár u. szennyvíz csatorna) a 489/2013. (X.31.) tata Kt. határozat alapján</t>
  </si>
  <si>
    <t>1243 hrsz.-ú ingatlanon labdarúgó pálya kialakítás pályázat benyújtásához 491/2013. (X.31.) Tata Kt. határozat alapján</t>
  </si>
  <si>
    <t>Tatai 460/135 hrsz.-ú ingatlanból a lakóházak  által elfoglalt telekrész megszerzéséhez 509/2013. (X.31.) Tata Kt. határozat alapján</t>
  </si>
  <si>
    <t xml:space="preserve">Ingatlan vásárlás  </t>
  </si>
  <si>
    <t>Tatai Fürdő utcai néphagyományörző Óvoda - számítógép beszerzés</t>
  </si>
  <si>
    <t>Móricz Zsigmond Városi Könyvtár - nagy értékű tárgyi eszköz beszerzés</t>
  </si>
  <si>
    <t>1. Az 1. táblázatot módosította a 15/2013.(V.2.) önkormányzati rendelet 1. §-a   Hatályos: 2013. május 2. napjától.</t>
  </si>
  <si>
    <t>2. Az 1. táblázatot módosította a 20/2013.(V.31.) önkormányzati rendelet  3. §-a Hatályos: 2013. június 3. napjától .</t>
  </si>
  <si>
    <t>3. Az 1. táblázatot módosította a 24/2013.(IX.13.) önkormányzati rendelet  2. §-a Hatályos: 2013. szeptember 16. napjától.</t>
  </si>
  <si>
    <t>4. Az 1. táblázatot módosította a 34/2013.(XII.19.) önkormányzati rendelet  2. §-a Hatályos: 2013. december 20. napjától.</t>
  </si>
  <si>
    <t>5. Az 1. táblázatot módosította a 2/2014.(II.27.) önkormányzati rendelet  2. §-a Hatályos: 2014. február 28. napjától.</t>
  </si>
  <si>
    <t>1. A 2. táblázatot módosította a 15/2013.(V.2.) önkormányzati rendelet 1. §-a   Hatályos: 2013. május 2. napjától.</t>
  </si>
  <si>
    <t>2. A 2. táblázatot módosította a 20/2013.(V.31.) önkormányzati rendelet  3. §-a Hatályos: 2013. június 3. napjától .</t>
  </si>
  <si>
    <t>3. A 2. táblázatot módosította a 24/2013.(IX.13.) önkormányzati rendelet  2. §-a Hatályos: 2013. szeptember 16. napjától.</t>
  </si>
  <si>
    <t>4. A 2. táblázatot módosította a 34/2013.(XII.19.) önkormányzati rendelet  2. §-a Hatályos: 2013. december 20. napjától.</t>
  </si>
  <si>
    <t>5. A 2. táblázatot módosította a 2/2014.(II.27.) önkormányzati rendelet  2. §-a Hatályos: 2014. február 28. napjától.</t>
  </si>
  <si>
    <t>1. A 3. táblázatot módosította a 15/2013.(V.2.) önkormányzati rendelet 1. §-a   Hatályos: 2013. május 2. napjától.</t>
  </si>
  <si>
    <t>2. A 3. táblázatot módosította a 20/2013.(V.31.) önkormányzati rendelet  3. §-a Hatályos: 2013. június 3. napjától .</t>
  </si>
  <si>
    <t>3. A 3. táblázatot módosította a 24/2013.(IX.13.) önkormányzati rendelet  2. §-a Hatályos: 2013. szeptember 16. napjától.</t>
  </si>
  <si>
    <t>4. A 3. táblázatot módosította a 34/2013.(XII.19.) önkormányzati rendelet  2. §-a Hatályos: 2013. december 20. napjától.</t>
  </si>
  <si>
    <t>5. A 3. táblázatot módosította a 2/2014.(II.27.) önkormányzati rendelet  2. §-a Hatályos: 2014. február 28. napjától.</t>
  </si>
  <si>
    <t>1. A 4. táblázatot módosította a 15/2013.(V.2.) önkormányzati rendelet 1. §-a   Hatályos: 2013. május 2. napjától.</t>
  </si>
  <si>
    <t>2. A 4. táblázatot módosította a 20/2013.(V.31.) önkormányzati rendelet  3. §-a Hatályos: 2013. június 3. napjától .</t>
  </si>
  <si>
    <t>3. A 4. táblázatot módosította a 24/2013.(IX.13.) önkormányzati rendelet  2. §-a Hatályos: 2013. szeptember 16. napjától.</t>
  </si>
  <si>
    <t>4. A 4. táblázatot módosította a 34/2013.(XII.19.) önkormányzati rendelet  2. §-a Hatályos: 2013. december 20. napjától.</t>
  </si>
  <si>
    <t>5. A 4. táblázatot módosította a 2/2014.(II.27.) önkormányzati rendelet  2. §-a Hatályos: 2014. február 28. napjától.</t>
  </si>
  <si>
    <t>1. Az 5. táblázatot módosította a 15/2013.(V.2.) önkormányzati rendelet 1. §-a   Hatályos: 2013. május 2. napjától.</t>
  </si>
  <si>
    <t>2. Az 5. táblázatot módosította a 20/2013.(V.31.) önkormányzati rendelet  3. §-a Hatályos: 2013. június 3. napjától .</t>
  </si>
  <si>
    <t>3. Az 5. táblázatot módosította a 24/2013.(IX.13.) önkormányzati rendelet  2. §-a Hatályos: 2013. szeptember 16. napjától.</t>
  </si>
  <si>
    <t>4. Az 5. táblázatot módosította a 34/2013.(XII.19.) önkormányzati rendelet  2. §-a Hatályos: 2013. december 20. napjától.</t>
  </si>
  <si>
    <t>5. Az 5. táblázatot módosította a 2/2014.(II.27.) önkormányzati rendelet  2. §-a Hatályos: 2014. február 28. napjától.</t>
  </si>
  <si>
    <t>1. A 6. táblázatot módosította a 15/2013.(V.2.) önkormányzati rendelet 1. §-a   Hatályos: 2013. május 2. napjától.</t>
  </si>
  <si>
    <t>2. A 6. táblázatot módosította a 20/2013.(V.31.) önkormányzati rendelet  3. §-a Hatályos: 2013. június 3. napjától .</t>
  </si>
  <si>
    <t>3. A 6. táblázatot módosította a 24/2013.(IX.13.) önkormányzati rendelet  2. §-a Hatályos: 2013. szeptember 16. napjától.</t>
  </si>
  <si>
    <t>4. A 6. táblázatot módosította a 34/2013.(XII.19.) önkormányzati rendelet  2. §-a Hatályos: 2013. december 20. napjától.</t>
  </si>
  <si>
    <t>5. A 6. táblázatot módosította a 2/2014.(II.27.) önkormányzati rendelet  2. §-a Hatályos: 2014. február 28. napjától.</t>
  </si>
  <si>
    <t>1. A 7. táblázatot módosította a 15/2013.(V.2.) önkormányzati rendelet 1. §-a   Hatályos: 2013. május 2. napjától.</t>
  </si>
  <si>
    <t>2. A 7. táblázatot módosította a 20/2013.(V.31.) önkormányzati rendelet  3. §-a Hatályos: 2013. június 3. napjától .</t>
  </si>
  <si>
    <t>3. A 7. táblázatot módosította a 24/2013.(IX.13.) önkormányzati rendelet  2. §-a Hatályos: 2013. szeptember 16. napjától.</t>
  </si>
  <si>
    <t>4. A 7. táblázatot módosította a 34/2013.(XII.19.) önkormányzati rendelet  2. §-a Hatályos: 2013. december 20. napjától.</t>
  </si>
  <si>
    <t>5. A 7. táblázatot módosította a 2/2014.(II.27.) önkormányzati rendelet  2. §-a Hatályos: 2014. február 28. napjától.</t>
  </si>
  <si>
    <t>1. A 8. táblázatot módosította a 15/2013.(V.2.) önkormányzati rendelet 1. §-a   Hatályos: 2013. május 2. napjától.</t>
  </si>
  <si>
    <t>2. A 8. táblázatot módosította a 20/2013.(V.31.) önkormányzati rendelet  3. §-a Hatályos: 2013. június 3. napjától .</t>
  </si>
  <si>
    <t>3. A 8. táblázatot módosította a 24/2013.(IX.13.) önkormányzati rendelet  2. §-a Hatályos: 2013. szeptember 16. napjától.</t>
  </si>
  <si>
    <t>4. A 8. táblázatot módosította a 34/2013.(XII.19.) önkormányzati rendelet  2. §-a Hatályos: 2013. december 20. napjától.</t>
  </si>
  <si>
    <t>5. A 8. táblázatot módosította a 2/2014.(II.27.) önkormányzati rendelet  2. §-a Hatályos: 2014. február 28. napjától.</t>
  </si>
  <si>
    <t>1. A 9. táblázatot módosította a 15/2013.(V.2.) önkormányzati rendelet 1. §-a   Hatályos: 2013. május 2. napjától.</t>
  </si>
  <si>
    <t>2. A 9. táblázatot módosította a 20/2013.(V.31.) önkormányzati rendelet  3. §-a Hatályos: 2013. június 3. napjától .</t>
  </si>
  <si>
    <t>3. A 9. táblázatot módosította a 24/2013.(IX.13.) önkormányzati rendelet  2. §-a Hatályos: 2013. szeptember 16. napjától.</t>
  </si>
  <si>
    <t>4. A 9. táblázatot módosította a 34/2013.(XII.19.) önkormányzati rendelet  2. §-a Hatályos: 2013. december 20. napjától.</t>
  </si>
  <si>
    <t>5. A 9. táblázatot módosította a 2/2014.(II.27.) önkormányzati rendelet  2. §-a Hatályos: 2014. február 28. napjától.</t>
  </si>
  <si>
    <t>1. A 10. táblázatot módosította a 15/2013.(V.2.) önkormányzati rendelet 1. §-a   Hatályos: 2013. május 2. napjától.</t>
  </si>
  <si>
    <t>2. A 10. táblázatot módosította a 20/2013.(V.31.) önkormányzati rendelet  3. §-a Hatályos: 2013. június 3. napjától .</t>
  </si>
  <si>
    <t>3. A 10. táblázatot módosította a 24/2013.(IX.13.) önkormányzati rendelet  2. §-a Hatályos: 2013. szeptember 16. napjától.</t>
  </si>
  <si>
    <t>4. A 10. táblázatot módosította a 34/2013.(XII.19.) önkormányzati rendelet  2. §-a Hatályos: 2013. december 20. napjától.</t>
  </si>
  <si>
    <t>5. A 10. táblázatot módosította a 2/2014.(II.27.) önkormányzati rendelet  2. §-a Hatályos: 2014. február 28. napjától.</t>
  </si>
  <si>
    <t>1. A 11. táblázatot módosította a 15/2013.(V.2.) önkormányzati rendelet 1. §-a   Hatályos: 2013. május 2. napjától.</t>
  </si>
  <si>
    <t>2. A 11. táblázatot módosította a 20/2013.(V.31.) önkormányzati rendelet  3. §-a Hatályos: 2013. június 3. napjától .</t>
  </si>
  <si>
    <t>3. A 11. táblázatot módosította a 24/2013.(IX.13.) önkormányzati rendelet  2. §-a Hatályos: 2013. szeptember 16. napjától.</t>
  </si>
  <si>
    <t>4. A 11. táblázatot módosította a 34/2013.(XII.19.) önkormányzati rendelet  2. §-a Hatályos: 2013. december 20. napjától.</t>
  </si>
  <si>
    <t>5. A 11. táblázatot módosította a 2/2014.(II.27.) önkormányzati rendelet  2. §-a Hatályos: 2014. február 28. napjától.</t>
  </si>
  <si>
    <t>1. A 12. táblázatot módosította a 15/2013.(V.2.) önkormányzati rendelet 1. §-a   Hatályos: 2013. május 2. napjától.</t>
  </si>
  <si>
    <t>2. A 12. táblázatot módosította a 20/2013.(V.31.) önkormányzati rendelet  3. §-a Hatályos: 2013. június 3. napjától .</t>
  </si>
  <si>
    <t>3. A 12. táblázatot módosította a 24/2013.(IX.13.) önkormányzati rendelet  2. §-a Hatályos: 2013. szeptember 16. napjától.</t>
  </si>
  <si>
    <t>4. A 12. táblázatot módosította a 34/2013.(XII.19.) önkormányzati rendelet  2. §-a Hatályos: 2013. december 20. napjától.</t>
  </si>
  <si>
    <t>5. A 12. táblázatot módosította a 2/2014.(II.27.) önkormányzati rendelet  2. §-a Hatályos: 2014. február 28. napjától.</t>
  </si>
  <si>
    <t>1. A 13. táblázatot módosította a 15/2013.(V.2.) önkormányzati rendelet 1. §-a   Hatályos: 2013. május 2. napjától.</t>
  </si>
  <si>
    <t>2. A 13. táblázatot módosította a 20/2013.(V.31.) önkormányzati rendelet  3. §-a Hatályos: 2013. június 3. napjától .</t>
  </si>
  <si>
    <t>3. A 13. táblázatot módosította a 24/2013.(IX.13.) önkormányzati rendelet  2. §-a Hatályos: 2013. szeptember 16. napjától.</t>
  </si>
  <si>
    <t>4. A 13. táblázatot módosította a 34/2013.(XII.19.) önkormányzati rendelet  2. §-a Hatályos: 2013. december 20. napjától.</t>
  </si>
  <si>
    <t>5. A 13. táblázatot módosította a 2/2014.(II.27.) önkormányzati rendelet  2. §-a Hatályos: 2014. február 28. napjától.</t>
  </si>
  <si>
    <t>Adósságot keletkeztető ügyletek</t>
  </si>
  <si>
    <t xml:space="preserve"> 2013 - 2031-ig a kötvénykibocsátást és a hitel visszafizetéseket figyelembe véve (E Ft-ban)</t>
  </si>
  <si>
    <t>(2012.12.18-ai  adatok alapján)</t>
  </si>
  <si>
    <t>Kötvénykibocsátás 6 havi CHF LIBOR + 0,7 %=0,822%(átlag 1%)</t>
  </si>
  <si>
    <t>Felhalmozási hitelek</t>
  </si>
  <si>
    <t xml:space="preserve">Hosszú lejáratú fejlesztési hitel CHF 3 havi CHF LIBOR +0,1%= 0,132 %                         </t>
  </si>
  <si>
    <t>Fejlesztési  hitel kisbusz vásárláshoz (CHF változó kamatozás)</t>
  </si>
  <si>
    <t>Tartozás 2013.</t>
  </si>
  <si>
    <t xml:space="preserve">törlesztés </t>
  </si>
  <si>
    <t>kamat</t>
  </si>
  <si>
    <t>Tartozás 2014.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</si>
  <si>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</si>
  <si>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</si>
  <si>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</si>
  <si>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</si>
  <si>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</si>
  <si>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</si>
  <si>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</si>
  <si>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</si>
  <si>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</si>
  <si>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</si>
  <si>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Tartozás 2025.</t>
  </si>
  <si>
    <t>Tartozás 2026.</t>
  </si>
  <si>
    <t>Tartozás 2027.</t>
  </si>
  <si>
    <t>Tartozás 2028.</t>
  </si>
  <si>
    <t>Tartozás 2029.</t>
  </si>
  <si>
    <t>Tartozás 2030.</t>
  </si>
  <si>
    <t>Tartozás 2031.</t>
  </si>
  <si>
    <t>2013 – 2017-ig készfizető kezesség vállalást figyelembe véve E Ft-ban</t>
  </si>
  <si>
    <t>Kedvezményezettek</t>
  </si>
  <si>
    <t>Tatai Távhőszolgáltató Kft.</t>
  </si>
  <si>
    <t>Tata-Tóparti Víziközmű Társulat</t>
  </si>
  <si>
    <t xml:space="preserve"> 2013.</t>
  </si>
  <si>
    <t>egyéb költség</t>
  </si>
  <si>
    <t xml:space="preserve"> 2014.</t>
  </si>
  <si>
    <t xml:space="preserve"> 2015.</t>
  </si>
  <si>
    <t xml:space="preserve">  </t>
  </si>
  <si>
    <t xml:space="preserve"> </t>
  </si>
  <si>
    <t xml:space="preserve"> 2016.</t>
  </si>
  <si>
    <t xml:space="preserve"> 2017.</t>
  </si>
  <si>
    <t xml:space="preserve">          Tata Város Önkormányzat és költségvetési szervei 2012.évi pénzmaradványának igénybevétele (E Ft)</t>
  </si>
  <si>
    <t>működési és felhalmozási bontásban ( az előterjesztésben részletezettek alapján)</t>
  </si>
  <si>
    <t>Polgármesteri Hivatal</t>
  </si>
  <si>
    <t>Közterület-felügyelet</t>
  </si>
  <si>
    <t>Intézmények Gazdasági Hivatala</t>
  </si>
  <si>
    <t>ZÁRSZÁMADÁSBAN JÓVÁHAGYOTT FELHASZNÁLHATÓ PÉNZMARADVÁNY</t>
  </si>
  <si>
    <t>Előirányzatosított pénzmaradvány</t>
  </si>
  <si>
    <t>- működésre</t>
  </si>
  <si>
    <t>- felhalmozásra</t>
  </si>
  <si>
    <t>Módosító tényező (elvonás, növekmény)</t>
  </si>
  <si>
    <t>FELOSZTHATÓ PÉNZMARADVÁNY</t>
  </si>
  <si>
    <t>Zárszámadásban jóváhagyott felosztható pénzmaradvány</t>
  </si>
  <si>
    <t>Személyi juttatásra</t>
  </si>
  <si>
    <t>Járulék</t>
  </si>
  <si>
    <t xml:space="preserve">Felhalmozási tartalék </t>
  </si>
  <si>
    <t>Felhalmozási céltartalék (árfolyamveszteségre)</t>
  </si>
  <si>
    <t>Működési céltartalék (Normatíva elszámolás miatt-Mák felülvizsgálatig nem felhasználható)</t>
  </si>
  <si>
    <t>Működési célú pénzeszközátadás</t>
  </si>
  <si>
    <t>Finanszírozás (IGH)</t>
  </si>
  <si>
    <t xml:space="preserve">Önkormányzatnak vissza - pénzeszközátadás </t>
  </si>
  <si>
    <t>FELOSZTHATÓ PÉNZMARADVÁNY ÖSSZESEN</t>
  </si>
  <si>
    <t xml:space="preserve">Ebből: </t>
  </si>
  <si>
    <t>2012. ÉVI  PÉNZMARADVÁNY FELHASZNÁLÁSA MINDÖSSZESEN:</t>
  </si>
  <si>
    <t>1. A 15. táblázatot módosította a 20/2013.(V.31.) önkormányzati rendelet  3. §-a Hatályos: 2013. június 3. napjától .</t>
  </si>
  <si>
    <t>2. A 15. táblázatot módosította a 24/2013.(IX.13.) önkormányzati rendelet  2. §-a Hatályos: 2013. szeptember 16. napjától.</t>
  </si>
  <si>
    <t>1. A 16. táblázatot módosította a 20/2013.(V.31.) önkormányzati rendelet  3. §-a Hatályos: 2013. június 3. napjától .</t>
  </si>
  <si>
    <t>2. A 16. táblázatot módosította a 24/2013.(IX.13.) önkormányzati rendelet  2. §-a Hatályos: 2013. szeptember 16. napjától.</t>
  </si>
  <si>
    <t>3. A 16. táblázatot módosította a 2/2014.(II.27.) önkormányzati rendelet  2. §-a Hatályos: 2014. február 28. napjától.</t>
  </si>
  <si>
    <t>1. A 17. táblázatot módosította a 15/2013.(V.2.) önkormányzati rendelet 1. §-a   Hatályos: 2013. május 2. napjától.</t>
  </si>
  <si>
    <t>2. A 17. táblázatot módosította a 20/2013.(V.31.) önkormányzati rendelet  3. §-a Hatályos: 2013. június 3. napjától .</t>
  </si>
  <si>
    <t>3. A 17. táblázatot módosította a 24/2013.(IX.13.) önkormányzati rendelet  2. §-a Hatályos: 2013. szeptember 16. napjától.</t>
  </si>
  <si>
    <t>4. A 17. táblázatot módosította a 34/2013.(XII.19.) önkormányzati rendelet  2. §-a Hatályos: 2013. december 20. napjától.</t>
  </si>
  <si>
    <t>5. A 17. táblázatot módosította a 2/2014.(II.27.) önkormányzati rendelet  2. §-a Hatályos: 2014. február 28. napjától.</t>
  </si>
  <si>
    <t>Tata Város Önkormányzatának Európai uniós támogatással megvalósuló projektjeinek tervezett bevételei, kiadásai a beadott kérelmek alapján (E Ft-ban)</t>
  </si>
  <si>
    <t>EU-s projekt neve, azonosítója:</t>
  </si>
  <si>
    <t>Támogatási szerződés kötés időpontja:</t>
  </si>
  <si>
    <t>Megvalósítás tervezett ideje:</t>
  </si>
  <si>
    <t>2013.</t>
  </si>
  <si>
    <t>Források</t>
  </si>
  <si>
    <t>Saját erő, az el nem számolható költségekkel együtt:</t>
  </si>
  <si>
    <t xml:space="preserve"> - saját erőből NFM EU Önerő-támogatás</t>
  </si>
  <si>
    <t>EU-s forrás a támogatási szerződés szerint:</t>
  </si>
  <si>
    <t>Kiadások összesen:</t>
  </si>
  <si>
    <t>EU-s forrás a benyújtott pályázat szerint:</t>
  </si>
  <si>
    <t>Támogatási szerződés kötés várható időpontja:</t>
  </si>
  <si>
    <t xml:space="preserve">A támogatási szerződés megkötése folyamatban van. </t>
  </si>
  <si>
    <t>2013-2014</t>
  </si>
  <si>
    <t xml:space="preserve"> - saját erőből központi támogatás</t>
  </si>
  <si>
    <t>Eu-s forrás a benyújtott pályázat szerint:</t>
  </si>
  <si>
    <t>A pályázat bírálatára várunk.</t>
  </si>
  <si>
    <t>Saját erő:</t>
  </si>
  <si>
    <t>Tata, Deák Ferenc utca önkormányzati tulajdonú belterületi út fejlesztése KDOP-4.2.1/B-11-2012-0022</t>
  </si>
  <si>
    <t>A bírálati folyamat eredményeképpen a pályázat tartaléklistára került.</t>
  </si>
  <si>
    <t>Tata, Baji út és a Kertváros kerékpáros forgalmának komplex rendezése KDOP- 4.2.2-11-2011-0008</t>
  </si>
  <si>
    <t>Nyertes pályázat, támogatási szerződés előkészítése folyamatban.</t>
  </si>
  <si>
    <t>Tatabánya-Vértesszőlős-Tata településeket összekötő közlekedési célú kerékpárút építése az Általér mentén KÖZOP–3.2.0/c-08-2010-0003</t>
  </si>
  <si>
    <t>Támogatási szerződés kötésidőpontja:</t>
  </si>
  <si>
    <t>A projekt tartaléklistára került, szakmai támogatást kaptunk.</t>
  </si>
  <si>
    <t>Benyújtott pályázat, a bírálatra várunk.</t>
  </si>
  <si>
    <t>A pályázat bírálatára várunk</t>
  </si>
  <si>
    <t>Egészségre nevelő és szemléletformáló életmódprogramok a Tatai Kistérségben TÁMOP-6.1.2/11/3</t>
  </si>
  <si>
    <t>Benyújtott pályázat, a bírálatra várunk</t>
  </si>
  <si>
    <t>Vár a könyvt@r - Együtt a kultúráért Tata és környékén TÁMOP-3.213-12/1-2012-0173</t>
  </si>
  <si>
    <t>Befogadó élettér Tatán TÁMOP-3.4.2.A/11-2-2012-0004</t>
  </si>
  <si>
    <t>2012. szeptember 01.</t>
  </si>
  <si>
    <t>Tata Város Önkormányzatának Európai uniós támogatással megvalósuló projektekhez való 2013. évi hozzájárulása (E Ft-ban)</t>
  </si>
  <si>
    <t>Támogatott szervezet:</t>
  </si>
  <si>
    <t>Tata és Környéke Turisztikai Egyesület</t>
  </si>
  <si>
    <t>Projekt azonosítója:</t>
  </si>
  <si>
    <t>KDOP-2.2.1/A-12</t>
  </si>
  <si>
    <t>Támogatás összege:</t>
  </si>
  <si>
    <t>KEOP-5.4.0/11-2011-0018</t>
  </si>
  <si>
    <t>Tatai Egészségügyi Alapellátó Intézmény - eszközök beszerzése</t>
  </si>
  <si>
    <t>Kisbusz beszerzés</t>
  </si>
  <si>
    <t>Felújításhoz kapocsolódó ÁFA visszatérülés</t>
  </si>
  <si>
    <r>
      <t xml:space="preserve">2014. februári módosított előirányzat      </t>
    </r>
    <r>
      <rPr>
        <b/>
        <sz val="12"/>
        <rFont val="Times New Roman CE"/>
        <family val="0"/>
      </rPr>
      <t xml:space="preserve"> E Ft-ban</t>
    </r>
  </si>
  <si>
    <t>Fényes fürdő: Katonai tó lépcsője és partfala, valamint a zuhanyzó felújítása, szivattyú felújítás</t>
  </si>
  <si>
    <t>Gesztenyefasor 43. előtti járda felújítása - Általános tartalékból</t>
  </si>
  <si>
    <t>Kiadás Mód.(XII.18.)</t>
  </si>
  <si>
    <t>Támogatás értékű felhalmozási célú bevétel Mód. (XII.18.)</t>
  </si>
  <si>
    <t>Pénzmaradvány Mód.(XII.18.)</t>
  </si>
  <si>
    <t>Saját bevétel         Mód. (XII.18.)</t>
  </si>
  <si>
    <t>Hiány Mód. (XII.18.)</t>
  </si>
  <si>
    <t>Beszámítás összege: I.1.a)-b) össz.támog.-ból levonva az elvárt bevételt</t>
  </si>
  <si>
    <t>I.1.d)</t>
  </si>
  <si>
    <t>Központosított támogatások</t>
  </si>
  <si>
    <t>Egyéb kötelező önkormányzati feladat támogatása, de legalább 3 Millió Ft</t>
  </si>
  <si>
    <t>I.1.</t>
  </si>
  <si>
    <t>841907</t>
  </si>
  <si>
    <t>A települési önkormányzatok működésének támogatása</t>
  </si>
  <si>
    <t>II.1.</t>
  </si>
  <si>
    <t>Óvodapedagógusok, és az óvodapedagógusok nevelő munkáját közvetlenül segítők bértámogatása</t>
  </si>
  <si>
    <t>Óvodapedagógusok bértámogatása - 8 hóra</t>
  </si>
  <si>
    <t>Óvodapedagógusok bértámogatása - 4 hóra</t>
  </si>
  <si>
    <t>Óvodapedagógusok munkáját közvetlenül segítők bértámogatása - 8 hóra</t>
  </si>
  <si>
    <t>Tatai Városgazda Kft részvételének támogatása a TÁMOP 1.1.2. jelű programon (2013. évi önerő)</t>
  </si>
  <si>
    <t>Felhalmozási céltartalék</t>
  </si>
  <si>
    <t>Dr. Gárdai Eü. Szolg. Bt-nek helyettesítési feladatok támogatására</t>
  </si>
  <si>
    <t>Általános tartalékból</t>
  </si>
  <si>
    <t>- Kisebbségekért - Pro Minoritate Aapítvány XVI. Csángó Bál programjának támogatása</t>
  </si>
  <si>
    <t>- Tatai Atlétikai Klub helyi autóversenyzés támogatása</t>
  </si>
  <si>
    <t>Lakossági közműfejlesztési támogatás</t>
  </si>
  <si>
    <t>Tata Város Közterület-felügyelete pénzeszközátadásainak és támogatásainak 2013. évi előirányzata (E Ft-ban)</t>
  </si>
  <si>
    <t>Otthonteremtési támogatás 2012. évi kifizetése utáni visszaigénylés</t>
  </si>
  <si>
    <t>Árpád-házi Szent Erzsébet Szakkórház és Rendelőintézet 2012. évi bérkompenzáció</t>
  </si>
  <si>
    <t>Tata Közvilágítás Hálózat korszerűsítése</t>
  </si>
  <si>
    <t>Intermodális közösségi közlekedési központ létrehozása Tatán KÖZOP-5.5.0-09-11-2011-0010</t>
  </si>
  <si>
    <t>Ökoturisztikai tanösvény kialakítása a Tatai Fényes Fürdő területén KDOP-2.1.1/B-10-2012-0046</t>
  </si>
  <si>
    <t>Hosszabb időtartamú közfoglalkoztatás</t>
  </si>
  <si>
    <t>Pénzmaradvány átvétel</t>
  </si>
  <si>
    <t>- Tatai Távhő Kft.</t>
  </si>
  <si>
    <t>Pénzmaradvány átadás</t>
  </si>
  <si>
    <t>Közvilágítás korszerűsítése pályázati dokumentáció és pályázati önerő KEOP-2012-5.5.0/A 23/2013. (I.31.) Tata Kt. határozat</t>
  </si>
  <si>
    <t>Angolkert felújítására KEOP-3.1.2/09-11 pályázat benyújtása 148/2013.(V.2.) Tata Kt. határozat</t>
  </si>
  <si>
    <t>1279 hrsz-ú 1593 m2-es ingatlan vételára 81/2013. (II.27.) Tata Kt. határozat</t>
  </si>
  <si>
    <t>Tata, 0328/8 és 0328/6 hrsz.-ú ingatlanok megvétele 97/2013. (II.27.) Tata Kt. határozat és 174/2013.(V.2.) Tata Kt. határozat</t>
  </si>
  <si>
    <t>Fényes-fürdő területére csúszda beszerzése 154/2013.(V.2.)Tata Kt. határozat</t>
  </si>
  <si>
    <t>Kajak-kenu tároló vételára (4008 hrsz) 173/2013.(V.2.)Tata Kt. határozat</t>
  </si>
  <si>
    <t>Gépkocsi beszerzés 107/2013.(III.28.) Tata Kt. határozat</t>
  </si>
  <si>
    <t>Kincseskert Óvoda - TÁMOP-3.4.2.A-11/2-2012-0004 Befogadó Élet-Tér Tatán pályázat</t>
  </si>
  <si>
    <t>Vaszary Villa felújítás 110/2013. (III.28.) Tata Kt. határozat</t>
  </si>
  <si>
    <t>Tatai Református Egyházközségnek a Hajnalcsillag Óvoda felújítására az 513/2013.(XI.28.) Tata Kt. határozata alapján</t>
  </si>
  <si>
    <t>Tata, Erzsébet téri (Szarka közi) útleszakadáshoz 144/2013. (V.2) Tata Kt. határozat</t>
  </si>
  <si>
    <t>Szivárvány Óvoda felújítására 145/2013.(V.2.) Tata Kt. határozat</t>
  </si>
  <si>
    <t>Önkormányzati bérlakások felújítása 113/2013. (III.28.) Tata Kt. határozat</t>
  </si>
  <si>
    <t>Klímabeszerzés a hivatal épületébe</t>
  </si>
  <si>
    <t xml:space="preserve">Hitel igénybevételének felhalmozási célonkénti részletezése E Ft-ban </t>
  </si>
  <si>
    <t>Kiadás eredeti</t>
  </si>
  <si>
    <t>A felhalmozási kiadások forrásai</t>
  </si>
  <si>
    <t>Hiány finanszírozására hitelfelvétel összege eredeti</t>
  </si>
  <si>
    <t>Támogatás értékű felhalmozási célú bevétel eredeti</t>
  </si>
  <si>
    <t>Pénzmaradvány eredeti</t>
  </si>
  <si>
    <t>Saját bevétel eredeti</t>
  </si>
  <si>
    <t>Hiány eredeti</t>
  </si>
  <si>
    <t>2012. évi jóváhagyott kérelem eredeti</t>
  </si>
  <si>
    <t>2013. évi tervezett eredeti</t>
  </si>
  <si>
    <t>BERUHÁZÁSI FELADATOK ÖSSZESEN</t>
  </si>
  <si>
    <t>FELÚJÍTÁSI FELADATOK ÖSSZESEN</t>
  </si>
  <si>
    <t>MINDÖSSZESEN</t>
  </si>
  <si>
    <t>Óvodapedagógusok munkáját közvetlenül segítők bértámogatása - 4 hóra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</si>
  <si>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</si>
  <si>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</si>
  <si>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</si>
  <si>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Óvodaműködtetési támogatás 8 hóra</t>
  </si>
  <si>
    <t>Óvodaműködtetési támogatás 4 hóra</t>
  </si>
  <si>
    <t>Óvodaműködtetési támogatás összesen</t>
  </si>
  <si>
    <t xml:space="preserve">II.3. </t>
  </si>
  <si>
    <t>Ingyenes és kedvezményes gyermekétkeztetés támogatása</t>
  </si>
  <si>
    <t>II.3.a)</t>
  </si>
  <si>
    <t>Bölcsődében és a fogyatékos személyek nappali intézményében elhelyezett gyermekek étkeztetésének támogatása</t>
  </si>
  <si>
    <t>fő/év</t>
  </si>
  <si>
    <t>II.3.b)</t>
  </si>
  <si>
    <t>Óvodai, iskolai étkeztetés támogatása</t>
  </si>
  <si>
    <t>Ingyenes és kedvezményes gyermek étkeztetés támogatása összesen</t>
  </si>
  <si>
    <t>2.mell. II.</t>
  </si>
  <si>
    <t>A települési önkormányzatok egyes köznevelési feladatinak támogatása</t>
  </si>
  <si>
    <t>Községek összesen:</t>
  </si>
  <si>
    <t>III.1.</t>
  </si>
  <si>
    <r>
      <t xml:space="preserve">Szeptemberi módosított előirányzat      </t>
    </r>
    <r>
      <rPr>
        <b/>
        <sz val="12"/>
        <rFont val="Times New Roman CE"/>
        <family val="0"/>
      </rPr>
      <t xml:space="preserve"> E Ft-ban</t>
    </r>
  </si>
  <si>
    <t>A települési önkormányzatok kulturáli feladatainak támogatása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</si>
  <si>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</si>
  <si>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</si>
  <si>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</si>
  <si>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</si>
  <si>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</si>
  <si>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III.3.ab)</t>
  </si>
  <si>
    <t>Szociális és gyermekjóléti alapszolgáltatások általános feladatai (társult formában)</t>
  </si>
  <si>
    <t>III.3.ae)</t>
  </si>
  <si>
    <t>III.a)</t>
  </si>
  <si>
    <t>Szociális és gyermekjóléti alapszolgáltatások általános feladatai összesen</t>
  </si>
  <si>
    <t>III.3.c)</t>
  </si>
  <si>
    <t xml:space="preserve">Szociális étkeztetés 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</si>
  <si>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</si>
  <si>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</si>
  <si>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</si>
  <si>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</si>
  <si>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</si>
  <si>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</si>
  <si>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</si>
  <si>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</si>
  <si>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</si>
  <si>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Tatai Mecénás Közalapítvány (Gútay Galéria)</t>
  </si>
  <si>
    <t>Országos Városmarketing Versenyen való részvétel</t>
  </si>
  <si>
    <t>Tatai Lengyel Nemzetiségi Önkormányzatnak</t>
  </si>
  <si>
    <t>Bernády Közművelődési Egyletnek</t>
  </si>
  <si>
    <t>Rákóczi Szövetségnek</t>
  </si>
  <si>
    <t>Víz, Zene, Virág Egyesületnek Tata Városáért kitüntetés</t>
  </si>
  <si>
    <t xml:space="preserve"> - Mozgáskorlátozottak KEM-i Egyesületének működési célú támogatása</t>
  </si>
  <si>
    <t xml:space="preserve"> - Pötörke Népművészeti Egyesületnek - városi Folk nap</t>
  </si>
  <si>
    <t xml:space="preserve"> - Tata Város Nyugdíjas Klubnak</t>
  </si>
  <si>
    <t xml:space="preserve"> - Magyary Zoltán Népfőiskolai Társaságnak</t>
  </si>
  <si>
    <t>Vértes Volán Zrt. nyugdíjas bérlet árainak csökkentéséhez kozzájárulás</t>
  </si>
  <si>
    <t>TÁMOP 1.1.2. Első Munkahely Garancia</t>
  </si>
  <si>
    <t xml:space="preserve"> - Első Munkahely Garacia</t>
  </si>
  <si>
    <t>Gyermekek napközbeni ellátása</t>
  </si>
  <si>
    <t>III.3.ja)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</si>
  <si>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</si>
  <si>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</si>
  <si>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</si>
  <si>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</si>
  <si>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</si>
  <si>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</si>
  <si>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</si>
  <si>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</si>
  <si>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</si>
  <si>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</si>
  <si>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</si>
  <si>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ktári ellátási és közműv. Feladatokhoz</t>
  </si>
  <si>
    <t>2.mell. IV.</t>
  </si>
  <si>
    <t>ÁLLAMI TÁMOGATÁS MINDÖSSZESEN</t>
  </si>
  <si>
    <r>
      <t>8 hónapra</t>
    </r>
    <r>
      <rPr>
        <sz val="10"/>
        <rFont val="Times New Roman CE"/>
        <family val="1"/>
      </rPr>
      <t xml:space="preserve"> időarányos összeg (Ft)</t>
    </r>
  </si>
  <si>
    <r>
      <t>4 hónapra</t>
    </r>
    <r>
      <rPr>
        <sz val="10"/>
        <rFont val="Times New Roman CE"/>
        <family val="1"/>
      </rPr>
      <t xml:space="preserve"> időarányos összeg (Ft)</t>
    </r>
  </si>
  <si>
    <r>
      <t>Éves</t>
    </r>
    <r>
      <rPr>
        <b/>
        <sz val="12"/>
        <rFont val="Times New Roman CE"/>
        <family val="0"/>
      </rPr>
      <t xml:space="preserve"> közös hivatal miatt  Ft-ban</t>
    </r>
  </si>
  <si>
    <r>
      <t xml:space="preserve">Szoc. és gyermekjóléti alapszolg. általános feladatai - </t>
    </r>
    <r>
      <rPr>
        <b/>
        <sz val="12"/>
        <rFont val="Times New Roman CE"/>
        <family val="0"/>
      </rPr>
      <t>társulási kiegészítés</t>
    </r>
  </si>
  <si>
    <t>Tata Város Önkormányzata és az általa irányított költségvetési szervek 2013. évi bevételei forrásonként ( E Ft-ban)</t>
  </si>
  <si>
    <t>Bevételek</t>
  </si>
  <si>
    <t>Önkormányzat</t>
  </si>
  <si>
    <t>Tata Város Közterület-felügyelete</t>
  </si>
  <si>
    <t>Tatai Polgármesteri Hivatal</t>
  </si>
  <si>
    <t>Tatai Közös Önkormányzati Hivatal</t>
  </si>
  <si>
    <t>Intézmények Gazdasági Hivatala és a hozzá tartozó Intézményei</t>
  </si>
  <si>
    <t xml:space="preserve">Kuny Domokos Múzeum </t>
  </si>
  <si>
    <t>Összesen</t>
  </si>
  <si>
    <t>Eredeti</t>
  </si>
  <si>
    <t xml:space="preserve">Eredeti </t>
  </si>
  <si>
    <t>Önkormányzat működési bevétele</t>
  </si>
  <si>
    <t>Hatósági szolgáltatási díj</t>
  </si>
  <si>
    <t>Intézményi működési bevétel</t>
  </si>
  <si>
    <t>Egyéb működési bevétel (temető fenntartás, rendezvényszervezés, üdülés, intézményi térítési díjak stb.)</t>
  </si>
  <si>
    <t>Áfa bevétel</t>
  </si>
  <si>
    <t>Kamat bevétel</t>
  </si>
  <si>
    <t>Sajátos működési bevétel</t>
  </si>
  <si>
    <t>Helyi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</si>
  <si>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</si>
  <si>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</si>
  <si>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</si>
  <si>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</si>
  <si>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</si>
  <si>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(pénzbírság)</t>
  </si>
  <si>
    <t>Átengedett központi adók</t>
  </si>
  <si>
    <t xml:space="preserve"> - Gépjárműadó</t>
  </si>
  <si>
    <t xml:space="preserve"> - Termőföld bérbeadásból SZJA</t>
  </si>
  <si>
    <t>Közigazgatási és helyszíni bírság</t>
  </si>
  <si>
    <t>Talajterhelési díj</t>
  </si>
  <si>
    <t>Bérleti díj</t>
  </si>
  <si>
    <t>Lakbér</t>
  </si>
  <si>
    <t>Működési támogatások, kiegészítések</t>
  </si>
  <si>
    <t>Általános működés és ágazatai feladatok támogatása</t>
  </si>
  <si>
    <t>Egyes szociális feladatok támogatás</t>
  </si>
  <si>
    <t>Egyéb működési bevételek</t>
  </si>
  <si>
    <t>Támogatás értékű működési bevételek</t>
  </si>
  <si>
    <t>Működési célú pénzeszközátvétel</t>
  </si>
  <si>
    <t>Felhalmozási és tőke jellegű bevétel</t>
  </si>
  <si>
    <t>Tárgyi eszköz értékesítés</t>
  </si>
  <si>
    <t>Földterület értékesítés</t>
  </si>
  <si>
    <t>Egyéb ingatlanértékesítés</t>
  </si>
  <si>
    <t>Üzemeltetés, bérbeadás bevétele</t>
  </si>
  <si>
    <t>Lakásértékesítés (részletek)</t>
  </si>
  <si>
    <t>Felhalmozási kamat bevétel</t>
  </si>
  <si>
    <t>Felhalmozási támogatások</t>
  </si>
  <si>
    <t>Fejlesztési célú támogatások - központosított támogatások</t>
  </si>
  <si>
    <t>Egyéb felhalmozási bevételek</t>
  </si>
  <si>
    <t xml:space="preserve"> - Támogatás értékű felhalmozási bevételek</t>
  </si>
  <si>
    <t xml:space="preserve"> - Tartalékolt felhalmozási kiadásokhoz kapcsolódó támogatás értékű felhalmozási bevétel</t>
  </si>
  <si>
    <t xml:space="preserve"> - Felhalmozási célú pénzeszközátvétel</t>
  </si>
  <si>
    <t>Támogatási kölcsönök visszatérülése, igénybevétele</t>
  </si>
  <si>
    <t>Költségvetési szervek támogatása (intézményfinanszírozás)</t>
  </si>
  <si>
    <t>Előző évi pénzmaradvány</t>
  </si>
  <si>
    <t>Hitelfelvétel</t>
  </si>
  <si>
    <t>BEVÉTELEK MINDÖSSZESEN</t>
  </si>
  <si>
    <t xml:space="preserve">Tata Város Önkormányzata és az általa irányított költségvetési szervek 2013. évi költségvetési kiadásai </t>
  </si>
  <si>
    <t>( kiemelt előirányzatok szerinti részletezésben ) E Ft-ban</t>
  </si>
  <si>
    <t>Kiadások</t>
  </si>
  <si>
    <t xml:space="preserve">Kuny Domokos  Múzeum </t>
  </si>
  <si>
    <t>Személyi juttatások</t>
  </si>
  <si>
    <t>Munkaadót terhelő járulékok és szociális hozzájárulási adó</t>
  </si>
  <si>
    <t>Dologi és dologi jellegű kiadások</t>
  </si>
  <si>
    <t>Ebből kamatkiadások</t>
  </si>
  <si>
    <t>Egyéb működési kiadás</t>
  </si>
  <si>
    <t>Támogatás értékű működési kiadások és működési célú pénzeszköz átadás</t>
  </si>
  <si>
    <t>Önkormányzat által folyósított társadalom- és szociálpolitikai juttatások</t>
  </si>
  <si>
    <t>Ellátottak pénzbeli juttatása</t>
  </si>
  <si>
    <t>Beruházás ( ÁFA-val )</t>
  </si>
  <si>
    <t>Felújítás ( ÁFA-val )</t>
  </si>
  <si>
    <t>Felhalmozási támogatás értékű kiadás és pénzeszközátadás</t>
  </si>
  <si>
    <t>Általános tartalék</t>
  </si>
  <si>
    <t>Általános működési tartalék</t>
  </si>
  <si>
    <t>Működési céltartalék</t>
  </si>
  <si>
    <t>Általános felhalmozási tartalék</t>
  </si>
  <si>
    <t>Tartalékolt felhalmozási kiadások</t>
  </si>
  <si>
    <t>Tartalékolt beruházási kiadások</t>
  </si>
  <si>
    <t>Tartalékolt felújítási kiadások</t>
  </si>
  <si>
    <t>Tartalékolt támogatás értékű felhalmozási kiadások és felhalmozási célú pénzeszköz átadás</t>
  </si>
  <si>
    <t>Támogatási kölcsönök</t>
  </si>
  <si>
    <t>Kölcsön nyújtása lakáscélra:</t>
  </si>
  <si>
    <t xml:space="preserve"> - lakossági</t>
  </si>
  <si>
    <t xml:space="preserve"> - munkáltatói</t>
  </si>
  <si>
    <t>Egyéb kölcsön</t>
  </si>
  <si>
    <t xml:space="preserve"> - Víz-Zene-Virág Fesztivál Egyesületnek</t>
  </si>
  <si>
    <t xml:space="preserve"> - Tatai Fényes-fürdő Kft.-nek 508/2012. (XII.20.) Tata Kt. határozat</t>
  </si>
  <si>
    <t>Garancia és kezességvállalás</t>
  </si>
  <si>
    <t>Működési (Tatai Távhőszolgáltató Kft-nek)</t>
  </si>
  <si>
    <t>Felhalmozási (Tata-Tóparti Viziközmű Társulatnak)</t>
  </si>
  <si>
    <t>Hitel- és kötvénytörlesztés (fejlesztési célú)</t>
  </si>
  <si>
    <t>Hiteltörlesztés</t>
  </si>
  <si>
    <t>Kötvénytörlesztés</t>
  </si>
  <si>
    <t>Tatai Közös Önkormányzati Hivatalnak bankszámla egyenleg és átfutó kiadás rendezése</t>
  </si>
  <si>
    <t>Közterület-felügyelettől bankszámla egyenleg és átfutó kiadás rendezése</t>
  </si>
  <si>
    <t>a helyi önkormányzatok általános működésének és ágazati feladatinak támogatásáról (E Ft-ban)</t>
  </si>
  <si>
    <t>Költségvetési szerveinknek nyújtott támogatás (intézményfinanszírozás)</t>
  </si>
  <si>
    <t>KIADÁSOK MINDÖSSZESEN</t>
  </si>
  <si>
    <t xml:space="preserve"> Tata Város Önkormányzatának 2013. évi közgazdasági mérlege (E Ft-ban)</t>
  </si>
  <si>
    <t>Bevételi előirányzat</t>
  </si>
  <si>
    <t>Kiadási előirányzat</t>
  </si>
  <si>
    <t>Decemberi módosított előirányzat  E Ft</t>
  </si>
  <si>
    <t>Hatósági szolgáltatási díj és intézményi működési bevétel</t>
  </si>
  <si>
    <t>Önkormányzatok sajátos működési bevételi</t>
  </si>
  <si>
    <t>Munkaadókat terhelő járulékok</t>
  </si>
  <si>
    <t>Átengedett központi adók (gépjárműadó, termőföld bérbeadásából származó SZJA)</t>
  </si>
  <si>
    <t>Dologi és egyéb folyó kiadások</t>
  </si>
  <si>
    <t>Bírságok</t>
  </si>
  <si>
    <t>Egyéb működési kiadások</t>
  </si>
  <si>
    <t>Bérleti díjak</t>
  </si>
  <si>
    <t>Támogatás értékű működési kiadások és működési célú pénzeszközátadás</t>
  </si>
  <si>
    <t>Működési támogatások</t>
  </si>
  <si>
    <t>Beruházási kiadások</t>
  </si>
  <si>
    <t>Egyes szociális feladatok támogatása</t>
  </si>
  <si>
    <t>Felújítási kiadások</t>
  </si>
  <si>
    <t>Egyéb, működési bevételek</t>
  </si>
  <si>
    <t>Támogatás értékű felhalmozási kiadások és felhalmozási célú pénzeszközátadások</t>
  </si>
  <si>
    <t>Működési tartalék</t>
  </si>
  <si>
    <t>Felhalmozási és tőke jellegű bevételek</t>
  </si>
  <si>
    <t>Föld értékesítés</t>
  </si>
  <si>
    <t>Egyéb ingatlan értékesítés</t>
  </si>
  <si>
    <t>Felhalmozási tartalék</t>
  </si>
  <si>
    <t>Lakásértékesítés</t>
  </si>
  <si>
    <t>Támogatási kölcsönök nyújtása, törlesztése</t>
  </si>
  <si>
    <t>Lakáscélra</t>
  </si>
  <si>
    <t xml:space="preserve"> -- Ebből NFM EU Önerő-támogatás</t>
  </si>
  <si>
    <t xml:space="preserve"> - Felhalmozási célú pénzeszköz átvétel</t>
  </si>
  <si>
    <t>Költségvetési szerveknek nyújtott támogatás (intézményfinanszírozás)</t>
  </si>
  <si>
    <t>Költségvetési bevételek összesen:</t>
  </si>
  <si>
    <t>Költségvetési kiadások összesen:</t>
  </si>
  <si>
    <t xml:space="preserve">Költségvetési egyenleg: </t>
  </si>
  <si>
    <t>Hiány és a finanszírozási kiadások fedezetének finanszírozása:</t>
  </si>
  <si>
    <t>Hiteltörlesztés - hosszú lejáratú</t>
  </si>
  <si>
    <t xml:space="preserve"> - Belső finanszírozás, pénzmaradvány </t>
  </si>
  <si>
    <t xml:space="preserve"> - Külső finanszírozás hitel felvétel </t>
  </si>
  <si>
    <t>Finanszírozási bevételek összesen:</t>
  </si>
  <si>
    <t>Finanszírozási kiadások összesen:</t>
  </si>
  <si>
    <t>2013. évi működési célú bevételek és kiadások mérlege (E Ft-ban)</t>
  </si>
  <si>
    <t>Személyi juttatás</t>
  </si>
  <si>
    <t>Működési bevétel</t>
  </si>
  <si>
    <t>Járulékok</t>
  </si>
  <si>
    <t>Dologi kiadás (beruházási hitelkamat és ÁFA nélkül)</t>
  </si>
  <si>
    <t>Működési támogatás</t>
  </si>
  <si>
    <t>Pénzeszköz átadás, támogatás</t>
  </si>
  <si>
    <t>Szociális támogatás műk.</t>
  </si>
  <si>
    <t>Kölcsön visszatérülés, kölcsön bevétel</t>
  </si>
  <si>
    <t xml:space="preserve"> - Tatai Fényes-fürdő Kft.</t>
  </si>
  <si>
    <t xml:space="preserve"> - Tatai Városgazda Nonprofit Kft.(Tatai Városfejlesztő Kft.)</t>
  </si>
  <si>
    <t xml:space="preserve"> - Által-ér Szövetség</t>
  </si>
  <si>
    <t xml:space="preserve"> - Központi ügyeletre</t>
  </si>
  <si>
    <t xml:space="preserve"> - Tatai Távhő Szolgáltató Kft.</t>
  </si>
  <si>
    <t xml:space="preserve"> - Bláthy O. Szakközépiskola, Szakiskola és Kollégium</t>
  </si>
  <si>
    <t xml:space="preserve"> - Víz-Zene-Virág Egyesület</t>
  </si>
  <si>
    <t xml:space="preserve"> - Tatai Televízió Közalapítvány</t>
  </si>
  <si>
    <t xml:space="preserve">Garancia és kezességvállalás </t>
  </si>
  <si>
    <t xml:space="preserve"> - Tatai Távhő Kft.-nek</t>
  </si>
  <si>
    <t>Kölcsönnyújtás, kölcsönvisszafizetés</t>
  </si>
  <si>
    <t xml:space="preserve"> - Víz-Zene-Virág Fesztivál Egyesület</t>
  </si>
  <si>
    <t>Egyenleg: -93 891</t>
  </si>
  <si>
    <t xml:space="preserve">Belső forrás, pénzmaradvány </t>
  </si>
  <si>
    <t>Mindösszesen:</t>
  </si>
  <si>
    <t>2013. évi fejlesztési célú bevételek és kiadások mérlege (E Ft-ban)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</si>
  <si>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</si>
  <si>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</si>
  <si>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</si>
  <si>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</si>
  <si>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</si>
  <si>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 xml:space="preserve"> - Ebből NFM EU Önerő-támogatás</t>
  </si>
  <si>
    <t>Kölcsön visszatérülések</t>
  </si>
  <si>
    <t>Kölcsönnyújtás</t>
  </si>
  <si>
    <t xml:space="preserve"> - Lakás célú</t>
  </si>
  <si>
    <t xml:space="preserve"> - lakáscélú</t>
  </si>
  <si>
    <t xml:space="preserve"> - Munkáltatói</t>
  </si>
  <si>
    <t>Adóbevételekből átcsoportosítás</t>
  </si>
  <si>
    <t>Fizetendő ÁFA</t>
  </si>
  <si>
    <t>Kötvény- és hitel kamat</t>
  </si>
  <si>
    <t xml:space="preserve"> - Tata-Tóparti Viziközmű Társulat hitele és kamat</t>
  </si>
  <si>
    <t>Egyenleg: - 999 157</t>
  </si>
  <si>
    <t>Hiány és a finanszírozási kiadások fedezetének finansz.</t>
  </si>
  <si>
    <t>Belső finanszírozás, pénzmaradvány</t>
  </si>
  <si>
    <t>Tatati Közös Önkormányzati Hivatal összesen:</t>
  </si>
  <si>
    <r>
      <t xml:space="preserve">Önkormányzati Hivatal </t>
    </r>
    <r>
      <rPr>
        <sz val="10"/>
        <rFont val="Times New Roman"/>
        <family val="1"/>
      </rPr>
      <t>- közszoltálati tisztviselő</t>
    </r>
  </si>
  <si>
    <r>
      <t xml:space="preserve">Tata Város Önkormányzat </t>
    </r>
    <r>
      <rPr>
        <sz val="10"/>
        <rFont val="Times New Roman"/>
        <family val="1"/>
      </rPr>
      <t>- választott tisztségviselő</t>
    </r>
  </si>
  <si>
    <r>
      <t>Közterület-felügyelet</t>
    </r>
    <r>
      <rPr>
        <sz val="10"/>
        <rFont val="Times New Roman"/>
        <family val="1"/>
      </rPr>
      <t xml:space="preserve"> (önállóan működő)</t>
    </r>
  </si>
  <si>
    <t xml:space="preserve">Külső finanszírozás hitel felvétel </t>
  </si>
  <si>
    <t>Finanszírozási kiadás beruházási hitel- és kötvény törlesztés</t>
  </si>
  <si>
    <t xml:space="preserve"> -- 2012. évi jóváhagyott kérelem</t>
  </si>
  <si>
    <t xml:space="preserve"> -- 2013. évi tervezett</t>
  </si>
  <si>
    <t>Mindösszesen bevételek:</t>
  </si>
  <si>
    <t>Mindösszesen kiadások: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</si>
  <si>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</si>
  <si>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</si>
  <si>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</si>
  <si>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</si>
  <si>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</si>
  <si>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</si>
  <si>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</si>
  <si>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Működési kiadások</t>
  </si>
  <si>
    <t>Felhalmozási kiadások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</si>
  <si>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</si>
  <si>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</si>
  <si>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</si>
  <si>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</si>
  <si>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</si>
  <si>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</si>
  <si>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Fürdő utcai Óvoda</t>
  </si>
  <si>
    <t>Szivárvány Óvoda</t>
  </si>
  <si>
    <t>Geszti Óvoda</t>
  </si>
  <si>
    <t>Kertvárosi Óvoda</t>
  </si>
  <si>
    <t>Kincseskert Óvoda</t>
  </si>
  <si>
    <t>Bergengócia Óvoda</t>
  </si>
  <si>
    <t>Kőkúti Általános Iskola</t>
  </si>
  <si>
    <t>Mód.(II.26.)</t>
  </si>
  <si>
    <t>Lehívható központi támogatás  Mód. (II.26.)</t>
  </si>
  <si>
    <t>Kiadás Mód.(II.26.)</t>
  </si>
  <si>
    <t>Támogatás értékű felhalmozási célú bevétel Mód. (II.26.)</t>
  </si>
  <si>
    <t>Pénzmaradvány Mód.(II.26.)</t>
  </si>
  <si>
    <t>Saját bevétel         Mód. (II.26.)</t>
  </si>
  <si>
    <t>Hiány Mód. (II.26.)</t>
  </si>
  <si>
    <t>Hiány finanszírozására hitelfelvétel összege Mód. (II.26.)</t>
  </si>
  <si>
    <t>2012. évi jóváhagyott kérelem Mód. (II.26.)</t>
  </si>
  <si>
    <t>2013. évi tervezett Mód. (II.26.)</t>
  </si>
  <si>
    <t>Dunaszentmiklós Önkormányzatától átvétel</t>
  </si>
  <si>
    <t>Természetben nyújtott ellátás - Rendszeres gyermekvédelmi kedvezmény</t>
  </si>
  <si>
    <t>Rendszeres szociális segély</t>
  </si>
  <si>
    <t xml:space="preserve">Intézmények Gazdasági Hivatala </t>
  </si>
  <si>
    <t>Szociális Alapellátó Intézmény</t>
  </si>
  <si>
    <t>Mindösszesen</t>
  </si>
  <si>
    <t>Kuny Domokos Múzeum 2013. évi költségvetése (bevételek)  E Ft-ban</t>
  </si>
  <si>
    <t>Szakfeladatok</t>
  </si>
  <si>
    <t>Működési bevételből</t>
  </si>
  <si>
    <t>Önkormányzati támogatás</t>
  </si>
  <si>
    <t>Kamat</t>
  </si>
  <si>
    <t>910201-1 kötelező</t>
  </si>
  <si>
    <t>910202-1 kötelező</t>
  </si>
  <si>
    <t>910203-1 kötelező</t>
  </si>
  <si>
    <t>910204-1 kötelező</t>
  </si>
  <si>
    <t>Kötelező összesen</t>
  </si>
  <si>
    <t>Kuny Domokos Múzeum  2013. évi költségvetése (kiadások)  E Ft-ban</t>
  </si>
  <si>
    <t>Dologi és egyéb folyó kiadás</t>
  </si>
  <si>
    <t xml:space="preserve">Dologiból kamat </t>
  </si>
  <si>
    <t>Szociális Pénzbeli juttatás</t>
  </si>
  <si>
    <t>Működési célú pénzeszközátadás, és támogatása</t>
  </si>
  <si>
    <t>2013. évi beruházási kiadások feladatonként (ÁFA-val)</t>
  </si>
  <si>
    <t xml:space="preserve">E Ft-ban </t>
  </si>
  <si>
    <t>Megnevezés</t>
  </si>
  <si>
    <t>Pályázatok és azokhoz kapcsolódó feladatok</t>
  </si>
  <si>
    <t>Tatai Angolpark rehabilitációja KDOP -2.1.1/B-2f-2009-0002</t>
  </si>
  <si>
    <t>MNV Zrt. részére a Kiskastély vagyonkezelői jogával kapcsolatos óvadék fizetése (ez csak akkor, ha lesz Angolpark projekt és a Kiskastély vagyonkezelői joga az önkormányzaté)</t>
  </si>
  <si>
    <t>Öreg-tavi Ökoturisztikai Központ kialakítása a csatlakozó kerékpárutak felújításával Tatán és a tematikus aktív turisztikai fejlesztések a kistérségben KDOP–2.1.1/B–09-2010-0002</t>
  </si>
  <si>
    <t>Eötvös József Gimnázium és Magyary Zoltán Művelődési Központ korszerűsítése KEOP-2012- 5.5.0/b</t>
  </si>
  <si>
    <t>Természetes vizes élőhely kialakítása a tatai Réti 8-as tó  rehabilitációjával KEOP–7.3.1.2/09-11-2011-0023</t>
  </si>
  <si>
    <t>A tatai Kőkúti Általános Iskolában működő multifunkcionális sportpálya létrehozása</t>
  </si>
  <si>
    <t>Köztéri műalkotás a tatai Kossuth téren</t>
  </si>
  <si>
    <t>Családbarát munkahelyek kialakításának és fejlesztésének támogatására</t>
  </si>
  <si>
    <t>A Kossuth tér pályázathoz kapcsolódik (de nem része a pályázatnak) a Bláthy O. u. összekötő út építése</t>
  </si>
  <si>
    <t>Tata, Baji út és a Kertváros kerékpáros forgalmának komplex rendezése</t>
  </si>
  <si>
    <t>Tatabánya-Vértesszőlős-Tata településeket összekötő közlekedési célú kerékpárút építése az Általér mentén” KÖZOP–3.2.0/c-08-2010-0003</t>
  </si>
  <si>
    <t>Által-ér völgyi kerékpárút közvilágítása belterületi szakasz I. ütem</t>
  </si>
  <si>
    <t>Pályázatok előkészítéséhez</t>
  </si>
  <si>
    <t>Határozatokkal elfogadott feladatok</t>
  </si>
  <si>
    <t>Bajcsy Zs. u. 22. szoc. bolt kialakítása(538/2012. (XII.20.) Tata Kt. hat.)</t>
  </si>
  <si>
    <t>Újhegyi buszfordulóhoz területvásárlás (545/2012. (XII.20.) Tata Kt. határozat)</t>
  </si>
  <si>
    <t>Tata-Agostyán, Kert utca kisajátítás</t>
  </si>
  <si>
    <t>Fényes-fürdő komplex vízrendezésének és vízjogi engedélyezésének kiviteli tervek (509/2012. (XII.20.) Tata Kt. határozata alapján)</t>
  </si>
  <si>
    <t>Egyéb 2013. évi igények</t>
  </si>
  <si>
    <t>Támogatás értékű működési bevétel OEP-től</t>
  </si>
  <si>
    <t>Decemberi módosítás   E Ft</t>
  </si>
  <si>
    <t>0,5 %</t>
  </si>
  <si>
    <t>2*39301</t>
  </si>
  <si>
    <t>Rendszeres GYEV</t>
  </si>
  <si>
    <t>Környezetvédelmi csoportok támogatása</t>
  </si>
  <si>
    <t>Közterület-felügyeletnek autó vásárlás</t>
  </si>
  <si>
    <t>Digitális alaptérkép III. részlet</t>
  </si>
  <si>
    <t>Polgármesteri Hivatal aula üvegfödém</t>
  </si>
  <si>
    <t>Fekete út- Arany J.u- Komáromi út Nagykert u. csapadékvíz elvezetés tervezése</t>
  </si>
  <si>
    <t>Fekete út- Arany J.u- Komáromi út Nagykert u. csapadékvíz elvezetés kivitelezés I.ütem</t>
  </si>
  <si>
    <t xml:space="preserve">Katona u.(Lop resti forrás ) vízelvezetés tervezés, kivitelezés </t>
  </si>
  <si>
    <t>Nagy L.u- Tavasz u. vízelvezetés( nyitott árok)</t>
  </si>
  <si>
    <t>Vértesszőlős szervízút</t>
  </si>
  <si>
    <t>Fényes fürdő területén fejlesztések végrehajtása (üzemeltetési szerződés alapján)</t>
  </si>
  <si>
    <t>Piarista rendház tető</t>
  </si>
  <si>
    <t>Parkoló megváltásból parkoló építés (2012-ről áthúzódó)</t>
  </si>
  <si>
    <t>Parkoló megváltásból parkoló pítés (2013. évi befizetés terhére)</t>
  </si>
  <si>
    <t>HUSK 1301/2.1.1. Megújuló energia p.</t>
  </si>
  <si>
    <t>Fiatalok lendületben program</t>
  </si>
  <si>
    <t>Meglévő engedélyes tervek engedély hosszabbítása és ahhoz kapcsoló terv felülvizsgálati  és engedélyezési díjak</t>
  </si>
  <si>
    <t>Útkorszerűsítések tervezése</t>
  </si>
  <si>
    <t>2046/18 területrész (Szomódi út melletti terület) vétele</t>
  </si>
  <si>
    <t>Barina u. közvilágítása II. ütem</t>
  </si>
  <si>
    <t>Térfigyelő kamerák felszerelése</t>
  </si>
  <si>
    <t>Várudvar lezárása</t>
  </si>
  <si>
    <t>Visszatérő forrásokkal kapcsolatos feladatok</t>
  </si>
  <si>
    <t>Számítástechnikai eszközök vásárlása</t>
  </si>
  <si>
    <t>Elektronikus adóbevallás iparűzési adóhoz program</t>
  </si>
  <si>
    <t>Nagyértékű tárgyi eszköz beszerzés</t>
  </si>
  <si>
    <t>Ingatlan vásárlás az ipari parkban</t>
  </si>
  <si>
    <t>Agostyáni u. 1-3. átalakítás</t>
  </si>
  <si>
    <t>Szemere u. - Aradi u. csapadékvíz elvezetés</t>
  </si>
  <si>
    <t>Egyéb tervezések</t>
  </si>
  <si>
    <t>Intézmények Gazdasági Hivatala és a hozzá tartozó költségvetési szervek</t>
  </si>
  <si>
    <t>Menner Bernát Zeneiskola - dobogó</t>
  </si>
  <si>
    <t>Szociális Alapellátó Intézmény - számítástechnikai eszközök</t>
  </si>
  <si>
    <t>Számítástechnikai eszközök</t>
  </si>
  <si>
    <t>2013. évi tartalékolt beruházási kiadások feladatonként (ÁFA-val)</t>
  </si>
  <si>
    <t>Ökoturisztikai tanösvény kialakítása a tatai Fényes-Fürdő területén KDOP-2.1.1/B-12-2012-0046</t>
  </si>
  <si>
    <t>Tata, Kossuth tér városközpont értékmegőrző rehabilitációja KDOP–3.1.1/A–09-1f-2010-0001</t>
  </si>
  <si>
    <t>Napelemes rendszer kiépítése - 2 pályázat KEOP-4.2.0/A</t>
  </si>
  <si>
    <t>Dózsa György utca 49-53-ig tartó járdaszakasz felújítása</t>
  </si>
  <si>
    <t>Tata, Deák Ferenc utca önkormányzati tulajdonú belterületi út fejlesztése</t>
  </si>
  <si>
    <t>Intermodális közösségi közlekedési központ létrehozása Tatán KÖZOP–5.5.0-09-11-2011-0010</t>
  </si>
  <si>
    <t>Adminisztratív kiegészítő szolgáltatás</t>
  </si>
  <si>
    <t>Kölcsönzés lizing</t>
  </si>
  <si>
    <t>Intézmények Gazdasági Hivatalához tartozó önállóan működő intézmények 2013. évi költségvetése</t>
  </si>
  <si>
    <t>Intézmények Gazdasági Hivatalához tartozó részben önálló intézmények 2013. évi költségvetése</t>
  </si>
  <si>
    <t>Költségvetési alcím megnevezése</t>
  </si>
  <si>
    <t>Feladat jellege</t>
  </si>
  <si>
    <t>Egyéb saját bevétel</t>
  </si>
  <si>
    <t>Egyéb saját bevételből ellátottak étkezési térítési díj bevétele</t>
  </si>
  <si>
    <t>OEP finanszírozás</t>
  </si>
  <si>
    <t>Finanszírozás</t>
  </si>
  <si>
    <t>pénzmar átvét</t>
  </si>
  <si>
    <t>Dologi</t>
  </si>
  <si>
    <t>Dologiból ellátottakra vonatkozó élelmiszer beszerzés és vásárolt élelmezés</t>
  </si>
  <si>
    <t>Pénzbeli kártérítés</t>
  </si>
  <si>
    <t>Pénzmar átadás</t>
  </si>
  <si>
    <t>Átadott pénzeszk.</t>
  </si>
  <si>
    <t xml:space="preserve">Beruházás </t>
  </si>
  <si>
    <t xml:space="preserve">Felújítás </t>
  </si>
  <si>
    <t>Függő kiadások</t>
  </si>
  <si>
    <t>össz</t>
  </si>
  <si>
    <t>kötelező</t>
  </si>
  <si>
    <t>Mód.(IV.30.)</t>
  </si>
  <si>
    <t>Mód. V. hó</t>
  </si>
  <si>
    <t>Mód. IX. hó</t>
  </si>
  <si>
    <t>Mód. XII. hó</t>
  </si>
  <si>
    <t>Mód. II. hó</t>
  </si>
  <si>
    <t>Bartók B. utcai Óvoda</t>
  </si>
  <si>
    <t>Bölcsöde</t>
  </si>
  <si>
    <t>Vaszary J. Általános Iskola</t>
  </si>
  <si>
    <t>Vaszary - Logopédiai Intézet</t>
  </si>
  <si>
    <t>Vaszary-Jázmin Tagint.</t>
  </si>
  <si>
    <t>Vaszary - Tardosi Tagint.</t>
  </si>
  <si>
    <t>Vaszary összesen</t>
  </si>
  <si>
    <t>Kőkúti Általános Iskola - Fazekas U. Tagintézmény</t>
  </si>
  <si>
    <t>Kőkúti összesen</t>
  </si>
  <si>
    <t>Zeneiskola</t>
  </si>
  <si>
    <t>Diákotthon</t>
  </si>
  <si>
    <t xml:space="preserve">Jávorka </t>
  </si>
  <si>
    <t>KEM Jávorka S. Sz.Iskola és Kollégium + KEM Óvoda, Ált.Isk., Spec.Szakisk., Diákotthon és Gyermekotthon összesen</t>
  </si>
  <si>
    <t>V. hó</t>
  </si>
  <si>
    <t>KEM Jávorka S. Sz.Iskola és Kollégium + KEM Óvoda, Ált.Isk., Spec.Szakisk., Diákotthon és Gyermekotthon</t>
  </si>
  <si>
    <t>önk. váll.</t>
  </si>
  <si>
    <t>IGH és iskolák összesen</t>
  </si>
  <si>
    <t>összesen</t>
  </si>
  <si>
    <t>Könyvtár</t>
  </si>
  <si>
    <t>SZAI Jelzőrendszeres házi segítségnyújtás</t>
  </si>
  <si>
    <t>SZAI Támogató szolgálat</t>
  </si>
  <si>
    <t>SZAI Közösségi</t>
  </si>
  <si>
    <t>SZAI nappali, családsegítő és gyermekjóléti, szociális étkezés, éjjeli menedékhely, házigondozás</t>
  </si>
  <si>
    <t>Egészségügyi Alapellátó Intézmény</t>
  </si>
  <si>
    <t>Tatai Egészségügyi Alapellátó Intézmény</t>
  </si>
  <si>
    <t>Kvi. alcímek és szakf. Összesen:</t>
  </si>
  <si>
    <t xml:space="preserve">IGH feladatkörébe tartozó kötelező feladatok </t>
  </si>
  <si>
    <t>kötelező össz.</t>
  </si>
  <si>
    <t>IGH feladatkörébe tartozó önként vállalt feladatok</t>
  </si>
  <si>
    <t>önk. váll.össz.</t>
  </si>
  <si>
    <t xml:space="preserve">Jávorka visszavonás rávezetve </t>
  </si>
  <si>
    <t>A munka és a magánélet összehangolását segítő helyi kezdeményezések megvalósítása Tata városában TÁMOP-2.4.5-12/3-2012-0028</t>
  </si>
  <si>
    <t>A munka és a magánélet összehangolása a Tatai Polgármesteri Hivatalban TÁMOP-2.4.5-12/7-2012-0705</t>
  </si>
  <si>
    <t xml:space="preserve">Egészségre nevelő és szemléletformáló életmódprogramok a Tatai Kistérségben TÁMOP-6.1.2/11/3 </t>
  </si>
  <si>
    <t>Tata közvilágítás hálózat korszerűsítése</t>
  </si>
  <si>
    <t>Óvodafejlesztés TÁMOP-3.1.11-12/1.2</t>
  </si>
  <si>
    <t>Az Angolpark projekten belül: a Baji úti és Sport utcai útkorszerűsítés kivitelezése</t>
  </si>
  <si>
    <t>Ökoturisztikai Központ Építők parki parkolóinak kiépítése, autóbusz várakozóhely tervezése, kiépítése, közvilágítás és csapadékvíz elvezetéssel együtt</t>
  </si>
  <si>
    <t>Ingatlan vásárlás</t>
  </si>
  <si>
    <t>2013. évi felújítási kiadások célonként (ÁFA-val)</t>
  </si>
  <si>
    <t>E Ft-ban</t>
  </si>
  <si>
    <t>Rákóczi u. 9. raktár tetőfelújítása (141/2012. (IV.26.) Tata Kt. határozat</t>
  </si>
  <si>
    <t>Rákóczi u. 9. hátsó homlokzat áll.megóvása (409/2012. (X.31.) Tata Kt. hat</t>
  </si>
  <si>
    <t>Vaszary Villa állagmegóvó munkálataira (297/2010. (IX.1.) Kt. határozat)</t>
  </si>
  <si>
    <t>Kocsi u. 4. szám alatti ing bontása (459/2012. (XI.29.) Tata Kt. határozat)</t>
  </si>
  <si>
    <t>Jázmin u. 22-24. tetőjavítás 546/2012. (XII.20.) Tata Kt. határozat)</t>
  </si>
  <si>
    <t>Bacsó B. u-i lakótelep átvételét követő intézkedésekre 455/2012. (XI.29.) Tata Kt. határozat</t>
  </si>
  <si>
    <t>ÉDV Zrt-nek üzemeltetésre átadott viziközművek felújítása</t>
  </si>
  <si>
    <t>- 267/2013. (V.30.) Tata Kt.határozata alapján Tata Távhő Kft és egyéb humán feladatokra</t>
  </si>
  <si>
    <t>Mód.(XII.18.)</t>
  </si>
  <si>
    <t>Lehívható központi támogatás  Mód. (XII.18.)</t>
  </si>
  <si>
    <t>Hiány finanszírozására hitelfelvétel összege Mód. (XII.18.)</t>
  </si>
  <si>
    <t>2012. évi jóváhagyott kérelem Mód. (XII.18.)</t>
  </si>
  <si>
    <t>2013. évi tervezett Mód. (XII.18.)</t>
  </si>
  <si>
    <t>- Szociális Alapellátó Intézmény Tatai Többcélú Kistérségi Társulába történő átkerülése miatt</t>
  </si>
  <si>
    <t>- 314/2013. (VI.28.)Tata Kt. határozat Tatai Távhő Kft-nek tagi kölcsön megtérüléséből</t>
  </si>
  <si>
    <t>Balatonvilágosi üdülő energiatakarékossági felújítása</t>
  </si>
  <si>
    <t>Önkormányzati nem lakáscélú helyiségek feújítása</t>
  </si>
  <si>
    <t>Rákóczi u. 9. utcai homlokzat felújítás</t>
  </si>
  <si>
    <t>Eötvös J. Gimnázium új épületének tetőjavítása</t>
  </si>
  <si>
    <t>Járda felújítás</t>
  </si>
  <si>
    <t>Út felújítás</t>
  </si>
  <si>
    <t xml:space="preserve">Játszóterek felújítása, bekerítése és bővítése új eszközökkel </t>
  </si>
  <si>
    <t>Fenyő téri (Baj úti), Bartók B.u.3, Május1 út 5×18lakás kerítés építés, Bacsó B. úti, Levendula ltp ivókút létesítése, Építők parkjai, Kazincbarcikai úti fejlesztés további játszóeszközökkel,mászókákkal, focipálya</t>
  </si>
  <si>
    <t>Kültéri kihelyezett eszközök cseréje, felújítása</t>
  </si>
  <si>
    <t>Szerver helység portalanná tétele</t>
  </si>
  <si>
    <t>Vaszary J. Általános Iskola - mosdók felújítása</t>
  </si>
  <si>
    <t>Kőkúti Általános Iskola - mosdók felújítása</t>
  </si>
  <si>
    <t>Vár - bejárati ajtó, bejárati falfelület és mosdó, lovagterem szigetelése, földszinti mosdó (akadálymentesítés és pelenkázó), mosdó, udvar oszlopok</t>
  </si>
  <si>
    <t>Német Nemzetiségi Múzeum - vízvezeték, bejárati ajtó, raktártető</t>
  </si>
  <si>
    <t>2013. évi tartalékolt felújítási kiadások feladatonként (ÁFA-val)</t>
  </si>
  <si>
    <t>Vaszary Villa felújítás</t>
  </si>
  <si>
    <t>Tata Város Önkormányzata által folyósított 2013. évi ellátások alakulásának részletezése</t>
  </si>
  <si>
    <t>(E Ft-ban)</t>
  </si>
  <si>
    <t>Lehívható központi támogatás Eredeti</t>
  </si>
  <si>
    <t>Foglalkoztatást helyettesítő támogatás</t>
  </si>
  <si>
    <t>Tartósan munkanélküliek rendszeres szociális segélye</t>
  </si>
  <si>
    <t>Időskorúak járadéka</t>
  </si>
  <si>
    <t>Lakásfenntartási támogatás (normatív)</t>
  </si>
  <si>
    <t>Adósságkezelési szolgáltatás</t>
  </si>
  <si>
    <t>Ápolási díj (normatív)</t>
  </si>
  <si>
    <t>Ápolási díj (helyi megállapítás)</t>
  </si>
  <si>
    <t>Átmeneti segély</t>
  </si>
  <si>
    <t>Rendszeres gyermekvédelmi támogatás</t>
  </si>
  <si>
    <t>Temetési segély</t>
  </si>
  <si>
    <t>Rendkívüli gyermekvédelmi támogatás (helyi megállapítás)</t>
  </si>
  <si>
    <t>Tatai fiatalok életkezdési támogatásához</t>
  </si>
  <si>
    <t>Közlekedési támogatás tanulóknak</t>
  </si>
  <si>
    <t>Óvodáztatási támogatás</t>
  </si>
  <si>
    <t xml:space="preserve"> - Tatai Távhő Kft. jövőbeni működésére tagi kölcsön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</si>
  <si>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</si>
  <si>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</si>
  <si>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</si>
  <si>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</si>
  <si>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</si>
  <si>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</si>
  <si>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Szociális, Egészségvédelmi és Sport Alap</t>
  </si>
  <si>
    <t>Kulturális és Oktatási Alap</t>
  </si>
  <si>
    <t>Önkormányzatok által folyósított szociális, gyermekvédelmi ellátások összesen:</t>
  </si>
  <si>
    <t>Tatai Polgármesteri Hivatal által folyósított 2013. évi ellátások alakulásának részletezése</t>
  </si>
  <si>
    <t>Rendszeres szociális segély (egészségkárosodottak részére)</t>
  </si>
  <si>
    <t>Adósságkezelési szolgáltatással kapcsolatos támogatás</t>
  </si>
  <si>
    <t>Ápolási díj (emelt összegű)</t>
  </si>
  <si>
    <t>Tatai Közös Önkormányzati Hivatal által folyósított 2013. évi ellátások alakulásának részletezése</t>
  </si>
  <si>
    <t>Tata</t>
  </si>
  <si>
    <t>Tata összesen</t>
  </si>
  <si>
    <t>Neszmély</t>
  </si>
  <si>
    <t>Neszmély összesen</t>
  </si>
  <si>
    <t>Dunaalmás</t>
  </si>
  <si>
    <t>Ápolási díj alanyi jogon</t>
  </si>
  <si>
    <t>Dunaalmás összesen</t>
  </si>
  <si>
    <t>Dunaszentmiklós</t>
  </si>
  <si>
    <t>Dunaszentmiklós összesen</t>
  </si>
  <si>
    <t>Tata Város Önkormányzatának pénzeszközátadásainak és támogatásainak 2013. évi előirányzata (E Ft-ban)</t>
  </si>
  <si>
    <t>Működési célú pénzeszközátadások és támogatások:</t>
  </si>
  <si>
    <t>Tatai Városgazda Nonprofit Kft. bér és működési támogatása</t>
  </si>
  <si>
    <t>Tatai Városkapu Zrt. támogatása</t>
  </si>
  <si>
    <t>Tata Város Önkormányzatnak vissza (pénzmaradvány átadás)</t>
  </si>
  <si>
    <t>Juniorka Alapítványi Bölcsőde támogatása</t>
  </si>
  <si>
    <t>Juniorka Alapítványi Óvoda támogatása</t>
  </si>
  <si>
    <t>Tatai Televízió Közalapítvány</t>
  </si>
  <si>
    <t>Have Your Say" pályázati támogatás visszafizetése</t>
  </si>
  <si>
    <t>Bursa Hungarica ösztöndíjakra</t>
  </si>
  <si>
    <t>TAC kézilabda szakosztály támogatása</t>
  </si>
  <si>
    <t>Hódy SE támogatása</t>
  </si>
  <si>
    <t>Klapka Focisuli</t>
  </si>
  <si>
    <t>Vívó Sport Egyesület</t>
  </si>
  <si>
    <t>Tatai Sport Egyesület</t>
  </si>
  <si>
    <t>Sportiskola - Kőkúti Sasok</t>
  </si>
  <si>
    <t>HUSK 0901 pályázat támogatási előleg egy részének visszafizetése</t>
  </si>
  <si>
    <t>Vértes Volán Zrt. részére veszteségkiegyenlítési igény</t>
  </si>
  <si>
    <t>Kis és középvállalkozások támogatása</t>
  </si>
  <si>
    <t>Közép-Duna Vidéke Önkormányzati Társulás működési hozzájárulása</t>
  </si>
  <si>
    <t>TDM – KDOP-2.2.1/A 270/2009. /VIII.12./</t>
  </si>
  <si>
    <t>TDM-nek KDOP-2.2.1/A-12 pályázathoz önrész</t>
  </si>
  <si>
    <t>TDM-nek KDOP-2.2.1/A-12 térségi TDM pályázathoz önrész</t>
  </si>
  <si>
    <t>Háziorvosok támogatása (263 E Ft x 21 praxis)</t>
  </si>
  <si>
    <t>5. sz. felnőtt háziorvosi körzett helyettesítésére</t>
  </si>
  <si>
    <t>Magyar Máltai Szeretetszolgálat tatai csoportjának</t>
  </si>
  <si>
    <t>Magyar Vöröskereszt tatai szervezetének</t>
  </si>
  <si>
    <t>Bliss Alapítványnak</t>
  </si>
  <si>
    <t>Kenderke Alapfokú Művészeti Iskola</t>
  </si>
  <si>
    <t>TIT KEM Egyesület</t>
  </si>
  <si>
    <t>Pötörke Népművészeti Egyesület</t>
  </si>
  <si>
    <t>Concerto Kft. - nemzetközi zenei mesterkurzus</t>
  </si>
  <si>
    <t>Concerto Kft. - Tatai Barokk Fesztivál</t>
  </si>
  <si>
    <t>Polgárőrség támogatása</t>
  </si>
  <si>
    <t>Rendőrség támogatása</t>
  </si>
  <si>
    <t>Összesen:</t>
  </si>
  <si>
    <t>Felhalmozási célú pénzeszközátadások és támogatások:</t>
  </si>
  <si>
    <t>Értékvédelmi alap 19/2011 (V.30.) ÖR</t>
  </si>
  <si>
    <t>Panel Program</t>
  </si>
  <si>
    <t>Öko Program</t>
  </si>
  <si>
    <t>NEP</t>
  </si>
  <si>
    <t>ZBR</t>
  </si>
  <si>
    <t>Panel Program - ÚSZT fűtéskorszerűsítés (2013. évi igények)</t>
  </si>
  <si>
    <t>Közlekedésbiztonsági pályázat – tervezések önrész útpénztárnak</t>
  </si>
  <si>
    <t xml:space="preserve">Vértes Volán Zrt. részére szerződés alapján   (353/2010.(XI.24.) </t>
  </si>
  <si>
    <t>Tatai Városgazda Nonprofit Kft. részére szociális bolt kialakítására 538/2012. (XII.20.) Tata Kt. határozat</t>
  </si>
  <si>
    <t>Tatai Távhőszolgáltató Kft-nek a csőprojektre pénzmaradvány terhére</t>
  </si>
  <si>
    <t>Tatai Polgármesteri Hivatal pénzeszközátadásainak és támogatásainak 2013. évi előirányzata (E Ft-ban)</t>
  </si>
  <si>
    <t>Tatai Kistérségi Többcélú Társulás tagdíja</t>
  </si>
  <si>
    <t>Tatai Közös Hivatal részére függő, átfutó</t>
  </si>
  <si>
    <t>Tatai Közös Önkormányzati Hivatal pénzeszközátadásainak és támogatásainak 2013. évi előirányzata (E Ft-ban)</t>
  </si>
  <si>
    <t>Tata Város Önkormányzat</t>
  </si>
  <si>
    <t>támogatásértékű bevételei és államháztartáson kívülről átvett pénzeszközeinek</t>
  </si>
  <si>
    <t>2013. évi alakulása (E Ft-ban)</t>
  </si>
  <si>
    <t>Közfoglalkoztatás támogatása</t>
  </si>
  <si>
    <t>Wesselényi alaptól SPO-SE-10 pályázatra</t>
  </si>
  <si>
    <t xml:space="preserve">Interaktív Generációk pályázatra </t>
  </si>
  <si>
    <t>Jelzőrendszeres házi segítségnyújtása</t>
  </si>
  <si>
    <t>Támogató szolgálat</t>
  </si>
  <si>
    <t>Közösségi ellátás</t>
  </si>
  <si>
    <t>Támogatás értékű felhalmozási célú bevételek</t>
  </si>
  <si>
    <t>Tatai Angolpark rehabilitációja KDOP -2.1.1/B-2f-2009-0002 önerő alap támogatás</t>
  </si>
  <si>
    <t>Öreg-tavi Ökoturisztikai Központ kialakítása a csatlakozó kerékpárutak felújításával Tatán és a tematikus aktív turisztikai fejlesztések a kistérségben KDOP–2.1.1/B–09-2010-0002 önerő alap támogatás</t>
  </si>
  <si>
    <t>Eötvös József Gimnázium felújítása és Magyary Zoltán Művelődési Központ felújítása KEOP-2012- 5.5.0/b</t>
  </si>
  <si>
    <t>Komplex energiaracionalizálás Tata általános iskoláiban és óvodáiban KEOP -5.1.0-2008-0037</t>
  </si>
  <si>
    <t>Tata, Kossuth tér városközpont értékmegőrző rehabilitációja KDOP–3.1.1/A–09-1f-2010-0001 önerő alap támogatás</t>
  </si>
  <si>
    <t>Működési célra átvett pénzeszközök államháztartáson kívülről</t>
  </si>
  <si>
    <t>Pons Danubii EGTC-től átvett</t>
  </si>
  <si>
    <t>Talentum iskolától</t>
  </si>
  <si>
    <t>Felhalmozási célra átvett pénzeszközök államháztartáson kívülről</t>
  </si>
  <si>
    <t>Befejezett viziközmű társulatoktól</t>
  </si>
  <si>
    <t>tartalékolt felhalmozási kiadásokhoz kapcsolódó támogatásértékű bevételeinek</t>
  </si>
  <si>
    <t>Költségvetési szerveknek nyújtott tám. (intézményfinanszírozás)</t>
  </si>
  <si>
    <t>Magyar Autóklubnak támogatás</t>
  </si>
  <si>
    <t>Magyarkanizsai "Gyöngyszemeink" iskoláskor előtti intézmény támogatása</t>
  </si>
  <si>
    <t xml:space="preserve"> - Jászai Mari Színház, Népháznak bérletvásárlási kedvezmény támogatása</t>
  </si>
  <si>
    <t>Tatai Atlétikai Club támogatása</t>
  </si>
  <si>
    <t>Környezetvédelmi Alap</t>
  </si>
  <si>
    <t>Első munkahely garancia program</t>
  </si>
  <si>
    <t>Tatai Többcélú Kistérségi Társulástól</t>
  </si>
  <si>
    <t>Tatai Kistérségi Többcélú Társulástól</t>
  </si>
  <si>
    <t xml:space="preserve">Tata </t>
  </si>
  <si>
    <t>Megszűnt Tatai Polgármesteri Hivatal pénzkészlete és aktív, passzív pénzügyi elszámolások átadása</t>
  </si>
  <si>
    <t xml:space="preserve">Dunaalmás </t>
  </si>
  <si>
    <t>Szociális feladatok támogatás (Kincstári visszaigénylések)</t>
  </si>
  <si>
    <t xml:space="preserve">OEP-től 5. sz. felnőtt háziorvosi körzet finanszírozására </t>
  </si>
  <si>
    <t>Nemzeti Család és Szociálpolitikai Intézettől Fiatalok Lendületben Program támogatása</t>
  </si>
  <si>
    <t>Informatikai támogatás visszautalása MÁK-on keresztül</t>
  </si>
  <si>
    <t>Vértes Volántól Minimaraton támogatása</t>
  </si>
  <si>
    <t>Tata és Környéke Turisztikai Egyesülettől átvétel</t>
  </si>
  <si>
    <t>Magnum Hungária Beta Kft-től városfejlesztési megállapodás alapján</t>
  </si>
  <si>
    <t>Megelőlegezett személyi juttatás kifizetéséhez Dunaalmástól</t>
  </si>
  <si>
    <t>Közös Hivatal fenntartásához vis majortámogatásból Neszmély önkormányzatától</t>
  </si>
  <si>
    <t>Közös Hivatal fenntartásához Neszmély önkormányzatától</t>
  </si>
  <si>
    <t>Személyi juttatáshoz hozzájárulás Neszmély önkormányzatától</t>
  </si>
  <si>
    <t>Munkaügyi Központtól Első munkahely garancia programra</t>
  </si>
  <si>
    <t>Önkormányzat támogatása</t>
  </si>
  <si>
    <t>Önkormányzati költségvetési szervek engedélyezett létszáma</t>
  </si>
  <si>
    <t>Költségvetési szervek megnevezése</t>
  </si>
  <si>
    <t>Engedélyezett létszám (fő)</t>
  </si>
  <si>
    <t>Bartók B. úti Óvoda</t>
  </si>
  <si>
    <t>Csillagsziget Bölcsőde</t>
  </si>
  <si>
    <t>Móricz Zsigmond Könyvtár</t>
  </si>
  <si>
    <t>Kuny Domokos Múzeum</t>
  </si>
  <si>
    <t xml:space="preserve"> - Normatíva felülvizsgálatig</t>
  </si>
  <si>
    <t xml:space="preserve">Pénzmaradvány átadás </t>
  </si>
  <si>
    <t xml:space="preserve"> - Tatai Távhőszolgáltató Kft.</t>
  </si>
  <si>
    <t xml:space="preserve">Felhalmozási céltartalék </t>
  </si>
  <si>
    <t xml:space="preserve"> - Tatai Fényes Fürdő Kft. kölcsön visszafizetéséből elkülönítve</t>
  </si>
  <si>
    <t xml:space="preserve"> - Árfolyamveszteségre</t>
  </si>
  <si>
    <t>Városi Önkormányzat Intézmények összesen: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</si>
</sst>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10"/>
      <name val="Arial CE"/>
      <family val="0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MS Sans Serif"/>
      <family val="0"/>
    </font>
    <font>
      <sz val="10"/>
      <name val="Arial"/>
      <family val="0"/>
    </font>
    <font>
      <i/>
      <sz val="11"/>
      <name val="Times New Roman CE"/>
      <family val="0"/>
    </font>
    <font>
      <i/>
      <sz val="12"/>
      <name val="Times New Roman"/>
      <family val="1"/>
    </font>
    <font>
      <b/>
      <u val="single"/>
      <sz val="11"/>
      <name val="Times New Roman CE"/>
      <family val="0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E"/>
      <family val="0"/>
    </font>
    <font>
      <b/>
      <u val="double"/>
      <sz val="10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9"/>
      <color indexed="8"/>
      <name val="Times New Roman"/>
      <family val="1"/>
    </font>
    <font>
      <sz val="11"/>
      <name val="Arial CE"/>
      <family val="0"/>
    </font>
    <font>
      <sz val="8"/>
      <name val="Times New Roman CE"/>
      <family val="0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 CE"/>
      <family val="1"/>
    </font>
    <font>
      <sz val="8"/>
      <name val="Arial CE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1" applyNumberFormat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3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3" borderId="1" applyNumberFormat="0" applyAlignment="0" applyProtection="0"/>
    <xf numFmtId="0" fontId="0" fillId="37" borderId="10" applyNumberFormat="0" applyFon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  <xf numFmtId="0" fontId="13" fillId="4" borderId="0" applyNumberFormat="0" applyBorder="0" applyAlignment="0" applyProtection="0"/>
    <xf numFmtId="0" fontId="16" fillId="42" borderId="11" applyNumberFormat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44" borderId="10" applyNumberFormat="0" applyAlignment="0" applyProtection="0"/>
    <xf numFmtId="0" fontId="16" fillId="34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8" fillId="45" borderId="0" applyNumberFormat="0" applyBorder="0" applyAlignment="0" applyProtection="0"/>
    <xf numFmtId="0" fontId="5" fillId="42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59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3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7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/>
    </xf>
    <xf numFmtId="3" fontId="24" fillId="0" borderId="0" xfId="0" applyNumberFormat="1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Continuous"/>
    </xf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9" fontId="24" fillId="0" borderId="13" xfId="0" applyNumberFormat="1" applyFont="1" applyBorder="1" applyAlignment="1">
      <alignment/>
    </xf>
    <xf numFmtId="49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/>
    </xf>
    <xf numFmtId="49" fontId="24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wrapText="1"/>
    </xf>
    <xf numFmtId="49" fontId="30" fillId="0" borderId="13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6" fillId="0" borderId="14" xfId="0" applyFont="1" applyBorder="1" applyAlignment="1">
      <alignment/>
    </xf>
    <xf numFmtId="49" fontId="24" fillId="0" borderId="13" xfId="0" applyNumberFormat="1" applyFont="1" applyBorder="1" applyAlignment="1">
      <alignment horizontal="left" wrapText="1"/>
    </xf>
    <xf numFmtId="49" fontId="24" fillId="0" borderId="14" xfId="0" applyNumberFormat="1" applyFont="1" applyBorder="1" applyAlignment="1">
      <alignment horizontal="left" wrapText="1"/>
    </xf>
    <xf numFmtId="3" fontId="22" fillId="0" borderId="14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4" fillId="0" borderId="22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100" applyFont="1">
      <alignment/>
      <protection/>
    </xf>
    <xf numFmtId="0" fontId="22" fillId="0" borderId="0" xfId="100" applyFont="1">
      <alignment/>
      <protection/>
    </xf>
    <xf numFmtId="0" fontId="21" fillId="0" borderId="0" xfId="100" applyFont="1">
      <alignment/>
      <protection/>
    </xf>
    <xf numFmtId="0" fontId="20" fillId="0" borderId="23" xfId="100" applyFont="1" applyBorder="1" applyAlignment="1">
      <alignment horizontal="center"/>
      <protection/>
    </xf>
    <xf numFmtId="0" fontId="20" fillId="0" borderId="16" xfId="100" applyFont="1" applyBorder="1" applyAlignment="1">
      <alignment horizontal="center"/>
      <protection/>
    </xf>
    <xf numFmtId="0" fontId="21" fillId="0" borderId="24" xfId="100" applyFont="1" applyBorder="1">
      <alignment/>
      <protection/>
    </xf>
    <xf numFmtId="3" fontId="21" fillId="0" borderId="25" xfId="100" applyNumberFormat="1" applyFont="1" applyBorder="1">
      <alignment/>
      <protection/>
    </xf>
    <xf numFmtId="0" fontId="21" fillId="0" borderId="26" xfId="100" applyFont="1" applyBorder="1">
      <alignment/>
      <protection/>
    </xf>
    <xf numFmtId="3" fontId="21" fillId="0" borderId="27" xfId="100" applyNumberFormat="1" applyFont="1" applyBorder="1">
      <alignment/>
      <protection/>
    </xf>
    <xf numFmtId="3" fontId="21" fillId="0" borderId="28" xfId="100" applyNumberFormat="1" applyFont="1" applyBorder="1">
      <alignment/>
      <protection/>
    </xf>
    <xf numFmtId="0" fontId="21" fillId="0" borderId="29" xfId="100" applyFont="1" applyBorder="1">
      <alignment/>
      <protection/>
    </xf>
    <xf numFmtId="0" fontId="33" fillId="0" borderId="29" xfId="100" applyFont="1" applyBorder="1">
      <alignment/>
      <protection/>
    </xf>
    <xf numFmtId="3" fontId="33" fillId="0" borderId="28" xfId="100" applyNumberFormat="1" applyFont="1" applyBorder="1">
      <alignment/>
      <protection/>
    </xf>
    <xf numFmtId="0" fontId="21" fillId="0" borderId="29" xfId="100" applyFont="1" applyBorder="1" applyAlignment="1">
      <alignment wrapText="1"/>
      <protection/>
    </xf>
    <xf numFmtId="3" fontId="21" fillId="0" borderId="28" xfId="100" applyNumberFormat="1" applyFont="1" applyBorder="1">
      <alignment/>
      <protection/>
    </xf>
    <xf numFmtId="3" fontId="33" fillId="0" borderId="30" xfId="100" applyNumberFormat="1" applyFont="1" applyBorder="1">
      <alignment/>
      <protection/>
    </xf>
    <xf numFmtId="0" fontId="21" fillId="0" borderId="31" xfId="100" applyFont="1" applyBorder="1">
      <alignment/>
      <protection/>
    </xf>
    <xf numFmtId="3" fontId="33" fillId="0" borderId="32" xfId="100" applyNumberFormat="1" applyFont="1" applyBorder="1">
      <alignment/>
      <protection/>
    </xf>
    <xf numFmtId="0" fontId="20" fillId="0" borderId="33" xfId="100" applyFont="1" applyBorder="1">
      <alignment/>
      <protection/>
    </xf>
    <xf numFmtId="3" fontId="20" fillId="0" borderId="34" xfId="100" applyNumberFormat="1" applyFont="1" applyBorder="1">
      <alignment/>
      <protection/>
    </xf>
    <xf numFmtId="0" fontId="24" fillId="0" borderId="0" xfId="100" applyFont="1" applyBorder="1">
      <alignment/>
      <protection/>
    </xf>
    <xf numFmtId="0" fontId="24" fillId="0" borderId="35" xfId="100" applyFont="1" applyBorder="1">
      <alignment/>
      <protection/>
    </xf>
    <xf numFmtId="0" fontId="20" fillId="0" borderId="24" xfId="100" applyFont="1" applyBorder="1">
      <alignment/>
      <protection/>
    </xf>
    <xf numFmtId="3" fontId="20" fillId="0" borderId="25" xfId="100" applyNumberFormat="1" applyFont="1" applyBorder="1">
      <alignment/>
      <protection/>
    </xf>
    <xf numFmtId="0" fontId="20" fillId="0" borderId="29" xfId="100" applyFont="1" applyBorder="1">
      <alignment/>
      <protection/>
    </xf>
    <xf numFmtId="3" fontId="20" fillId="0" borderId="28" xfId="100" applyNumberFormat="1" applyFont="1" applyBorder="1">
      <alignment/>
      <protection/>
    </xf>
    <xf numFmtId="0" fontId="20" fillId="0" borderId="33" xfId="0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34" xfId="100" applyNumberFormat="1" applyFont="1" applyBorder="1">
      <alignment/>
      <protection/>
    </xf>
    <xf numFmtId="0" fontId="21" fillId="0" borderId="0" xfId="100" applyFont="1" applyBorder="1">
      <alignment/>
      <protection/>
    </xf>
    <xf numFmtId="0" fontId="20" fillId="0" borderId="0" xfId="100" applyFont="1" applyAlignment="1" quotePrefix="1">
      <alignment horizontal="center"/>
      <protection/>
    </xf>
    <xf numFmtId="0" fontId="20" fillId="0" borderId="32" xfId="100" applyFont="1" applyBorder="1" applyAlignment="1">
      <alignment horizontal="centerContinuous"/>
      <protection/>
    </xf>
    <xf numFmtId="0" fontId="20" fillId="0" borderId="36" xfId="100" applyFont="1" applyBorder="1" applyAlignment="1">
      <alignment horizontal="centerContinuous"/>
      <protection/>
    </xf>
    <xf numFmtId="0" fontId="21" fillId="0" borderId="29" xfId="100" applyFont="1" applyBorder="1" applyAlignment="1">
      <alignment horizontal="left"/>
      <protection/>
    </xf>
    <xf numFmtId="0" fontId="33" fillId="0" borderId="29" xfId="100" applyFont="1" applyBorder="1">
      <alignment/>
      <protection/>
    </xf>
    <xf numFmtId="0" fontId="21" fillId="0" borderId="29" xfId="100" applyFont="1" applyBorder="1">
      <alignment/>
      <protection/>
    </xf>
    <xf numFmtId="0" fontId="24" fillId="0" borderId="0" xfId="100" applyFont="1">
      <alignment/>
      <protection/>
    </xf>
    <xf numFmtId="0" fontId="21" fillId="0" borderId="37" xfId="100" applyFont="1" applyBorder="1">
      <alignment/>
      <protection/>
    </xf>
    <xf numFmtId="0" fontId="21" fillId="0" borderId="37" xfId="100" applyFont="1" applyBorder="1">
      <alignment/>
      <protection/>
    </xf>
    <xf numFmtId="0" fontId="33" fillId="0" borderId="37" xfId="100" applyFont="1" applyBorder="1">
      <alignment/>
      <protection/>
    </xf>
    <xf numFmtId="0" fontId="20" fillId="0" borderId="33" xfId="100" applyFont="1" applyBorder="1">
      <alignment/>
      <protection/>
    </xf>
    <xf numFmtId="0" fontId="20" fillId="0" borderId="26" xfId="100" applyFont="1" applyBorder="1">
      <alignment/>
      <protection/>
    </xf>
    <xf numFmtId="0" fontId="22" fillId="0" borderId="26" xfId="100" applyFont="1" applyBorder="1">
      <alignment/>
      <protection/>
    </xf>
    <xf numFmtId="0" fontId="20" fillId="0" borderId="29" xfId="100" applyFont="1" applyBorder="1">
      <alignment/>
      <protection/>
    </xf>
    <xf numFmtId="0" fontId="21" fillId="0" borderId="29" xfId="100" applyFont="1" applyBorder="1" applyAlignment="1">
      <alignment wrapText="1"/>
      <protection/>
    </xf>
    <xf numFmtId="0" fontId="20" fillId="0" borderId="37" xfId="100" applyFont="1" applyBorder="1" applyAlignment="1">
      <alignment wrapText="1"/>
      <protection/>
    </xf>
    <xf numFmtId="0" fontId="20" fillId="0" borderId="29" xfId="100" applyFont="1" applyBorder="1" applyAlignment="1">
      <alignment wrapText="1"/>
      <protection/>
    </xf>
    <xf numFmtId="0" fontId="20" fillId="0" borderId="36" xfId="100" applyFont="1" applyBorder="1">
      <alignment/>
      <protection/>
    </xf>
    <xf numFmtId="0" fontId="20" fillId="0" borderId="0" xfId="100" applyFont="1" applyBorder="1">
      <alignment/>
      <protection/>
    </xf>
    <xf numFmtId="3" fontId="20" fillId="0" borderId="0" xfId="100" applyNumberFormat="1" applyFont="1" applyBorder="1">
      <alignment/>
      <protection/>
    </xf>
    <xf numFmtId="0" fontId="35" fillId="0" borderId="0" xfId="100" applyFont="1">
      <alignment/>
      <protection/>
    </xf>
    <xf numFmtId="3" fontId="35" fillId="0" borderId="0" xfId="100" applyNumberFormat="1" applyFont="1" applyAlignment="1">
      <alignment/>
      <protection/>
    </xf>
    <xf numFmtId="3" fontId="35" fillId="0" borderId="0" xfId="100" applyNumberFormat="1" applyFont="1">
      <alignment/>
      <protection/>
    </xf>
    <xf numFmtId="0" fontId="40" fillId="0" borderId="0" xfId="99" applyFont="1" applyFill="1" applyBorder="1" applyAlignment="1">
      <alignment horizontal="center" vertical="center"/>
      <protection/>
    </xf>
    <xf numFmtId="0" fontId="37" fillId="0" borderId="38" xfId="99" applyFont="1" applyFill="1" applyBorder="1" applyAlignment="1">
      <alignment horizontal="center" vertical="center" wrapText="1"/>
      <protection/>
    </xf>
    <xf numFmtId="0" fontId="37" fillId="0" borderId="39" xfId="99" applyFont="1" applyFill="1" applyBorder="1" applyAlignment="1">
      <alignment horizontal="center" vertical="center"/>
      <protection/>
    </xf>
    <xf numFmtId="0" fontId="32" fillId="0" borderId="0" xfId="96">
      <alignment/>
      <protection/>
    </xf>
    <xf numFmtId="3" fontId="32" fillId="0" borderId="0" xfId="96" applyNumberFormat="1">
      <alignment/>
      <protection/>
    </xf>
    <xf numFmtId="0" fontId="23" fillId="0" borderId="15" xfId="96" applyFont="1" applyBorder="1">
      <alignment/>
      <protection/>
    </xf>
    <xf numFmtId="3" fontId="23" fillId="0" borderId="40" xfId="96" applyNumberFormat="1" applyFont="1" applyBorder="1" applyAlignment="1">
      <alignment horizontal="center"/>
      <protection/>
    </xf>
    <xf numFmtId="0" fontId="39" fillId="0" borderId="0" xfId="96" applyFont="1">
      <alignment/>
      <protection/>
    </xf>
    <xf numFmtId="0" fontId="38" fillId="0" borderId="13" xfId="96" applyFont="1" applyBorder="1">
      <alignment/>
      <protection/>
    </xf>
    <xf numFmtId="3" fontId="38" fillId="0" borderId="14" xfId="96" applyNumberFormat="1" applyFont="1" applyBorder="1">
      <alignment/>
      <protection/>
    </xf>
    <xf numFmtId="0" fontId="23" fillId="0" borderId="13" xfId="96" applyFont="1" applyBorder="1">
      <alignment/>
      <protection/>
    </xf>
    <xf numFmtId="3" fontId="23" fillId="0" borderId="14" xfId="96" applyNumberFormat="1" applyFont="1" applyBorder="1">
      <alignment/>
      <protection/>
    </xf>
    <xf numFmtId="0" fontId="32" fillId="0" borderId="0" xfId="96" applyFont="1">
      <alignment/>
      <protection/>
    </xf>
    <xf numFmtId="0" fontId="38" fillId="0" borderId="13" xfId="96" applyFont="1" applyBorder="1" applyAlignment="1">
      <alignment wrapText="1"/>
      <protection/>
    </xf>
    <xf numFmtId="0" fontId="32" fillId="0" borderId="0" xfId="96" applyFont="1">
      <alignment/>
      <protection/>
    </xf>
    <xf numFmtId="0" fontId="42" fillId="0" borderId="21" xfId="96" applyFont="1" applyBorder="1">
      <alignment/>
      <protection/>
    </xf>
    <xf numFmtId="0" fontId="43" fillId="0" borderId="0" xfId="96" applyFont="1">
      <alignment/>
      <protection/>
    </xf>
    <xf numFmtId="3" fontId="32" fillId="0" borderId="0" xfId="96" applyNumberFormat="1" applyAlignment="1">
      <alignment horizontal="left"/>
      <protection/>
    </xf>
    <xf numFmtId="3" fontId="38" fillId="0" borderId="13" xfId="96" applyNumberFormat="1" applyFont="1" applyBorder="1" applyAlignment="1">
      <alignment horizontal="left"/>
      <protection/>
    </xf>
    <xf numFmtId="0" fontId="38" fillId="0" borderId="0" xfId="96" applyFont="1">
      <alignment/>
      <protection/>
    </xf>
    <xf numFmtId="3" fontId="23" fillId="0" borderId="13" xfId="96" applyNumberFormat="1" applyFont="1" applyBorder="1" applyAlignment="1">
      <alignment horizontal="left"/>
      <protection/>
    </xf>
    <xf numFmtId="3" fontId="38" fillId="0" borderId="0" xfId="96" applyNumberFormat="1" applyFont="1">
      <alignment/>
      <protection/>
    </xf>
    <xf numFmtId="0" fontId="38" fillId="0" borderId="0" xfId="96" applyFont="1">
      <alignment/>
      <protection/>
    </xf>
    <xf numFmtId="0" fontId="39" fillId="0" borderId="0" xfId="96" applyFont="1">
      <alignment/>
      <protection/>
    </xf>
    <xf numFmtId="0" fontId="32" fillId="0" borderId="13" xfId="96" applyBorder="1">
      <alignment/>
      <protection/>
    </xf>
    <xf numFmtId="3" fontId="32" fillId="0" borderId="14" xfId="96" applyNumberFormat="1" applyBorder="1">
      <alignment/>
      <protection/>
    </xf>
    <xf numFmtId="3" fontId="24" fillId="0" borderId="14" xfId="0" applyNumberFormat="1" applyFont="1" applyBorder="1" applyAlignment="1">
      <alignment horizontal="right" vertical="center"/>
    </xf>
    <xf numFmtId="3" fontId="24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0" fontId="22" fillId="0" borderId="40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3" fontId="22" fillId="0" borderId="22" xfId="0" applyNumberFormat="1" applyFont="1" applyBorder="1" applyAlignment="1">
      <alignment horizontal="right"/>
    </xf>
    <xf numFmtId="0" fontId="30" fillId="0" borderId="0" xfId="96" applyFont="1" applyBorder="1" applyAlignment="1">
      <alignment horizontal="center"/>
      <protection/>
    </xf>
    <xf numFmtId="0" fontId="24" fillId="0" borderId="0" xfId="96" applyFont="1">
      <alignment/>
      <protection/>
    </xf>
    <xf numFmtId="0" fontId="22" fillId="0" borderId="15" xfId="96" applyFont="1" applyBorder="1" applyAlignment="1">
      <alignment vertical="top" wrapText="1"/>
      <protection/>
    </xf>
    <xf numFmtId="0" fontId="22" fillId="0" borderId="40" xfId="96" applyFont="1" applyBorder="1" applyAlignment="1">
      <alignment horizontal="center"/>
      <protection/>
    </xf>
    <xf numFmtId="0" fontId="44" fillId="0" borderId="13" xfId="96" applyFont="1" applyBorder="1">
      <alignment/>
      <protection/>
    </xf>
    <xf numFmtId="3" fontId="44" fillId="0" borderId="14" xfId="96" applyNumberFormat="1" applyFont="1" applyBorder="1">
      <alignment/>
      <protection/>
    </xf>
    <xf numFmtId="0" fontId="45" fillId="0" borderId="0" xfId="96" applyFont="1">
      <alignment/>
      <protection/>
    </xf>
    <xf numFmtId="0" fontId="23" fillId="0" borderId="13" xfId="96" applyFont="1" applyBorder="1" applyAlignment="1">
      <alignment vertical="top" wrapText="1"/>
      <protection/>
    </xf>
    <xf numFmtId="0" fontId="23" fillId="0" borderId="14" xfId="96" applyFont="1" applyBorder="1" applyAlignment="1">
      <alignment horizontal="center"/>
      <protection/>
    </xf>
    <xf numFmtId="0" fontId="23" fillId="0" borderId="21" xfId="96" applyFont="1" applyBorder="1">
      <alignment/>
      <protection/>
    </xf>
    <xf numFmtId="3" fontId="23" fillId="0" borderId="22" xfId="96" applyNumberFormat="1" applyFont="1" applyBorder="1">
      <alignment/>
      <protection/>
    </xf>
    <xf numFmtId="0" fontId="23" fillId="0" borderId="19" xfId="96" applyFont="1" applyBorder="1">
      <alignment/>
      <protection/>
    </xf>
    <xf numFmtId="0" fontId="22" fillId="0" borderId="20" xfId="96" applyFont="1" applyBorder="1" applyAlignment="1">
      <alignment horizontal="center"/>
      <protection/>
    </xf>
    <xf numFmtId="0" fontId="38" fillId="0" borderId="41" xfId="96" applyFont="1" applyBorder="1">
      <alignment/>
      <protection/>
    </xf>
    <xf numFmtId="3" fontId="38" fillId="0" borderId="42" xfId="96" applyNumberFormat="1" applyFont="1" applyBorder="1">
      <alignment/>
      <protection/>
    </xf>
    <xf numFmtId="0" fontId="44" fillId="0" borderId="21" xfId="96" applyFont="1" applyBorder="1">
      <alignment/>
      <protection/>
    </xf>
    <xf numFmtId="3" fontId="44" fillId="0" borderId="22" xfId="96" applyNumberFormat="1" applyFont="1" applyBorder="1">
      <alignment/>
      <protection/>
    </xf>
    <xf numFmtId="0" fontId="45" fillId="0" borderId="0" xfId="96" applyFont="1">
      <alignment/>
      <protection/>
    </xf>
    <xf numFmtId="0" fontId="22" fillId="0" borderId="14" xfId="96" applyFont="1" applyBorder="1" applyAlignment="1">
      <alignment horizontal="center"/>
      <protection/>
    </xf>
    <xf numFmtId="3" fontId="39" fillId="0" borderId="0" xfId="96" applyNumberFormat="1" applyFont="1" applyAlignment="1">
      <alignment horizontal="left"/>
      <protection/>
    </xf>
    <xf numFmtId="3" fontId="43" fillId="0" borderId="0" xfId="96" applyNumberFormat="1" applyFont="1" applyAlignment="1">
      <alignment horizontal="left"/>
      <protection/>
    </xf>
    <xf numFmtId="0" fontId="22" fillId="0" borderId="0" xfId="96" applyFont="1">
      <alignment/>
      <protection/>
    </xf>
    <xf numFmtId="0" fontId="22" fillId="0" borderId="0" xfId="96" applyFont="1" applyBorder="1" applyAlignment="1">
      <alignment horizontal="center"/>
      <protection/>
    </xf>
    <xf numFmtId="0" fontId="32" fillId="0" borderId="0" xfId="96" applyFont="1" applyAlignment="1">
      <alignment/>
      <protection/>
    </xf>
    <xf numFmtId="0" fontId="23" fillId="0" borderId="15" xfId="96" applyFont="1" applyBorder="1" applyAlignment="1">
      <alignment horizontal="left"/>
      <protection/>
    </xf>
    <xf numFmtId="0" fontId="23" fillId="0" borderId="40" xfId="96" applyFont="1" applyBorder="1" applyAlignment="1">
      <alignment horizontal="center"/>
      <protection/>
    </xf>
    <xf numFmtId="0" fontId="23" fillId="0" borderId="13" xfId="96" applyFont="1" applyBorder="1" applyAlignment="1">
      <alignment horizontal="left"/>
      <protection/>
    </xf>
    <xf numFmtId="3" fontId="32" fillId="0" borderId="13" xfId="96" applyNumberFormat="1" applyBorder="1" applyAlignment="1">
      <alignment horizontal="left"/>
      <protection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justify" vertical="top" wrapText="1"/>
    </xf>
    <xf numFmtId="2" fontId="38" fillId="0" borderId="45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horizontal="justify" vertical="top" wrapText="1"/>
    </xf>
    <xf numFmtId="2" fontId="38" fillId="0" borderId="46" xfId="0" applyNumberFormat="1" applyFont="1" applyBorder="1" applyAlignment="1">
      <alignment horizontal="center" vertical="top" wrapText="1"/>
    </xf>
    <xf numFmtId="0" fontId="38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justify" vertical="top" wrapText="1"/>
    </xf>
    <xf numFmtId="2" fontId="44" fillId="0" borderId="45" xfId="0" applyNumberFormat="1" applyFont="1" applyBorder="1" applyAlignment="1">
      <alignment horizontal="center" vertical="top" wrapText="1"/>
    </xf>
    <xf numFmtId="2" fontId="38" fillId="0" borderId="47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9" fillId="0" borderId="0" xfId="0" applyFont="1" applyAlignment="1">
      <alignment horizontal="justify"/>
    </xf>
    <xf numFmtId="165" fontId="38" fillId="0" borderId="0" xfId="0" applyNumberFormat="1" applyFont="1" applyAlignment="1">
      <alignment/>
    </xf>
    <xf numFmtId="0" fontId="36" fillId="0" borderId="0" xfId="0" applyFont="1" applyAlignment="1">
      <alignment horizontal="justify"/>
    </xf>
    <xf numFmtId="0" fontId="38" fillId="0" borderId="19" xfId="0" applyFont="1" applyBorder="1" applyAlignment="1">
      <alignment/>
    </xf>
    <xf numFmtId="0" fontId="38" fillId="0" borderId="13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2" fontId="38" fillId="0" borderId="14" xfId="0" applyNumberFormat="1" applyFont="1" applyBorder="1" applyAlignment="1">
      <alignment horizontal="center" vertical="top" wrapText="1"/>
    </xf>
    <xf numFmtId="0" fontId="38" fillId="0" borderId="19" xfId="0" applyFont="1" applyBorder="1" applyAlignment="1" quotePrefix="1">
      <alignment horizontal="justify" vertical="top" wrapText="1"/>
    </xf>
    <xf numFmtId="0" fontId="25" fillId="0" borderId="13" xfId="0" applyFont="1" applyBorder="1" applyAlignment="1">
      <alignment vertical="top" wrapText="1"/>
    </xf>
    <xf numFmtId="0" fontId="38" fillId="0" borderId="0" xfId="93" applyFont="1" applyFill="1">
      <alignment/>
      <protection/>
    </xf>
    <xf numFmtId="0" fontId="38" fillId="0" borderId="0" xfId="93" applyFont="1" applyFill="1" applyAlignment="1">
      <alignment horizontal="right"/>
      <protection/>
    </xf>
    <xf numFmtId="0" fontId="50" fillId="0" borderId="0" xfId="93" applyFont="1" applyFill="1" applyAlignment="1">
      <alignment horizontal="center"/>
      <protection/>
    </xf>
    <xf numFmtId="0" fontId="38" fillId="0" borderId="0" xfId="93" applyFont="1" applyFill="1" applyAlignment="1">
      <alignment horizontal="center"/>
      <protection/>
    </xf>
    <xf numFmtId="3" fontId="38" fillId="0" borderId="0" xfId="93" applyNumberFormat="1" applyFont="1" applyFill="1" applyAlignment="1">
      <alignment horizontal="right"/>
      <protection/>
    </xf>
    <xf numFmtId="3" fontId="38" fillId="0" borderId="0" xfId="93" applyNumberFormat="1" applyFont="1" applyFill="1">
      <alignment/>
      <protection/>
    </xf>
    <xf numFmtId="3" fontId="23" fillId="0" borderId="0" xfId="93" applyNumberFormat="1" applyFont="1" applyFill="1" applyAlignment="1">
      <alignment horizontal="right"/>
      <protection/>
    </xf>
    <xf numFmtId="0" fontId="23" fillId="0" borderId="39" xfId="92" applyFont="1" applyFill="1" applyBorder="1" applyAlignment="1">
      <alignment horizontal="center" vertical="center"/>
      <protection/>
    </xf>
    <xf numFmtId="0" fontId="23" fillId="0" borderId="39" xfId="93" applyFont="1" applyFill="1" applyBorder="1" applyAlignment="1">
      <alignment horizontal="center" vertical="center"/>
      <protection/>
    </xf>
    <xf numFmtId="0" fontId="23" fillId="0" borderId="39" xfId="93" applyFont="1" applyFill="1" applyBorder="1" applyAlignment="1">
      <alignment horizontal="center" vertical="center" wrapText="1"/>
      <protection/>
    </xf>
    <xf numFmtId="3" fontId="23" fillId="0" borderId="48" xfId="93" applyNumberFormat="1" applyFont="1" applyFill="1" applyBorder="1" applyAlignment="1">
      <alignment horizontal="center" vertical="center" wrapText="1"/>
      <protection/>
    </xf>
    <xf numFmtId="0" fontId="38" fillId="0" borderId="49" xfId="93" applyFont="1" applyFill="1" applyBorder="1">
      <alignment/>
      <protection/>
    </xf>
    <xf numFmtId="0" fontId="38" fillId="0" borderId="50" xfId="93" applyFont="1" applyFill="1" applyBorder="1" applyAlignment="1">
      <alignment horizontal="center" vertical="center"/>
      <protection/>
    </xf>
    <xf numFmtId="0" fontId="38" fillId="0" borderId="51" xfId="93" applyFont="1" applyFill="1" applyBorder="1" applyAlignment="1">
      <alignment horizontal="left" vertical="center"/>
      <protection/>
    </xf>
    <xf numFmtId="0" fontId="50" fillId="0" borderId="49" xfId="93" applyFont="1" applyFill="1" applyBorder="1">
      <alignment/>
      <protection/>
    </xf>
    <xf numFmtId="0" fontId="23" fillId="0" borderId="52" xfId="92" applyFont="1" applyFill="1" applyBorder="1" applyAlignment="1">
      <alignment horizontal="center" vertical="center"/>
      <protection/>
    </xf>
    <xf numFmtId="0" fontId="23" fillId="0" borderId="52" xfId="93" applyFont="1" applyFill="1" applyBorder="1" applyAlignment="1">
      <alignment horizontal="center" vertical="center"/>
      <protection/>
    </xf>
    <xf numFmtId="0" fontId="23" fillId="0" borderId="52" xfId="93" applyFont="1" applyFill="1" applyBorder="1" applyAlignment="1">
      <alignment horizontal="center" vertical="center" wrapText="1"/>
      <protection/>
    </xf>
    <xf numFmtId="3" fontId="23" fillId="0" borderId="53" xfId="93" applyNumberFormat="1" applyFont="1" applyFill="1" applyBorder="1" applyAlignment="1">
      <alignment horizontal="center" vertical="center" wrapText="1"/>
      <protection/>
    </xf>
    <xf numFmtId="0" fontId="38" fillId="0" borderId="54" xfId="93" applyFont="1" applyFill="1" applyBorder="1">
      <alignment/>
      <protection/>
    </xf>
    <xf numFmtId="49" fontId="38" fillId="0" borderId="50" xfId="93" applyNumberFormat="1" applyFont="1" applyFill="1" applyBorder="1" applyAlignment="1">
      <alignment horizontal="center"/>
      <protection/>
    </xf>
    <xf numFmtId="0" fontId="38" fillId="0" borderId="51" xfId="93" applyFont="1" applyFill="1" applyBorder="1" applyAlignment="1">
      <alignment/>
      <protection/>
    </xf>
    <xf numFmtId="0" fontId="50" fillId="0" borderId="54" xfId="93" applyFont="1" applyFill="1" applyBorder="1">
      <alignment/>
      <protection/>
    </xf>
    <xf numFmtId="3" fontId="23" fillId="0" borderId="38" xfId="93" applyNumberFormat="1" applyFont="1" applyFill="1" applyBorder="1">
      <alignment/>
      <protection/>
    </xf>
    <xf numFmtId="3" fontId="38" fillId="0" borderId="38" xfId="93" applyNumberFormat="1" applyFont="1" applyFill="1" applyBorder="1">
      <alignment/>
      <protection/>
    </xf>
    <xf numFmtId="3" fontId="38" fillId="0" borderId="55" xfId="93" applyNumberFormat="1" applyFont="1" applyFill="1" applyBorder="1">
      <alignment/>
      <protection/>
    </xf>
    <xf numFmtId="1" fontId="38" fillId="0" borderId="56" xfId="93" applyNumberFormat="1" applyFont="1" applyFill="1" applyBorder="1" applyAlignment="1">
      <alignment horizontal="center"/>
      <protection/>
    </xf>
    <xf numFmtId="0" fontId="38" fillId="0" borderId="57" xfId="93" applyFont="1" applyFill="1" applyBorder="1" applyAlignment="1">
      <alignment/>
      <protection/>
    </xf>
    <xf numFmtId="3" fontId="38" fillId="0" borderId="38" xfId="93" applyNumberFormat="1" applyFont="1" applyFill="1" applyBorder="1" applyAlignment="1">
      <alignment horizontal="right"/>
      <protection/>
    </xf>
    <xf numFmtId="0" fontId="38" fillId="0" borderId="38" xfId="93" applyFont="1" applyFill="1" applyBorder="1" applyAlignment="1">
      <alignment horizontal="right"/>
      <protection/>
    </xf>
    <xf numFmtId="3" fontId="38" fillId="0" borderId="55" xfId="93" applyNumberFormat="1" applyFont="1" applyFill="1" applyBorder="1" applyAlignment="1">
      <alignment horizontal="right"/>
      <protection/>
    </xf>
    <xf numFmtId="0" fontId="50" fillId="0" borderId="0" xfId="93" applyFont="1" applyFill="1">
      <alignment/>
      <protection/>
    </xf>
    <xf numFmtId="1" fontId="38" fillId="0" borderId="58" xfId="93" applyNumberFormat="1" applyFont="1" applyFill="1" applyBorder="1" applyAlignment="1">
      <alignment horizontal="center"/>
      <protection/>
    </xf>
    <xf numFmtId="0" fontId="38" fillId="0" borderId="59" xfId="93" applyFont="1" applyFill="1" applyBorder="1" applyAlignment="1">
      <alignment/>
      <protection/>
    </xf>
    <xf numFmtId="3" fontId="23" fillId="0" borderId="60" xfId="93" applyNumberFormat="1" applyFont="1" applyFill="1" applyBorder="1">
      <alignment/>
      <protection/>
    </xf>
    <xf numFmtId="3" fontId="38" fillId="0" borderId="60" xfId="93" applyNumberFormat="1" applyFont="1" applyFill="1" applyBorder="1">
      <alignment/>
      <protection/>
    </xf>
    <xf numFmtId="0" fontId="40" fillId="0" borderId="54" xfId="93" applyFont="1" applyFill="1" applyBorder="1">
      <alignment/>
      <protection/>
    </xf>
    <xf numFmtId="0" fontId="40" fillId="0" borderId="54" xfId="93" applyFont="1" applyFill="1" applyBorder="1">
      <alignment/>
      <protection/>
    </xf>
    <xf numFmtId="49" fontId="38" fillId="0" borderId="56" xfId="93" applyNumberFormat="1" applyFont="1" applyFill="1" applyBorder="1" applyAlignment="1">
      <alignment horizontal="center"/>
      <protection/>
    </xf>
    <xf numFmtId="0" fontId="38" fillId="0" borderId="57" xfId="93" applyFont="1" applyFill="1" applyBorder="1" applyAlignment="1">
      <alignment horizontal="left"/>
      <protection/>
    </xf>
    <xf numFmtId="3" fontId="38" fillId="0" borderId="52" xfId="93" applyNumberFormat="1" applyFont="1" applyFill="1" applyBorder="1">
      <alignment/>
      <protection/>
    </xf>
    <xf numFmtId="0" fontId="50" fillId="0" borderId="50" xfId="93" applyFont="1" applyFill="1" applyBorder="1">
      <alignment/>
      <protection/>
    </xf>
    <xf numFmtId="0" fontId="50" fillId="0" borderId="56" xfId="93" applyFont="1" applyFill="1" applyBorder="1">
      <alignment/>
      <protection/>
    </xf>
    <xf numFmtId="0" fontId="40" fillId="0" borderId="56" xfId="93" applyFont="1" applyFill="1" applyBorder="1">
      <alignment/>
      <protection/>
    </xf>
    <xf numFmtId="0" fontId="40" fillId="0" borderId="56" xfId="93" applyFont="1" applyFill="1" applyBorder="1">
      <alignment/>
      <protection/>
    </xf>
    <xf numFmtId="3" fontId="23" fillId="0" borderId="38" xfId="93" applyNumberFormat="1" applyFont="1" applyFill="1" applyBorder="1" applyAlignment="1">
      <alignment/>
      <protection/>
    </xf>
    <xf numFmtId="3" fontId="23" fillId="0" borderId="38" xfId="93" applyNumberFormat="1" applyFont="1" applyFill="1" applyBorder="1" applyAlignment="1">
      <alignment/>
      <protection/>
    </xf>
    <xf numFmtId="3" fontId="38" fillId="0" borderId="38" xfId="93" applyNumberFormat="1" applyFont="1" applyFill="1" applyBorder="1" applyAlignment="1">
      <alignment/>
      <protection/>
    </xf>
    <xf numFmtId="3" fontId="38" fillId="0" borderId="55" xfId="93" applyNumberFormat="1" applyFont="1" applyFill="1" applyBorder="1" applyAlignment="1">
      <alignment/>
      <protection/>
    </xf>
    <xf numFmtId="3" fontId="23" fillId="0" borderId="60" xfId="93" applyNumberFormat="1" applyFont="1" applyFill="1" applyBorder="1" applyAlignment="1">
      <alignment/>
      <protection/>
    </xf>
    <xf numFmtId="3" fontId="23" fillId="0" borderId="60" xfId="93" applyNumberFormat="1" applyFont="1" applyFill="1" applyBorder="1" applyAlignment="1">
      <alignment/>
      <protection/>
    </xf>
    <xf numFmtId="3" fontId="38" fillId="0" borderId="60" xfId="93" applyNumberFormat="1" applyFont="1" applyFill="1" applyBorder="1" applyAlignment="1">
      <alignment/>
      <protection/>
    </xf>
    <xf numFmtId="0" fontId="23" fillId="0" borderId="52" xfId="92" applyFont="1" applyFill="1" applyBorder="1" applyAlignment="1">
      <alignment/>
      <protection/>
    </xf>
    <xf numFmtId="0" fontId="23" fillId="0" borderId="52" xfId="93" applyFont="1" applyFill="1" applyBorder="1" applyAlignment="1">
      <alignment/>
      <protection/>
    </xf>
    <xf numFmtId="0" fontId="23" fillId="0" borderId="52" xfId="93" applyFont="1" applyFill="1" applyBorder="1" applyAlignment="1">
      <alignment wrapText="1"/>
      <protection/>
    </xf>
    <xf numFmtId="3" fontId="23" fillId="0" borderId="53" xfId="93" applyNumberFormat="1" applyFont="1" applyFill="1" applyBorder="1" applyAlignment="1">
      <alignment wrapText="1"/>
      <protection/>
    </xf>
    <xf numFmtId="3" fontId="23" fillId="0" borderId="38" xfId="92" applyNumberFormat="1" applyFont="1" applyFill="1" applyBorder="1" applyAlignment="1">
      <alignment/>
      <protection/>
    </xf>
    <xf numFmtId="3" fontId="23" fillId="0" borderId="55" xfId="93" applyNumberFormat="1" applyFont="1" applyFill="1" applyBorder="1" applyAlignment="1">
      <alignment wrapText="1"/>
      <protection/>
    </xf>
    <xf numFmtId="3" fontId="23" fillId="0" borderId="52" xfId="93" applyNumberFormat="1" applyFont="1" applyFill="1" applyBorder="1" applyAlignment="1">
      <alignment/>
      <protection/>
    </xf>
    <xf numFmtId="0" fontId="50" fillId="0" borderId="49" xfId="93" applyFont="1" applyFill="1" applyBorder="1" applyAlignment="1">
      <alignment horizontal="left"/>
      <protection/>
    </xf>
    <xf numFmtId="3" fontId="23" fillId="0" borderId="50" xfId="93" applyNumberFormat="1" applyFont="1" applyFill="1" applyBorder="1">
      <alignment/>
      <protection/>
    </xf>
    <xf numFmtId="3" fontId="38" fillId="0" borderId="51" xfId="93" applyNumberFormat="1" applyFont="1" applyFill="1" applyBorder="1">
      <alignment/>
      <protection/>
    </xf>
    <xf numFmtId="0" fontId="50" fillId="0" borderId="54" xfId="93" applyFont="1" applyFill="1" applyBorder="1" applyAlignment="1">
      <alignment horizontal="left"/>
      <protection/>
    </xf>
    <xf numFmtId="3" fontId="23" fillId="0" borderId="56" xfId="93" applyNumberFormat="1" applyFont="1" applyFill="1" applyBorder="1">
      <alignment/>
      <protection/>
    </xf>
    <xf numFmtId="3" fontId="38" fillId="0" borderId="57" xfId="93" applyNumberFormat="1" applyFont="1" applyFill="1" applyBorder="1">
      <alignment/>
      <protection/>
    </xf>
    <xf numFmtId="0" fontId="50" fillId="0" borderId="0" xfId="93" applyFont="1" applyFill="1" applyBorder="1">
      <alignment/>
      <protection/>
    </xf>
    <xf numFmtId="3" fontId="38" fillId="0" borderId="38" xfId="93" applyNumberFormat="1" applyFont="1" applyFill="1" applyBorder="1">
      <alignment/>
      <protection/>
    </xf>
    <xf numFmtId="1" fontId="38" fillId="0" borderId="56" xfId="92" applyNumberFormat="1" applyFont="1" applyFill="1" applyBorder="1" applyAlignment="1">
      <alignment horizontal="center" vertical="center"/>
      <protection/>
    </xf>
    <xf numFmtId="0" fontId="38" fillId="0" borderId="57" xfId="92" applyFont="1" applyFill="1" applyBorder="1" applyAlignment="1">
      <alignment horizontal="left" vertical="center"/>
      <protection/>
    </xf>
    <xf numFmtId="3" fontId="38" fillId="0" borderId="57" xfId="93" applyNumberFormat="1" applyFont="1" applyFill="1" applyBorder="1" applyAlignment="1">
      <alignment horizontal="right"/>
      <protection/>
    </xf>
    <xf numFmtId="0" fontId="50" fillId="0" borderId="38" xfId="93" applyFont="1" applyFill="1" applyBorder="1">
      <alignment/>
      <protection/>
    </xf>
    <xf numFmtId="0" fontId="38" fillId="0" borderId="57" xfId="93" applyFont="1" applyFill="1" applyBorder="1" applyAlignment="1">
      <alignment wrapText="1"/>
      <protection/>
    </xf>
    <xf numFmtId="0" fontId="38" fillId="0" borderId="0" xfId="93" applyFont="1" applyFill="1" applyBorder="1">
      <alignment/>
      <protection/>
    </xf>
    <xf numFmtId="3" fontId="23" fillId="0" borderId="58" xfId="93" applyNumberFormat="1" applyFont="1" applyFill="1" applyBorder="1">
      <alignment/>
      <protection/>
    </xf>
    <xf numFmtId="0" fontId="38" fillId="0" borderId="61" xfId="93" applyFont="1" applyFill="1" applyBorder="1" applyAlignment="1">
      <alignment horizontal="center" vertical="center"/>
      <protection/>
    </xf>
    <xf numFmtId="0" fontId="38" fillId="0" borderId="62" xfId="93" applyFont="1" applyFill="1" applyBorder="1" applyAlignment="1">
      <alignment horizontal="left" vertical="center"/>
      <protection/>
    </xf>
    <xf numFmtId="0" fontId="50" fillId="0" borderId="63" xfId="93" applyFont="1" applyFill="1" applyBorder="1">
      <alignment/>
      <protection/>
    </xf>
    <xf numFmtId="0" fontId="38" fillId="0" borderId="64" xfId="93" applyFont="1" applyFill="1" applyBorder="1">
      <alignment/>
      <protection/>
    </xf>
    <xf numFmtId="0" fontId="38" fillId="0" borderId="65" xfId="93" applyFont="1" applyFill="1" applyBorder="1">
      <alignment/>
      <protection/>
    </xf>
    <xf numFmtId="0" fontId="52" fillId="0" borderId="54" xfId="93" applyFont="1" applyFill="1" applyBorder="1">
      <alignment/>
      <protection/>
    </xf>
    <xf numFmtId="0" fontId="52" fillId="0" borderId="50" xfId="93" applyFont="1" applyFill="1" applyBorder="1" applyAlignment="1">
      <alignment horizontal="center" vertical="center"/>
      <protection/>
    </xf>
    <xf numFmtId="0" fontId="52" fillId="0" borderId="51" xfId="93" applyFont="1" applyFill="1" applyBorder="1" applyAlignment="1">
      <alignment horizontal="left" vertical="center"/>
      <protection/>
    </xf>
    <xf numFmtId="0" fontId="53" fillId="0" borderId="49" xfId="93" applyFont="1" applyFill="1" applyBorder="1">
      <alignment/>
      <protection/>
    </xf>
    <xf numFmtId="0" fontId="54" fillId="0" borderId="52" xfId="92" applyFont="1" applyFill="1" applyBorder="1" applyAlignment="1">
      <alignment horizontal="center" vertical="center"/>
      <protection/>
    </xf>
    <xf numFmtId="0" fontId="54" fillId="0" borderId="52" xfId="93" applyFont="1" applyFill="1" applyBorder="1" applyAlignment="1">
      <alignment horizontal="center" vertical="center"/>
      <protection/>
    </xf>
    <xf numFmtId="0" fontId="54" fillId="0" borderId="52" xfId="93" applyFont="1" applyFill="1" applyBorder="1" applyAlignment="1">
      <alignment horizontal="center" vertical="center" wrapText="1"/>
      <protection/>
    </xf>
    <xf numFmtId="3" fontId="54" fillId="0" borderId="53" xfId="93" applyNumberFormat="1" applyFont="1" applyFill="1" applyBorder="1" applyAlignment="1">
      <alignment horizontal="center" vertical="center" wrapText="1"/>
      <protection/>
    </xf>
    <xf numFmtId="0" fontId="52" fillId="0" borderId="0" xfId="93" applyFont="1" applyFill="1">
      <alignment/>
      <protection/>
    </xf>
    <xf numFmtId="0" fontId="53" fillId="0" borderId="54" xfId="93" applyFont="1" applyFill="1" applyBorder="1">
      <alignment/>
      <protection/>
    </xf>
    <xf numFmtId="1" fontId="52" fillId="0" borderId="56" xfId="93" applyNumberFormat="1" applyFont="1" applyFill="1" applyBorder="1" applyAlignment="1">
      <alignment horizontal="center"/>
      <protection/>
    </xf>
    <xf numFmtId="0" fontId="52" fillId="0" borderId="57" xfId="93" applyFont="1" applyFill="1" applyBorder="1" applyAlignment="1">
      <alignment/>
      <protection/>
    </xf>
    <xf numFmtId="3" fontId="54" fillId="0" borderId="38" xfId="93" applyNumberFormat="1" applyFont="1" applyFill="1" applyBorder="1">
      <alignment/>
      <protection/>
    </xf>
    <xf numFmtId="3" fontId="52" fillId="0" borderId="38" xfId="93" applyNumberFormat="1" applyFont="1" applyFill="1" applyBorder="1" applyAlignment="1">
      <alignment horizontal="right"/>
      <protection/>
    </xf>
    <xf numFmtId="0" fontId="52" fillId="0" borderId="38" xfId="93" applyFont="1" applyFill="1" applyBorder="1" applyAlignment="1">
      <alignment horizontal="right"/>
      <protection/>
    </xf>
    <xf numFmtId="3" fontId="52" fillId="0" borderId="55" xfId="93" applyNumberFormat="1" applyFont="1" applyFill="1" applyBorder="1" applyAlignment="1">
      <alignment horizontal="right"/>
      <protection/>
    </xf>
    <xf numFmtId="0" fontId="53" fillId="0" borderId="0" xfId="93" applyFont="1" applyFill="1">
      <alignment/>
      <protection/>
    </xf>
    <xf numFmtId="3" fontId="52" fillId="0" borderId="38" xfId="93" applyNumberFormat="1" applyFont="1" applyFill="1" applyBorder="1">
      <alignment/>
      <protection/>
    </xf>
    <xf numFmtId="3" fontId="52" fillId="0" borderId="55" xfId="93" applyNumberFormat="1" applyFont="1" applyFill="1" applyBorder="1">
      <alignment/>
      <protection/>
    </xf>
    <xf numFmtId="3" fontId="23" fillId="0" borderId="52" xfId="93" applyNumberFormat="1" applyFont="1" applyFill="1" applyBorder="1" applyAlignment="1">
      <alignment/>
      <protection/>
    </xf>
    <xf numFmtId="3" fontId="38" fillId="0" borderId="66" xfId="93" applyNumberFormat="1" applyFont="1" applyFill="1" applyBorder="1">
      <alignment/>
      <protection/>
    </xf>
    <xf numFmtId="3" fontId="23" fillId="0" borderId="66" xfId="93" applyNumberFormat="1" applyFont="1" applyFill="1" applyBorder="1" applyAlignment="1">
      <alignment/>
      <protection/>
    </xf>
    <xf numFmtId="3" fontId="23" fillId="0" borderId="55" xfId="93" applyNumberFormat="1" applyFont="1" applyFill="1" applyBorder="1" applyAlignment="1">
      <alignment/>
      <protection/>
    </xf>
    <xf numFmtId="3" fontId="23" fillId="0" borderId="53" xfId="93" applyNumberFormat="1" applyFont="1" applyFill="1" applyBorder="1" applyAlignment="1">
      <alignment/>
      <protection/>
    </xf>
    <xf numFmtId="3" fontId="23" fillId="0" borderId="66" xfId="93" applyNumberFormat="1" applyFont="1" applyFill="1" applyBorder="1" applyAlignment="1">
      <alignment/>
      <protection/>
    </xf>
    <xf numFmtId="3" fontId="38" fillId="0" borderId="66" xfId="93" applyNumberFormat="1" applyFont="1" applyFill="1" applyBorder="1" applyAlignment="1">
      <alignment/>
      <protection/>
    </xf>
    <xf numFmtId="3" fontId="23" fillId="0" borderId="55" xfId="93" applyNumberFormat="1" applyFont="1" applyFill="1" applyBorder="1" applyAlignment="1">
      <alignment/>
      <protection/>
    </xf>
    <xf numFmtId="3" fontId="23" fillId="0" borderId="53" xfId="93" applyNumberFormat="1" applyFont="1" applyFill="1" applyBorder="1" applyAlignment="1">
      <alignment/>
      <protection/>
    </xf>
    <xf numFmtId="0" fontId="38" fillId="0" borderId="0" xfId="93" applyFont="1">
      <alignment/>
      <protection/>
    </xf>
    <xf numFmtId="0" fontId="38" fillId="0" borderId="0" xfId="93" applyFont="1" applyAlignment="1">
      <alignment horizontal="right"/>
      <protection/>
    </xf>
    <xf numFmtId="0" fontId="50" fillId="0" borderId="0" xfId="93" applyFont="1" applyAlignment="1">
      <alignment horizontal="center"/>
      <protection/>
    </xf>
    <xf numFmtId="0" fontId="38" fillId="0" borderId="0" xfId="93" applyFont="1" applyAlignment="1">
      <alignment horizontal="center"/>
      <protection/>
    </xf>
    <xf numFmtId="3" fontId="38" fillId="0" borderId="0" xfId="93" applyNumberFormat="1" applyFont="1" applyAlignment="1">
      <alignment horizontal="right"/>
      <protection/>
    </xf>
    <xf numFmtId="0" fontId="38" fillId="0" borderId="49" xfId="93" applyFont="1" applyBorder="1">
      <alignment/>
      <protection/>
    </xf>
    <xf numFmtId="1" fontId="38" fillId="0" borderId="61" xfId="93" applyNumberFormat="1" applyFont="1" applyBorder="1" applyAlignment="1">
      <alignment horizontal="center"/>
      <protection/>
    </xf>
    <xf numFmtId="0" fontId="38" fillId="0" borderId="39" xfId="93" applyFont="1" applyBorder="1" applyAlignment="1">
      <alignment/>
      <protection/>
    </xf>
    <xf numFmtId="0" fontId="50" fillId="0" borderId="39" xfId="93" applyFont="1" applyBorder="1">
      <alignment/>
      <protection/>
    </xf>
    <xf numFmtId="3" fontId="38" fillId="0" borderId="39" xfId="93" applyNumberFormat="1" applyFont="1" applyBorder="1">
      <alignment/>
      <protection/>
    </xf>
    <xf numFmtId="3" fontId="38" fillId="0" borderId="48" xfId="93" applyNumberFormat="1" applyFont="1" applyBorder="1">
      <alignment/>
      <protection/>
    </xf>
    <xf numFmtId="0" fontId="38" fillId="0" borderId="54" xfId="93" applyFont="1" applyBorder="1">
      <alignment/>
      <protection/>
    </xf>
    <xf numFmtId="1" fontId="38" fillId="0" borderId="50" xfId="93" applyNumberFormat="1" applyFont="1" applyBorder="1" applyAlignment="1">
      <alignment horizontal="center"/>
      <protection/>
    </xf>
    <xf numFmtId="0" fontId="38" fillId="0" borderId="38" xfId="93" applyFont="1" applyBorder="1" applyAlignment="1">
      <alignment/>
      <protection/>
    </xf>
    <xf numFmtId="0" fontId="50" fillId="0" borderId="38" xfId="93" applyFont="1" applyBorder="1">
      <alignment/>
      <protection/>
    </xf>
    <xf numFmtId="3" fontId="38" fillId="0" borderId="38" xfId="93" applyNumberFormat="1" applyFont="1" applyBorder="1">
      <alignment/>
      <protection/>
    </xf>
    <xf numFmtId="3" fontId="38" fillId="0" borderId="55" xfId="93" applyNumberFormat="1" applyFont="1" applyBorder="1">
      <alignment/>
      <protection/>
    </xf>
    <xf numFmtId="1" fontId="38" fillId="0" borderId="56" xfId="93" applyNumberFormat="1" applyFont="1" applyBorder="1" applyAlignment="1">
      <alignment horizontal="center"/>
      <protection/>
    </xf>
    <xf numFmtId="1" fontId="38" fillId="0" borderId="58" xfId="93" applyNumberFormat="1" applyFont="1" applyBorder="1" applyAlignment="1">
      <alignment horizontal="center"/>
      <protection/>
    </xf>
    <xf numFmtId="3" fontId="38" fillId="0" borderId="0" xfId="93" applyNumberFormat="1" applyFont="1">
      <alignment/>
      <protection/>
    </xf>
    <xf numFmtId="49" fontId="57" fillId="0" borderId="67" xfId="0" applyNumberFormat="1" applyFont="1" applyFill="1" applyBorder="1" applyAlignment="1">
      <alignment/>
    </xf>
    <xf numFmtId="49" fontId="29" fillId="0" borderId="68" xfId="0" applyNumberFormat="1" applyFont="1" applyFill="1" applyBorder="1" applyAlignment="1">
      <alignment/>
    </xf>
    <xf numFmtId="49" fontId="58" fillId="0" borderId="68" xfId="0" applyNumberFormat="1" applyFont="1" applyFill="1" applyBorder="1" applyAlignment="1">
      <alignment/>
    </xf>
    <xf numFmtId="49" fontId="34" fillId="0" borderId="68" xfId="0" applyNumberFormat="1" applyFont="1" applyFill="1" applyBorder="1" applyAlignment="1">
      <alignment/>
    </xf>
    <xf numFmtId="3" fontId="58" fillId="0" borderId="46" xfId="0" applyNumberFormat="1" applyFont="1" applyFill="1" applyBorder="1" applyAlignment="1">
      <alignment horizontal="right"/>
    </xf>
    <xf numFmtId="3" fontId="58" fillId="0" borderId="14" xfId="0" applyNumberFormat="1" applyFont="1" applyFill="1" applyBorder="1" applyAlignment="1">
      <alignment horizontal="right"/>
    </xf>
    <xf numFmtId="49" fontId="58" fillId="0" borderId="68" xfId="0" applyNumberFormat="1" applyFont="1" applyFill="1" applyBorder="1" applyAlignment="1">
      <alignment/>
    </xf>
    <xf numFmtId="49" fontId="57" fillId="0" borderId="68" xfId="0" applyNumberFormat="1" applyFont="1" applyFill="1" applyBorder="1" applyAlignment="1">
      <alignment/>
    </xf>
    <xf numFmtId="3" fontId="57" fillId="0" borderId="46" xfId="0" applyNumberFormat="1" applyFont="1" applyFill="1" applyBorder="1" applyAlignment="1">
      <alignment horizontal="right"/>
    </xf>
    <xf numFmtId="3" fontId="57" fillId="0" borderId="14" xfId="0" applyNumberFormat="1" applyFont="1" applyFill="1" applyBorder="1" applyAlignment="1">
      <alignment horizontal="right"/>
    </xf>
    <xf numFmtId="49" fontId="29" fillId="0" borderId="68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right"/>
    </xf>
    <xf numFmtId="0" fontId="29" fillId="0" borderId="14" xfId="0" applyFont="1" applyFill="1" applyBorder="1" applyAlignment="1">
      <alignment/>
    </xf>
    <xf numFmtId="0" fontId="28" fillId="0" borderId="0" xfId="0" applyFont="1" applyFill="1" applyAlignment="1">
      <alignment/>
    </xf>
    <xf numFmtId="49" fontId="30" fillId="0" borderId="68" xfId="0" applyNumberFormat="1" applyFont="1" applyFill="1" applyBorder="1" applyAlignment="1">
      <alignment/>
    </xf>
    <xf numFmtId="0" fontId="29" fillId="0" borderId="42" xfId="0" applyFont="1" applyFill="1" applyBorder="1" applyAlignment="1">
      <alignment/>
    </xf>
    <xf numFmtId="3" fontId="30" fillId="0" borderId="46" xfId="0" applyNumberFormat="1" applyFont="1" applyFill="1" applyBorder="1" applyAlignment="1">
      <alignment horizontal="right"/>
    </xf>
    <xf numFmtId="3" fontId="30" fillId="0" borderId="14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3" fontId="21" fillId="0" borderId="69" xfId="100" applyNumberFormat="1" applyFont="1" applyBorder="1">
      <alignment/>
      <protection/>
    </xf>
    <xf numFmtId="0" fontId="20" fillId="0" borderId="23" xfId="100" applyFont="1" applyBorder="1" applyAlignment="1">
      <alignment wrapText="1"/>
      <protection/>
    </xf>
    <xf numFmtId="3" fontId="20" fillId="0" borderId="70" xfId="100" applyNumberFormat="1" applyFont="1" applyBorder="1">
      <alignment/>
      <protection/>
    </xf>
    <xf numFmtId="0" fontId="30" fillId="0" borderId="0" xfId="0" applyFont="1" applyAlignment="1">
      <alignment/>
    </xf>
    <xf numFmtId="0" fontId="61" fillId="0" borderId="0" xfId="0" applyFont="1" applyAlignment="1">
      <alignment/>
    </xf>
    <xf numFmtId="0" fontId="30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/>
    </xf>
    <xf numFmtId="3" fontId="30" fillId="0" borderId="14" xfId="0" applyNumberFormat="1" applyFont="1" applyBorder="1" applyAlignment="1">
      <alignment horizontal="right" vertical="center" wrapText="1"/>
    </xf>
    <xf numFmtId="3" fontId="30" fillId="0" borderId="46" xfId="0" applyNumberFormat="1" applyFont="1" applyBorder="1" applyAlignment="1">
      <alignment horizontal="right" vertical="center" wrapText="1"/>
    </xf>
    <xf numFmtId="0" fontId="57" fillId="0" borderId="13" xfId="0" applyFont="1" applyBorder="1" applyAlignment="1">
      <alignment/>
    </xf>
    <xf numFmtId="3" fontId="57" fillId="0" borderId="14" xfId="0" applyNumberFormat="1" applyFont="1" applyBorder="1" applyAlignment="1">
      <alignment horizontal="right" vertical="center" wrapText="1"/>
    </xf>
    <xf numFmtId="3" fontId="57" fillId="0" borderId="46" xfId="0" applyNumberFormat="1" applyFont="1" applyBorder="1" applyAlignment="1">
      <alignment horizontal="right" vertical="center" wrapText="1"/>
    </xf>
    <xf numFmtId="0" fontId="62" fillId="0" borderId="0" xfId="0" applyFont="1" applyAlignment="1">
      <alignment/>
    </xf>
    <xf numFmtId="0" fontId="29" fillId="0" borderId="13" xfId="0" applyFont="1" applyBorder="1" applyAlignment="1">
      <alignment wrapText="1"/>
    </xf>
    <xf numFmtId="3" fontId="29" fillId="0" borderId="14" xfId="0" applyNumberFormat="1" applyFont="1" applyBorder="1" applyAlignment="1">
      <alignment horizontal="right" vertical="center" wrapText="1"/>
    </xf>
    <xf numFmtId="3" fontId="29" fillId="0" borderId="46" xfId="0" applyNumberFormat="1" applyFont="1" applyBorder="1" applyAlignment="1">
      <alignment horizontal="right" vertical="center" wrapText="1"/>
    </xf>
    <xf numFmtId="3" fontId="29" fillId="0" borderId="46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3" fontId="58" fillId="0" borderId="14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3" fontId="58" fillId="0" borderId="14" xfId="0" applyNumberFormat="1" applyFont="1" applyBorder="1" applyAlignment="1">
      <alignment/>
    </xf>
    <xf numFmtId="0" fontId="58" fillId="0" borderId="13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/>
    </xf>
    <xf numFmtId="3" fontId="29" fillId="0" borderId="46" xfId="0" applyNumberFormat="1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14" xfId="0" applyNumberFormat="1" applyFont="1" applyBorder="1" applyAlignment="1">
      <alignment/>
    </xf>
    <xf numFmtId="3" fontId="30" fillId="0" borderId="46" xfId="0" applyNumberFormat="1" applyFont="1" applyBorder="1" applyAlignment="1">
      <alignment/>
    </xf>
    <xf numFmtId="0" fontId="55" fillId="0" borderId="0" xfId="0" applyFont="1" applyAlignment="1">
      <alignment/>
    </xf>
    <xf numFmtId="0" fontId="29" fillId="0" borderId="13" xfId="0" applyFont="1" applyBorder="1" applyAlignment="1">
      <alignment wrapText="1"/>
    </xf>
    <xf numFmtId="3" fontId="29" fillId="0" borderId="14" xfId="0" applyNumberFormat="1" applyFont="1" applyBorder="1" applyAlignment="1">
      <alignment/>
    </xf>
    <xf numFmtId="3" fontId="29" fillId="0" borderId="46" xfId="0" applyNumberFormat="1" applyFont="1" applyBorder="1" applyAlignment="1">
      <alignment/>
    </xf>
    <xf numFmtId="0" fontId="30" fillId="0" borderId="13" xfId="0" applyFont="1" applyBorder="1" applyAlignment="1">
      <alignment shrinkToFit="1"/>
    </xf>
    <xf numFmtId="0" fontId="29" fillId="0" borderId="13" xfId="0" applyFont="1" applyBorder="1" applyAlignment="1">
      <alignment shrinkToFit="1"/>
    </xf>
    <xf numFmtId="0" fontId="58" fillId="0" borderId="13" xfId="0" applyFont="1" applyBorder="1" applyAlignment="1">
      <alignment shrinkToFit="1"/>
    </xf>
    <xf numFmtId="3" fontId="58" fillId="0" borderId="14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3" fontId="30" fillId="0" borderId="46" xfId="0" applyNumberFormat="1" applyFont="1" applyBorder="1" applyAlignment="1">
      <alignment horizontal="right" vertical="center" wrapText="1"/>
    </xf>
    <xf numFmtId="0" fontId="30" fillId="0" borderId="13" xfId="0" applyFont="1" applyBorder="1" applyAlignment="1">
      <alignment vertical="center" wrapText="1"/>
    </xf>
    <xf numFmtId="3" fontId="30" fillId="0" borderId="14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30" fillId="0" borderId="21" xfId="0" applyFont="1" applyBorder="1" applyAlignment="1">
      <alignment shrinkToFit="1"/>
    </xf>
    <xf numFmtId="3" fontId="30" fillId="0" borderId="22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72" xfId="0" applyFont="1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29" fillId="0" borderId="20" xfId="0" applyFont="1" applyBorder="1" applyAlignment="1">
      <alignment/>
    </xf>
    <xf numFmtId="0" fontId="29" fillId="0" borderId="45" xfId="0" applyFont="1" applyBorder="1" applyAlignment="1">
      <alignment/>
    </xf>
    <xf numFmtId="0" fontId="30" fillId="0" borderId="13" xfId="0" applyFont="1" applyBorder="1" applyAlignment="1">
      <alignment vertical="top" wrapText="1"/>
    </xf>
    <xf numFmtId="3" fontId="30" fillId="0" borderId="14" xfId="0" applyNumberFormat="1" applyFont="1" applyBorder="1" applyAlignment="1">
      <alignment horizontal="center" wrapText="1"/>
    </xf>
    <xf numFmtId="3" fontId="30" fillId="0" borderId="68" xfId="0" applyNumberFormat="1" applyFont="1" applyBorder="1" applyAlignment="1">
      <alignment horizontal="center" wrapText="1"/>
    </xf>
    <xf numFmtId="3" fontId="30" fillId="0" borderId="46" xfId="0" applyNumberFormat="1" applyFont="1" applyBorder="1" applyAlignment="1">
      <alignment horizontal="center" wrapText="1"/>
    </xf>
    <xf numFmtId="0" fontId="30" fillId="0" borderId="72" xfId="0" applyFont="1" applyBorder="1" applyAlignment="1">
      <alignment/>
    </xf>
    <xf numFmtId="3" fontId="30" fillId="0" borderId="14" xfId="0" applyNumberFormat="1" applyFont="1" applyBorder="1" applyAlignment="1">
      <alignment wrapText="1"/>
    </xf>
    <xf numFmtId="3" fontId="30" fillId="0" borderId="73" xfId="0" applyNumberFormat="1" applyFont="1" applyBorder="1" applyAlignment="1">
      <alignment wrapText="1"/>
    </xf>
    <xf numFmtId="3" fontId="30" fillId="0" borderId="45" xfId="0" applyNumberFormat="1" applyFont="1" applyBorder="1" applyAlignment="1">
      <alignment wrapText="1"/>
    </xf>
    <xf numFmtId="3" fontId="30" fillId="0" borderId="69" xfId="0" applyNumberFormat="1" applyFont="1" applyBorder="1" applyAlignment="1">
      <alignment wrapText="1"/>
    </xf>
    <xf numFmtId="3" fontId="30" fillId="0" borderId="46" xfId="0" applyNumberFormat="1" applyFont="1" applyBorder="1" applyAlignment="1">
      <alignment wrapText="1"/>
    </xf>
    <xf numFmtId="0" fontId="30" fillId="0" borderId="13" xfId="0" applyFont="1" applyBorder="1" applyAlignment="1">
      <alignment wrapText="1"/>
    </xf>
    <xf numFmtId="37" fontId="30" fillId="0" borderId="14" xfId="0" applyNumberFormat="1" applyFont="1" applyBorder="1" applyAlignment="1">
      <alignment wrapText="1"/>
    </xf>
    <xf numFmtId="37" fontId="30" fillId="0" borderId="68" xfId="0" applyNumberFormat="1" applyFont="1" applyBorder="1" applyAlignment="1">
      <alignment wrapText="1"/>
    </xf>
    <xf numFmtId="0" fontId="29" fillId="0" borderId="13" xfId="0" applyFont="1" applyBorder="1" applyAlignment="1">
      <alignment/>
    </xf>
    <xf numFmtId="3" fontId="29" fillId="0" borderId="14" xfId="0" applyNumberFormat="1" applyFont="1" applyBorder="1" applyAlignment="1">
      <alignment wrapText="1"/>
    </xf>
    <xf numFmtId="3" fontId="29" fillId="0" borderId="69" xfId="0" applyNumberFormat="1" applyFont="1" applyBorder="1" applyAlignment="1">
      <alignment wrapText="1"/>
    </xf>
    <xf numFmtId="3" fontId="29" fillId="0" borderId="46" xfId="0" applyNumberFormat="1" applyFont="1" applyBorder="1" applyAlignment="1">
      <alignment wrapText="1"/>
    </xf>
    <xf numFmtId="0" fontId="29" fillId="0" borderId="13" xfId="0" applyFont="1" applyBorder="1" applyAlignment="1">
      <alignment horizontal="left" wrapText="1"/>
    </xf>
    <xf numFmtId="0" fontId="29" fillId="0" borderId="13" xfId="0" applyFont="1" applyBorder="1" applyAlignment="1">
      <alignment/>
    </xf>
    <xf numFmtId="3" fontId="29" fillId="0" borderId="14" xfId="0" applyNumberFormat="1" applyFont="1" applyBorder="1" applyAlignment="1">
      <alignment wrapText="1"/>
    </xf>
    <xf numFmtId="3" fontId="29" fillId="0" borderId="69" xfId="0" applyNumberFormat="1" applyFont="1" applyBorder="1" applyAlignment="1">
      <alignment wrapText="1"/>
    </xf>
    <xf numFmtId="3" fontId="29" fillId="0" borderId="46" xfId="0" applyNumberFormat="1" applyFont="1" applyBorder="1" applyAlignment="1">
      <alignment wrapText="1"/>
    </xf>
    <xf numFmtId="0" fontId="30" fillId="0" borderId="32" xfId="0" applyFont="1" applyBorder="1" applyAlignment="1">
      <alignment/>
    </xf>
    <xf numFmtId="0" fontId="30" fillId="0" borderId="7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14" xfId="0" applyNumberFormat="1" applyFont="1" applyBorder="1" applyAlignment="1">
      <alignment wrapText="1"/>
    </xf>
    <xf numFmtId="3" fontId="30" fillId="0" borderId="69" xfId="0" applyNumberFormat="1" applyFont="1" applyBorder="1" applyAlignment="1">
      <alignment wrapText="1"/>
    </xf>
    <xf numFmtId="3" fontId="30" fillId="0" borderId="46" xfId="0" applyNumberFormat="1" applyFont="1" applyBorder="1" applyAlignment="1">
      <alignment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wrapText="1"/>
    </xf>
    <xf numFmtId="0" fontId="29" fillId="0" borderId="0" xfId="0" applyFont="1" applyAlignment="1">
      <alignment/>
    </xf>
    <xf numFmtId="37" fontId="29" fillId="0" borderId="14" xfId="0" applyNumberFormat="1" applyFont="1" applyBorder="1" applyAlignment="1">
      <alignment wrapText="1"/>
    </xf>
    <xf numFmtId="37" fontId="29" fillId="0" borderId="68" xfId="0" applyNumberFormat="1" applyFont="1" applyBorder="1" applyAlignment="1">
      <alignment wrapText="1"/>
    </xf>
    <xf numFmtId="0" fontId="29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3" fontId="58" fillId="0" borderId="14" xfId="0" applyNumberFormat="1" applyFont="1" applyBorder="1" applyAlignment="1">
      <alignment wrapText="1"/>
    </xf>
    <xf numFmtId="3" fontId="58" fillId="0" borderId="69" xfId="0" applyNumberFormat="1" applyFont="1" applyBorder="1" applyAlignment="1">
      <alignment wrapText="1"/>
    </xf>
    <xf numFmtId="3" fontId="58" fillId="0" borderId="46" xfId="0" applyNumberFormat="1" applyFont="1" applyBorder="1" applyAlignment="1">
      <alignment wrapText="1"/>
    </xf>
    <xf numFmtId="0" fontId="57" fillId="0" borderId="0" xfId="0" applyFont="1" applyBorder="1" applyAlignment="1">
      <alignment/>
    </xf>
    <xf numFmtId="3" fontId="58" fillId="0" borderId="35" xfId="0" applyNumberFormat="1" applyFont="1" applyBorder="1" applyAlignment="1">
      <alignment wrapText="1"/>
    </xf>
    <xf numFmtId="3" fontId="58" fillId="0" borderId="47" xfId="0" applyNumberFormat="1" applyFont="1" applyBorder="1" applyAlignment="1">
      <alignment wrapText="1"/>
    </xf>
    <xf numFmtId="3" fontId="29" fillId="0" borderId="35" xfId="0" applyNumberFormat="1" applyFont="1" applyBorder="1" applyAlignment="1">
      <alignment wrapText="1"/>
    </xf>
    <xf numFmtId="3" fontId="29" fillId="0" borderId="47" xfId="0" applyNumberFormat="1" applyFont="1" applyBorder="1" applyAlignment="1">
      <alignment wrapText="1"/>
    </xf>
    <xf numFmtId="3" fontId="30" fillId="0" borderId="35" xfId="0" applyNumberFormat="1" applyFont="1" applyBorder="1" applyAlignment="1">
      <alignment wrapText="1"/>
    </xf>
    <xf numFmtId="3" fontId="30" fillId="0" borderId="47" xfId="0" applyNumberFormat="1" applyFont="1" applyBorder="1" applyAlignment="1">
      <alignment wrapText="1"/>
    </xf>
    <xf numFmtId="0" fontId="30" fillId="0" borderId="21" xfId="0" applyFont="1" applyBorder="1" applyAlignment="1">
      <alignment wrapText="1"/>
    </xf>
    <xf numFmtId="37" fontId="30" fillId="0" borderId="22" xfId="0" applyNumberFormat="1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justify" wrapText="1"/>
    </xf>
    <xf numFmtId="3" fontId="23" fillId="0" borderId="52" xfId="93" applyNumberFormat="1" applyFont="1" applyFill="1" applyBorder="1">
      <alignment/>
      <protection/>
    </xf>
    <xf numFmtId="3" fontId="23" fillId="0" borderId="38" xfId="93" applyNumberFormat="1" applyFont="1" applyFill="1" applyBorder="1" applyAlignment="1" quotePrefix="1">
      <alignment/>
      <protection/>
    </xf>
    <xf numFmtId="0" fontId="64" fillId="0" borderId="49" xfId="93" applyFont="1" applyFill="1" applyBorder="1">
      <alignment/>
      <protection/>
    </xf>
    <xf numFmtId="0" fontId="38" fillId="0" borderId="60" xfId="93" applyFont="1" applyBorder="1" applyAlignment="1">
      <alignment/>
      <protection/>
    </xf>
    <xf numFmtId="3" fontId="38" fillId="0" borderId="60" xfId="93" applyNumberFormat="1" applyFont="1" applyBorder="1">
      <alignment/>
      <protection/>
    </xf>
    <xf numFmtId="3" fontId="38" fillId="0" borderId="66" xfId="93" applyNumberFormat="1" applyFont="1" applyBorder="1">
      <alignment/>
      <protection/>
    </xf>
    <xf numFmtId="0" fontId="40" fillId="0" borderId="38" xfId="93" applyFont="1" applyBorder="1">
      <alignment/>
      <protection/>
    </xf>
    <xf numFmtId="3" fontId="23" fillId="0" borderId="38" xfId="93" applyNumberFormat="1" applyFont="1" applyBorder="1">
      <alignment/>
      <protection/>
    </xf>
    <xf numFmtId="1" fontId="38" fillId="0" borderId="38" xfId="93" applyNumberFormat="1" applyFont="1" applyFill="1" applyBorder="1" applyAlignment="1">
      <alignment horizontal="center"/>
      <protection/>
    </xf>
    <xf numFmtId="0" fontId="40" fillId="0" borderId="50" xfId="93" applyFont="1" applyFill="1" applyBorder="1">
      <alignment/>
      <protection/>
    </xf>
    <xf numFmtId="3" fontId="24" fillId="0" borderId="46" xfId="0" applyNumberFormat="1" applyFont="1" applyBorder="1" applyAlignment="1">
      <alignment horizontal="right"/>
    </xf>
    <xf numFmtId="3" fontId="22" fillId="0" borderId="44" xfId="0" applyNumberFormat="1" applyFont="1" applyBorder="1" applyAlignment="1">
      <alignment horizontal="right"/>
    </xf>
    <xf numFmtId="0" fontId="0" fillId="0" borderId="71" xfId="0" applyBorder="1" applyAlignment="1">
      <alignment/>
    </xf>
    <xf numFmtId="2" fontId="23" fillId="0" borderId="75" xfId="0" applyNumberFormat="1" applyFont="1" applyBorder="1" applyAlignment="1">
      <alignment horizontal="center" vertical="top" wrapText="1"/>
    </xf>
    <xf numFmtId="0" fontId="40" fillId="0" borderId="56" xfId="93" applyFont="1" applyFill="1" applyBorder="1" applyAlignment="1">
      <alignment horizontal="left"/>
      <protection/>
    </xf>
    <xf numFmtId="0" fontId="40" fillId="0" borderId="56" xfId="93" applyFont="1" applyFill="1" applyBorder="1" applyAlignment="1">
      <alignment horizontal="left"/>
      <protection/>
    </xf>
    <xf numFmtId="3" fontId="30" fillId="0" borderId="71" xfId="0" applyNumberFormat="1" applyFont="1" applyBorder="1" applyAlignment="1">
      <alignment horizontal="right" vertical="center" wrapText="1"/>
    </xf>
    <xf numFmtId="3" fontId="33" fillId="0" borderId="14" xfId="100" applyNumberFormat="1" applyFont="1" applyBorder="1">
      <alignment/>
      <protection/>
    </xf>
    <xf numFmtId="3" fontId="21" fillId="0" borderId="14" xfId="100" applyNumberFormat="1" applyFont="1" applyBorder="1">
      <alignment/>
      <protection/>
    </xf>
    <xf numFmtId="3" fontId="20" fillId="0" borderId="73" xfId="100" applyNumberFormat="1" applyFont="1" applyBorder="1">
      <alignment/>
      <protection/>
    </xf>
    <xf numFmtId="3" fontId="30" fillId="0" borderId="71" xfId="0" applyNumberFormat="1" applyFont="1" applyBorder="1" applyAlignment="1">
      <alignment/>
    </xf>
    <xf numFmtId="3" fontId="30" fillId="0" borderId="76" xfId="0" applyNumberFormat="1" applyFont="1" applyBorder="1" applyAlignment="1">
      <alignment/>
    </xf>
    <xf numFmtId="0" fontId="38" fillId="0" borderId="13" xfId="96" applyFont="1" applyBorder="1" quotePrefix="1">
      <alignment/>
      <protection/>
    </xf>
    <xf numFmtId="3" fontId="38" fillId="0" borderId="0" xfId="96" applyNumberFormat="1" applyFont="1">
      <alignment/>
      <protection/>
    </xf>
    <xf numFmtId="0" fontId="30" fillId="0" borderId="41" xfId="0" applyFont="1" applyBorder="1" applyAlignment="1">
      <alignment shrinkToFit="1"/>
    </xf>
    <xf numFmtId="3" fontId="30" fillId="0" borderId="42" xfId="0" applyNumberFormat="1" applyFont="1" applyBorder="1" applyAlignment="1">
      <alignment/>
    </xf>
    <xf numFmtId="3" fontId="30" fillId="0" borderId="47" xfId="0" applyNumberFormat="1" applyFont="1" applyBorder="1" applyAlignment="1">
      <alignment horizontal="right" vertical="center" wrapText="1"/>
    </xf>
    <xf numFmtId="3" fontId="30" fillId="0" borderId="47" xfId="0" applyNumberFormat="1" applyFont="1" applyBorder="1" applyAlignment="1">
      <alignment horizontal="right" vertical="center" wrapText="1"/>
    </xf>
    <xf numFmtId="0" fontId="58" fillId="0" borderId="13" xfId="0" applyFont="1" applyBorder="1" applyAlignment="1" quotePrefix="1">
      <alignment vertical="center" wrapText="1"/>
    </xf>
    <xf numFmtId="3" fontId="30" fillId="0" borderId="47" xfId="0" applyNumberFormat="1" applyFont="1" applyBorder="1" applyAlignment="1">
      <alignment wrapText="1"/>
    </xf>
    <xf numFmtId="0" fontId="23" fillId="0" borderId="13" xfId="96" applyFont="1" applyBorder="1" applyAlignment="1">
      <alignment wrapText="1"/>
      <protection/>
    </xf>
    <xf numFmtId="0" fontId="38" fillId="0" borderId="0" xfId="97" applyFont="1" applyAlignment="1">
      <alignment horizontal="center" vertical="center" wrapText="1"/>
      <protection/>
    </xf>
    <xf numFmtId="0" fontId="38" fillId="0" borderId="0" xfId="97" applyFont="1">
      <alignment/>
      <protection/>
    </xf>
    <xf numFmtId="0" fontId="23" fillId="0" borderId="0" xfId="97" applyFont="1">
      <alignment/>
      <protection/>
    </xf>
    <xf numFmtId="3" fontId="38" fillId="0" borderId="0" xfId="97" applyNumberFormat="1" applyFont="1">
      <alignment/>
      <protection/>
    </xf>
    <xf numFmtId="0" fontId="32" fillId="0" borderId="0" xfId="97" applyAlignment="1">
      <alignment horizontal="center" vertical="center" wrapText="1"/>
      <protection/>
    </xf>
    <xf numFmtId="0" fontId="32" fillId="0" borderId="0" xfId="97">
      <alignment/>
      <protection/>
    </xf>
    <xf numFmtId="0" fontId="38" fillId="0" borderId="0" xfId="99" applyFont="1" applyFill="1">
      <alignment/>
      <protection/>
    </xf>
    <xf numFmtId="0" fontId="38" fillId="0" borderId="38" xfId="99" applyFont="1" applyFill="1" applyBorder="1" applyAlignment="1">
      <alignment vertical="center" wrapText="1"/>
      <protection/>
    </xf>
    <xf numFmtId="3" fontId="38" fillId="0" borderId="38" xfId="99" applyNumberFormat="1" applyFont="1" applyFill="1" applyBorder="1" applyAlignment="1">
      <alignment vertical="center"/>
      <protection/>
    </xf>
    <xf numFmtId="3" fontId="38" fillId="0" borderId="55" xfId="99" applyNumberFormat="1" applyFont="1" applyFill="1" applyBorder="1" applyAlignment="1">
      <alignment vertical="center"/>
      <protection/>
    </xf>
    <xf numFmtId="0" fontId="38" fillId="0" borderId="38" xfId="99" applyFont="1" applyFill="1" applyBorder="1" applyAlignment="1">
      <alignment vertical="center" wrapText="1"/>
      <protection/>
    </xf>
    <xf numFmtId="3" fontId="38" fillId="0" borderId="38" xfId="99" applyNumberFormat="1" applyFont="1" applyFill="1" applyBorder="1" applyAlignment="1">
      <alignment vertical="center"/>
      <protection/>
    </xf>
    <xf numFmtId="0" fontId="38" fillId="0" borderId="0" xfId="99" applyFont="1" applyFill="1" applyBorder="1">
      <alignment/>
      <protection/>
    </xf>
    <xf numFmtId="3" fontId="38" fillId="0" borderId="0" xfId="99" applyNumberFormat="1" applyFont="1" applyFill="1">
      <alignment/>
      <protection/>
    </xf>
    <xf numFmtId="0" fontId="32" fillId="0" borderId="77" xfId="96" applyBorder="1" applyAlignment="1">
      <alignment horizontal="left"/>
      <protection/>
    </xf>
    <xf numFmtId="3" fontId="32" fillId="0" borderId="77" xfId="96" applyNumberFormat="1" applyBorder="1">
      <alignment/>
      <protection/>
    </xf>
    <xf numFmtId="3" fontId="38" fillId="0" borderId="77" xfId="96" applyNumberFormat="1" applyFont="1" applyBorder="1">
      <alignment/>
      <protection/>
    </xf>
    <xf numFmtId="3" fontId="32" fillId="0" borderId="0" xfId="96" applyNumberFormat="1" applyBorder="1" applyAlignment="1">
      <alignment horizontal="left"/>
      <protection/>
    </xf>
    <xf numFmtId="3" fontId="32" fillId="0" borderId="0" xfId="96" applyNumberFormat="1" applyBorder="1">
      <alignment/>
      <protection/>
    </xf>
    <xf numFmtId="3" fontId="38" fillId="0" borderId="0" xfId="96" applyNumberFormat="1" applyFont="1" applyBorder="1">
      <alignment/>
      <protection/>
    </xf>
    <xf numFmtId="3" fontId="32" fillId="0" borderId="74" xfId="96" applyNumberFormat="1" applyBorder="1" applyAlignment="1">
      <alignment horizontal="left"/>
      <protection/>
    </xf>
    <xf numFmtId="3" fontId="32" fillId="0" borderId="74" xfId="96" applyNumberFormat="1" applyBorder="1">
      <alignment/>
      <protection/>
    </xf>
    <xf numFmtId="3" fontId="38" fillId="0" borderId="74" xfId="96" applyNumberFormat="1" applyFont="1" applyBorder="1">
      <alignment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/>
    </xf>
    <xf numFmtId="0" fontId="24" fillId="0" borderId="47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49" fontId="24" fillId="0" borderId="78" xfId="0" applyNumberFormat="1" applyFont="1" applyFill="1" applyBorder="1" applyAlignment="1">
      <alignment horizontal="left" vertical="center"/>
    </xf>
    <xf numFmtId="0" fontId="24" fillId="0" borderId="79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/>
    </xf>
    <xf numFmtId="2" fontId="29" fillId="0" borderId="20" xfId="0" applyNumberFormat="1" applyFont="1" applyFill="1" applyBorder="1" applyAlignment="1">
      <alignment/>
    </xf>
    <xf numFmtId="3" fontId="29" fillId="0" borderId="20" xfId="0" applyNumberFormat="1" applyFont="1" applyFill="1" applyBorder="1" applyAlignment="1">
      <alignment horizontal="center"/>
    </xf>
    <xf numFmtId="3" fontId="29" fillId="0" borderId="20" xfId="0" applyNumberFormat="1" applyFont="1" applyFill="1" applyBorder="1" applyAlignment="1">
      <alignment horizontal="right"/>
    </xf>
    <xf numFmtId="3" fontId="57" fillId="0" borderId="45" xfId="0" applyNumberFormat="1" applyFont="1" applyFill="1" applyBorder="1" applyAlignment="1">
      <alignment horizontal="right"/>
    </xf>
    <xf numFmtId="3" fontId="57" fillId="0" borderId="20" xfId="0" applyNumberFormat="1" applyFont="1" applyFill="1" applyBorder="1" applyAlignment="1">
      <alignment horizontal="right"/>
    </xf>
    <xf numFmtId="2" fontId="29" fillId="0" borderId="14" xfId="0" applyNumberFormat="1" applyFont="1" applyFill="1" applyBorder="1" applyAlignment="1">
      <alignment/>
    </xf>
    <xf numFmtId="3" fontId="29" fillId="0" borderId="14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3" fontId="36" fillId="0" borderId="14" xfId="0" applyNumberFormat="1" applyFont="1" applyFill="1" applyBorder="1" applyAlignment="1">
      <alignment horizontal="center"/>
    </xf>
    <xf numFmtId="3" fontId="36" fillId="0" borderId="14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3" fontId="29" fillId="0" borderId="14" xfId="0" applyNumberFormat="1" applyFont="1" applyFill="1" applyBorder="1" applyAlignment="1">
      <alignment/>
    </xf>
    <xf numFmtId="49" fontId="36" fillId="0" borderId="14" xfId="0" applyNumberFormat="1" applyFont="1" applyFill="1" applyBorder="1" applyAlignment="1">
      <alignment horizontal="right"/>
    </xf>
    <xf numFmtId="49" fontId="29" fillId="0" borderId="14" xfId="0" applyNumberFormat="1" applyFont="1" applyFill="1" applyBorder="1" applyAlignment="1">
      <alignment horizontal="right"/>
    </xf>
    <xf numFmtId="49" fontId="29" fillId="0" borderId="68" xfId="0" applyNumberFormat="1" applyFont="1" applyFill="1" applyBorder="1" applyAlignment="1">
      <alignment vertical="center" wrapText="1"/>
    </xf>
    <xf numFmtId="49" fontId="30" fillId="0" borderId="68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3" fontId="30" fillId="0" borderId="14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right" vertical="center" wrapText="1"/>
    </xf>
    <xf numFmtId="49" fontId="29" fillId="0" borderId="68" xfId="0" applyNumberFormat="1" applyFont="1" applyFill="1" applyBorder="1" applyAlignment="1">
      <alignment vertical="center" wrapText="1"/>
    </xf>
    <xf numFmtId="3" fontId="36" fillId="0" borderId="14" xfId="0" applyNumberFormat="1" applyFont="1" applyFill="1" applyBorder="1" applyAlignment="1">
      <alignment/>
    </xf>
    <xf numFmtId="49" fontId="30" fillId="0" borderId="68" xfId="0" applyNumberFormat="1" applyFont="1" applyFill="1" applyBorder="1" applyAlignment="1">
      <alignment vertical="center" wrapText="1"/>
    </xf>
    <xf numFmtId="3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right"/>
    </xf>
    <xf numFmtId="49" fontId="28" fillId="0" borderId="68" xfId="0" applyNumberFormat="1" applyFont="1" applyFill="1" applyBorder="1" applyAlignment="1">
      <alignment vertical="center" wrapText="1"/>
    </xf>
    <xf numFmtId="3" fontId="29" fillId="0" borderId="42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right"/>
    </xf>
    <xf numFmtId="3" fontId="30" fillId="0" borderId="47" xfId="0" applyNumberFormat="1" applyFont="1" applyFill="1" applyBorder="1" applyAlignment="1">
      <alignment horizontal="right"/>
    </xf>
    <xf numFmtId="3" fontId="30" fillId="0" borderId="42" xfId="0" applyNumberFormat="1" applyFont="1" applyFill="1" applyBorder="1" applyAlignment="1">
      <alignment horizontal="right"/>
    </xf>
    <xf numFmtId="172" fontId="29" fillId="0" borderId="42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49" fontId="29" fillId="0" borderId="0" xfId="0" applyNumberFormat="1" applyFont="1" applyFill="1" applyAlignment="1">
      <alignment/>
    </xf>
    <xf numFmtId="0" fontId="38" fillId="0" borderId="81" xfId="93" applyFont="1" applyFill="1" applyBorder="1">
      <alignment/>
      <protection/>
    </xf>
    <xf numFmtId="0" fontId="38" fillId="0" borderId="82" xfId="93" applyFont="1" applyFill="1" applyBorder="1" applyAlignment="1">
      <alignment/>
      <protection/>
    </xf>
    <xf numFmtId="3" fontId="21" fillId="0" borderId="32" xfId="100" applyNumberFormat="1" applyFont="1" applyBorder="1">
      <alignment/>
      <protection/>
    </xf>
    <xf numFmtId="3" fontId="21" fillId="0" borderId="83" xfId="100" applyNumberFormat="1" applyFont="1" applyBorder="1">
      <alignment/>
      <protection/>
    </xf>
    <xf numFmtId="3" fontId="33" fillId="0" borderId="73" xfId="100" applyNumberFormat="1" applyFont="1" applyBorder="1">
      <alignment/>
      <protection/>
    </xf>
    <xf numFmtId="3" fontId="21" fillId="0" borderId="73" xfId="100" applyNumberFormat="1" applyFont="1" applyBorder="1">
      <alignment/>
      <protection/>
    </xf>
    <xf numFmtId="3" fontId="21" fillId="0" borderId="84" xfId="100" applyNumberFormat="1" applyFont="1" applyBorder="1">
      <alignment/>
      <protection/>
    </xf>
    <xf numFmtId="3" fontId="21" fillId="0" borderId="85" xfId="100" applyNumberFormat="1" applyFont="1" applyBorder="1">
      <alignment/>
      <protection/>
    </xf>
    <xf numFmtId="3" fontId="33" fillId="0" borderId="85" xfId="100" applyNumberFormat="1" applyFont="1" applyBorder="1">
      <alignment/>
      <protection/>
    </xf>
    <xf numFmtId="3" fontId="33" fillId="0" borderId="85" xfId="100" applyNumberFormat="1" applyFont="1" applyBorder="1">
      <alignment/>
      <protection/>
    </xf>
    <xf numFmtId="3" fontId="21" fillId="0" borderId="86" xfId="100" applyNumberFormat="1" applyFont="1" applyBorder="1">
      <alignment/>
      <protection/>
    </xf>
    <xf numFmtId="3" fontId="21" fillId="0" borderId="20" xfId="100" applyNumberFormat="1" applyFont="1" applyBorder="1">
      <alignment/>
      <protection/>
    </xf>
    <xf numFmtId="3" fontId="33" fillId="0" borderId="14" xfId="100" applyNumberFormat="1" applyFont="1" applyBorder="1">
      <alignment/>
      <protection/>
    </xf>
    <xf numFmtId="3" fontId="21" fillId="0" borderId="14" xfId="100" applyNumberFormat="1" applyFont="1" applyBorder="1">
      <alignment/>
      <protection/>
    </xf>
    <xf numFmtId="0" fontId="21" fillId="0" borderId="25" xfId="100" applyFont="1" applyBorder="1" applyAlignment="1" quotePrefix="1">
      <alignment horizontal="left"/>
      <protection/>
    </xf>
    <xf numFmtId="0" fontId="21" fillId="0" borderId="28" xfId="100" applyFont="1" applyBorder="1">
      <alignment/>
      <protection/>
    </xf>
    <xf numFmtId="0" fontId="21" fillId="0" borderId="28" xfId="100" applyFont="1" applyBorder="1" applyAlignment="1">
      <alignment/>
      <protection/>
    </xf>
    <xf numFmtId="0" fontId="21" fillId="0" borderId="28" xfId="0" applyFont="1" applyBorder="1" applyAlignment="1">
      <alignment/>
    </xf>
    <xf numFmtId="0" fontId="34" fillId="0" borderId="28" xfId="102" applyFont="1" applyBorder="1">
      <alignment/>
      <protection/>
    </xf>
    <xf numFmtId="0" fontId="21" fillId="0" borderId="28" xfId="0" applyFont="1" applyBorder="1" applyAlignment="1">
      <alignment shrinkToFit="1"/>
    </xf>
    <xf numFmtId="0" fontId="33" fillId="0" borderId="28" xfId="0" applyFont="1" applyBorder="1" applyAlignment="1">
      <alignment shrinkToFit="1"/>
    </xf>
    <xf numFmtId="0" fontId="33" fillId="0" borderId="28" xfId="100" applyFont="1" applyBorder="1">
      <alignment/>
      <protection/>
    </xf>
    <xf numFmtId="0" fontId="33" fillId="0" borderId="30" xfId="100" applyFont="1" applyBorder="1">
      <alignment/>
      <protection/>
    </xf>
    <xf numFmtId="0" fontId="21" fillId="0" borderId="32" xfId="100" applyFont="1" applyBorder="1" applyAlignment="1">
      <alignment wrapText="1"/>
      <protection/>
    </xf>
    <xf numFmtId="3" fontId="21" fillId="0" borderId="86" xfId="100" applyNumberFormat="1" applyFont="1" applyBorder="1">
      <alignment/>
      <protection/>
    </xf>
    <xf numFmtId="0" fontId="32" fillId="0" borderId="74" xfId="96" applyBorder="1">
      <alignment/>
      <protection/>
    </xf>
    <xf numFmtId="0" fontId="23" fillId="0" borderId="0" xfId="96" applyFont="1" applyBorder="1">
      <alignment/>
      <protection/>
    </xf>
    <xf numFmtId="0" fontId="38" fillId="0" borderId="0" xfId="96" applyFont="1" applyBorder="1">
      <alignment/>
      <protection/>
    </xf>
    <xf numFmtId="3" fontId="35" fillId="0" borderId="0" xfId="100" applyNumberFormat="1" applyFont="1">
      <alignment/>
      <protection/>
    </xf>
    <xf numFmtId="0" fontId="38" fillId="0" borderId="87" xfId="93" applyFont="1" applyFill="1" applyBorder="1" applyAlignment="1">
      <alignment/>
      <protection/>
    </xf>
    <xf numFmtId="3" fontId="38" fillId="0" borderId="38" xfId="93" applyNumberFormat="1" applyFont="1" applyFill="1" applyBorder="1" applyAlignment="1">
      <alignment wrapText="1"/>
      <protection/>
    </xf>
    <xf numFmtId="3" fontId="23" fillId="0" borderId="38" xfId="93" applyNumberFormat="1" applyFont="1" applyFill="1" applyBorder="1" applyAlignment="1">
      <alignment wrapText="1"/>
      <protection/>
    </xf>
    <xf numFmtId="0" fontId="23" fillId="0" borderId="19" xfId="0" applyFont="1" applyBorder="1" applyAlignment="1">
      <alignment horizontal="justify" vertical="top" wrapText="1"/>
    </xf>
    <xf numFmtId="2" fontId="23" fillId="0" borderId="46" xfId="0" applyNumberFormat="1" applyFont="1" applyBorder="1" applyAlignment="1">
      <alignment horizontal="center" vertical="top" wrapText="1"/>
    </xf>
    <xf numFmtId="2" fontId="23" fillId="0" borderId="47" xfId="0" applyNumberFormat="1" applyFont="1" applyBorder="1" applyAlignment="1">
      <alignment horizontal="center" vertical="top" wrapText="1"/>
    </xf>
    <xf numFmtId="2" fontId="23" fillId="0" borderId="14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/>
    </xf>
    <xf numFmtId="0" fontId="38" fillId="0" borderId="88" xfId="0" applyFont="1" applyBorder="1" applyAlignment="1">
      <alignment horizontal="justify" vertical="top" wrapText="1"/>
    </xf>
    <xf numFmtId="0" fontId="23" fillId="0" borderId="89" xfId="0" applyFont="1" applyBorder="1" applyAlignment="1">
      <alignment horizontal="justify" vertical="top" wrapText="1"/>
    </xf>
    <xf numFmtId="2" fontId="48" fillId="0" borderId="46" xfId="0" applyNumberFormat="1" applyFont="1" applyBorder="1" applyAlignment="1">
      <alignment horizontal="center" vertical="top" wrapText="1"/>
    </xf>
    <xf numFmtId="0" fontId="23" fillId="0" borderId="38" xfId="93" applyFont="1" applyFill="1" applyBorder="1" applyAlignment="1">
      <alignment horizontal="left"/>
      <protection/>
    </xf>
    <xf numFmtId="0" fontId="23" fillId="0" borderId="55" xfId="93" applyFont="1" applyFill="1" applyBorder="1" applyAlignment="1">
      <alignment horizontal="left"/>
      <protection/>
    </xf>
    <xf numFmtId="0" fontId="23" fillId="0" borderId="38" xfId="93" applyFont="1" applyFill="1" applyBorder="1" applyAlignment="1">
      <alignment horizontal="left"/>
      <protection/>
    </xf>
    <xf numFmtId="0" fontId="23" fillId="0" borderId="55" xfId="93" applyFont="1" applyFill="1" applyBorder="1" applyAlignment="1">
      <alignment horizontal="left"/>
      <protection/>
    </xf>
    <xf numFmtId="1" fontId="23" fillId="0" borderId="58" xfId="92" applyNumberFormat="1" applyFont="1" applyFill="1" applyBorder="1" applyAlignment="1">
      <alignment horizontal="left" vertical="center"/>
      <protection/>
    </xf>
    <xf numFmtId="1" fontId="23" fillId="0" borderId="60" xfId="92" applyNumberFormat="1" applyFont="1" applyFill="1" applyBorder="1" applyAlignment="1">
      <alignment horizontal="left" vertical="center"/>
      <protection/>
    </xf>
    <xf numFmtId="0" fontId="23" fillId="0" borderId="60" xfId="93" applyFont="1" applyFill="1" applyBorder="1" applyAlignment="1">
      <alignment horizontal="left"/>
      <protection/>
    </xf>
    <xf numFmtId="1" fontId="23" fillId="0" borderId="38" xfId="92" applyNumberFormat="1" applyFont="1" applyBorder="1" applyAlignment="1">
      <alignment horizontal="left" vertical="center"/>
      <protection/>
    </xf>
    <xf numFmtId="0" fontId="23" fillId="0" borderId="81" xfId="93" applyFont="1" applyFill="1" applyBorder="1" applyAlignment="1">
      <alignment horizontal="left"/>
      <protection/>
    </xf>
    <xf numFmtId="0" fontId="23" fillId="0" borderId="90" xfId="93" applyFont="1" applyFill="1" applyBorder="1" applyAlignment="1">
      <alignment horizontal="left"/>
      <protection/>
    </xf>
    <xf numFmtId="0" fontId="23" fillId="0" borderId="87" xfId="93" applyFont="1" applyFill="1" applyBorder="1" applyAlignment="1">
      <alignment horizontal="left"/>
      <protection/>
    </xf>
    <xf numFmtId="0" fontId="23" fillId="0" borderId="81" xfId="93" applyFont="1" applyFill="1" applyBorder="1" applyAlignment="1">
      <alignment horizontal="center"/>
      <protection/>
    </xf>
    <xf numFmtId="0" fontId="23" fillId="0" borderId="90" xfId="93" applyFont="1" applyFill="1" applyBorder="1" applyAlignment="1">
      <alignment horizontal="center"/>
      <protection/>
    </xf>
    <xf numFmtId="0" fontId="23" fillId="0" borderId="87" xfId="93" applyFont="1" applyFill="1" applyBorder="1" applyAlignment="1">
      <alignment horizontal="center"/>
      <protection/>
    </xf>
    <xf numFmtId="0" fontId="22" fillId="0" borderId="91" xfId="0" applyFont="1" applyBorder="1" applyAlignment="1">
      <alignment horizontal="center" vertical="center" wrapText="1"/>
    </xf>
    <xf numFmtId="3" fontId="22" fillId="0" borderId="92" xfId="0" applyNumberFormat="1" applyFont="1" applyBorder="1" applyAlignment="1">
      <alignment/>
    </xf>
    <xf numFmtId="3" fontId="24" fillId="0" borderId="85" xfId="0" applyNumberFormat="1" applyFont="1" applyBorder="1" applyAlignment="1">
      <alignment/>
    </xf>
    <xf numFmtId="3" fontId="22" fillId="0" borderId="85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3" fontId="24" fillId="0" borderId="85" xfId="0" applyNumberFormat="1" applyFont="1" applyBorder="1" applyAlignment="1">
      <alignment/>
    </xf>
    <xf numFmtId="0" fontId="24" fillId="0" borderId="85" xfId="0" applyFont="1" applyBorder="1" applyAlignment="1">
      <alignment/>
    </xf>
    <xf numFmtId="3" fontId="22" fillId="0" borderId="85" xfId="0" applyNumberFormat="1" applyFont="1" applyBorder="1" applyAlignment="1">
      <alignment/>
    </xf>
    <xf numFmtId="3" fontId="26" fillId="0" borderId="85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2" fillId="0" borderId="91" xfId="0" applyNumberFormat="1" applyFont="1" applyBorder="1" applyAlignment="1">
      <alignment/>
    </xf>
    <xf numFmtId="0" fontId="22" fillId="0" borderId="22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2" fillId="0" borderId="91" xfId="0" applyNumberFormat="1" applyFont="1" applyBorder="1" applyAlignment="1">
      <alignment horizontal="center" vertical="center" wrapText="1"/>
    </xf>
    <xf numFmtId="3" fontId="22" fillId="0" borderId="92" xfId="0" applyNumberFormat="1" applyFont="1" applyBorder="1" applyAlignment="1">
      <alignment/>
    </xf>
    <xf numFmtId="3" fontId="22" fillId="0" borderId="85" xfId="0" applyNumberFormat="1" applyFont="1" applyBorder="1" applyAlignment="1">
      <alignment/>
    </xf>
    <xf numFmtId="3" fontId="22" fillId="0" borderId="91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0" fontId="20" fillId="0" borderId="91" xfId="100" applyFont="1" applyBorder="1" applyAlignment="1">
      <alignment horizontal="center"/>
      <protection/>
    </xf>
    <xf numFmtId="3" fontId="21" fillId="0" borderId="85" xfId="100" applyNumberFormat="1" applyFont="1" applyBorder="1">
      <alignment/>
      <protection/>
    </xf>
    <xf numFmtId="3" fontId="33" fillId="0" borderId="93" xfId="100" applyNumberFormat="1" applyFont="1" applyBorder="1">
      <alignment/>
      <protection/>
    </xf>
    <xf numFmtId="3" fontId="20" fillId="0" borderId="94" xfId="100" applyNumberFormat="1" applyFont="1" applyBorder="1">
      <alignment/>
      <protection/>
    </xf>
    <xf numFmtId="3" fontId="20" fillId="0" borderId="84" xfId="100" applyNumberFormat="1" applyFont="1" applyBorder="1">
      <alignment/>
      <protection/>
    </xf>
    <xf numFmtId="3" fontId="20" fillId="0" borderId="95" xfId="0" applyNumberFormat="1" applyFont="1" applyBorder="1" applyAlignment="1">
      <alignment/>
    </xf>
    <xf numFmtId="0" fontId="20" fillId="0" borderId="22" xfId="100" applyFont="1" applyBorder="1" applyAlignment="1">
      <alignment horizontal="center"/>
      <protection/>
    </xf>
    <xf numFmtId="3" fontId="33" fillId="0" borderId="96" xfId="100" applyNumberFormat="1" applyFont="1" applyBorder="1">
      <alignment/>
      <protection/>
    </xf>
    <xf numFmtId="3" fontId="20" fillId="0" borderId="20" xfId="100" applyNumberFormat="1" applyFont="1" applyBorder="1">
      <alignment/>
      <protection/>
    </xf>
    <xf numFmtId="3" fontId="21" fillId="0" borderId="42" xfId="100" applyNumberFormat="1" applyFont="1" applyBorder="1">
      <alignment/>
      <protection/>
    </xf>
    <xf numFmtId="3" fontId="21" fillId="0" borderId="69" xfId="100" applyNumberFormat="1" applyFont="1" applyBorder="1">
      <alignment/>
      <protection/>
    </xf>
    <xf numFmtId="3" fontId="21" fillId="0" borderId="97" xfId="100" applyNumberFormat="1" applyFont="1" applyBorder="1">
      <alignment/>
      <protection/>
    </xf>
    <xf numFmtId="3" fontId="20" fillId="0" borderId="95" xfId="100" applyNumberFormat="1" applyFont="1" applyBorder="1">
      <alignment/>
      <protection/>
    </xf>
    <xf numFmtId="0" fontId="24" fillId="0" borderId="84" xfId="100" applyFont="1" applyBorder="1">
      <alignment/>
      <protection/>
    </xf>
    <xf numFmtId="0" fontId="24" fillId="0" borderId="86" xfId="100" applyFont="1" applyBorder="1">
      <alignment/>
      <protection/>
    </xf>
    <xf numFmtId="3" fontId="20" fillId="0" borderId="95" xfId="100" applyNumberFormat="1" applyFont="1" applyBorder="1">
      <alignment/>
      <protection/>
    </xf>
    <xf numFmtId="3" fontId="20" fillId="0" borderId="70" xfId="100" applyNumberFormat="1" applyFont="1" applyBorder="1">
      <alignment/>
      <protection/>
    </xf>
    <xf numFmtId="0" fontId="24" fillId="0" borderId="20" xfId="100" applyFont="1" applyBorder="1">
      <alignment/>
      <protection/>
    </xf>
    <xf numFmtId="0" fontId="24" fillId="0" borderId="42" xfId="100" applyFont="1" applyBorder="1">
      <alignment/>
      <protection/>
    </xf>
    <xf numFmtId="3" fontId="20" fillId="0" borderId="94" xfId="100" applyNumberFormat="1" applyFont="1" applyBorder="1">
      <alignment/>
      <protection/>
    </xf>
    <xf numFmtId="3" fontId="20" fillId="0" borderId="84" xfId="100" applyNumberFormat="1" applyFont="1" applyBorder="1">
      <alignment/>
      <protection/>
    </xf>
    <xf numFmtId="3" fontId="33" fillId="0" borderId="86" xfId="100" applyNumberFormat="1" applyFont="1" applyBorder="1">
      <alignment/>
      <protection/>
    </xf>
    <xf numFmtId="0" fontId="38" fillId="0" borderId="98" xfId="93" applyFont="1" applyFill="1" applyBorder="1" applyAlignment="1">
      <alignment horizontal="right"/>
      <protection/>
    </xf>
    <xf numFmtId="0" fontId="27" fillId="0" borderId="60" xfId="0" applyFont="1" applyFill="1" applyBorder="1" applyAlignment="1">
      <alignment horizontal="left"/>
    </xf>
    <xf numFmtId="0" fontId="38" fillId="0" borderId="90" xfId="93" applyFont="1" applyFill="1" applyBorder="1" applyAlignment="1">
      <alignment/>
      <protection/>
    </xf>
    <xf numFmtId="0" fontId="0" fillId="0" borderId="99" xfId="0" applyBorder="1" applyAlignment="1">
      <alignment horizontal="center" vertical="center"/>
    </xf>
    <xf numFmtId="0" fontId="38" fillId="0" borderId="90" xfId="93" applyFont="1" applyFill="1" applyBorder="1" applyAlignment="1">
      <alignment horizontal="left"/>
      <protection/>
    </xf>
    <xf numFmtId="1" fontId="23" fillId="0" borderId="99" xfId="92" applyNumberFormat="1" applyFont="1" applyFill="1" applyBorder="1" applyAlignment="1">
      <alignment horizontal="center" vertical="center"/>
      <protection/>
    </xf>
    <xf numFmtId="0" fontId="40" fillId="0" borderId="99" xfId="93" applyFont="1" applyFill="1" applyBorder="1">
      <alignment/>
      <protection/>
    </xf>
    <xf numFmtId="3" fontId="23" fillId="0" borderId="99" xfId="93" applyNumberFormat="1" applyFont="1" applyFill="1" applyBorder="1" applyAlignment="1">
      <alignment/>
      <protection/>
    </xf>
    <xf numFmtId="3" fontId="23" fillId="0" borderId="22" xfId="96" applyNumberFormat="1" applyFont="1" applyBorder="1">
      <alignment/>
      <protection/>
    </xf>
    <xf numFmtId="3" fontId="23" fillId="0" borderId="92" xfId="96" applyNumberFormat="1" applyFont="1" applyBorder="1" applyAlignment="1">
      <alignment horizontal="center"/>
      <protection/>
    </xf>
    <xf numFmtId="3" fontId="38" fillId="0" borderId="85" xfId="96" applyNumberFormat="1" applyFont="1" applyBorder="1">
      <alignment/>
      <protection/>
    </xf>
    <xf numFmtId="3" fontId="23" fillId="0" borderId="85" xfId="96" applyNumberFormat="1" applyFont="1" applyBorder="1">
      <alignment/>
      <protection/>
    </xf>
    <xf numFmtId="3" fontId="23" fillId="0" borderId="91" xfId="96" applyNumberFormat="1" applyFont="1" applyBorder="1">
      <alignment/>
      <protection/>
    </xf>
    <xf numFmtId="3" fontId="24" fillId="0" borderId="85" xfId="0" applyNumberFormat="1" applyFont="1" applyBorder="1" applyAlignment="1">
      <alignment horizontal="right"/>
    </xf>
    <xf numFmtId="3" fontId="22" fillId="0" borderId="85" xfId="0" applyNumberFormat="1" applyFont="1" applyBorder="1" applyAlignment="1">
      <alignment horizontal="right"/>
    </xf>
    <xf numFmtId="3" fontId="22" fillId="0" borderId="91" xfId="0" applyNumberFormat="1" applyFont="1" applyBorder="1" applyAlignment="1">
      <alignment horizontal="right"/>
    </xf>
    <xf numFmtId="0" fontId="0" fillId="0" borderId="85" xfId="0" applyBorder="1" applyAlignment="1">
      <alignment/>
    </xf>
    <xf numFmtId="0" fontId="0" fillId="0" borderId="14" xfId="0" applyBorder="1" applyAlignment="1">
      <alignment/>
    </xf>
    <xf numFmtId="3" fontId="23" fillId="0" borderId="40" xfId="96" applyNumberFormat="1" applyFont="1" applyBorder="1" applyAlignment="1">
      <alignment horizontal="center"/>
      <protection/>
    </xf>
    <xf numFmtId="3" fontId="38" fillId="0" borderId="14" xfId="96" applyNumberFormat="1" applyFont="1" applyBorder="1">
      <alignment/>
      <protection/>
    </xf>
    <xf numFmtId="3" fontId="38" fillId="0" borderId="42" xfId="96" applyNumberFormat="1" applyFont="1" applyBorder="1">
      <alignment/>
      <protection/>
    </xf>
    <xf numFmtId="3" fontId="23" fillId="0" borderId="14" xfId="96" applyNumberFormat="1" applyFont="1" applyBorder="1">
      <alignment/>
      <protection/>
    </xf>
    <xf numFmtId="0" fontId="23" fillId="0" borderId="92" xfId="96" applyFont="1" applyBorder="1" applyAlignment="1">
      <alignment horizontal="center"/>
      <protection/>
    </xf>
    <xf numFmtId="0" fontId="38" fillId="0" borderId="85" xfId="96" applyFont="1" applyBorder="1">
      <alignment/>
      <protection/>
    </xf>
    <xf numFmtId="3" fontId="23" fillId="0" borderId="91" xfId="96" applyNumberFormat="1" applyFont="1" applyBorder="1">
      <alignment/>
      <protection/>
    </xf>
    <xf numFmtId="0" fontId="23" fillId="0" borderId="40" xfId="96" applyFont="1" applyBorder="1" applyAlignment="1">
      <alignment horizontal="center"/>
      <protection/>
    </xf>
    <xf numFmtId="0" fontId="38" fillId="0" borderId="14" xfId="96" applyFont="1" applyBorder="1">
      <alignment/>
      <protection/>
    </xf>
    <xf numFmtId="0" fontId="44" fillId="0" borderId="14" xfId="96" applyFont="1" applyBorder="1">
      <alignment/>
      <protection/>
    </xf>
    <xf numFmtId="0" fontId="23" fillId="0" borderId="92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/>
    </xf>
    <xf numFmtId="2" fontId="38" fillId="0" borderId="84" xfId="0" applyNumberFormat="1" applyFont="1" applyBorder="1" applyAlignment="1">
      <alignment horizontal="center" vertical="top" wrapText="1"/>
    </xf>
    <xf numFmtId="2" fontId="38" fillId="0" borderId="85" xfId="0" applyNumberFormat="1" applyFont="1" applyBorder="1" applyAlignment="1">
      <alignment horizontal="center" vertical="top" wrapText="1"/>
    </xf>
    <xf numFmtId="2" fontId="48" fillId="0" borderId="85" xfId="0" applyNumberFormat="1" applyFont="1" applyBorder="1" applyAlignment="1">
      <alignment horizontal="center" vertical="top" wrapText="1"/>
    </xf>
    <xf numFmtId="2" fontId="44" fillId="0" borderId="84" xfId="0" applyNumberFormat="1" applyFont="1" applyBorder="1" applyAlignment="1">
      <alignment horizontal="center" vertical="top" wrapText="1"/>
    </xf>
    <xf numFmtId="0" fontId="38" fillId="0" borderId="85" xfId="0" applyFont="1" applyBorder="1" applyAlignment="1">
      <alignment/>
    </xf>
    <xf numFmtId="2" fontId="23" fillId="0" borderId="85" xfId="0" applyNumberFormat="1" applyFont="1" applyBorder="1" applyAlignment="1">
      <alignment horizontal="center" vertical="top" wrapText="1"/>
    </xf>
    <xf numFmtId="0" fontId="38" fillId="0" borderId="86" xfId="0" applyFont="1" applyBorder="1" applyAlignment="1">
      <alignment/>
    </xf>
    <xf numFmtId="2" fontId="23" fillId="0" borderId="95" xfId="0" applyNumberFormat="1" applyFont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2" fontId="38" fillId="0" borderId="20" xfId="0" applyNumberFormat="1" applyFont="1" applyBorder="1" applyAlignment="1">
      <alignment horizontal="center" vertical="top" wrapText="1"/>
    </xf>
    <xf numFmtId="2" fontId="48" fillId="0" borderId="14" xfId="0" applyNumberFormat="1" applyFont="1" applyBorder="1" applyAlignment="1">
      <alignment horizontal="center" vertical="top" wrapText="1"/>
    </xf>
    <xf numFmtId="2" fontId="44" fillId="0" borderId="20" xfId="0" applyNumberFormat="1" applyFont="1" applyBorder="1" applyAlignment="1">
      <alignment horizontal="center" vertical="top" wrapText="1"/>
    </xf>
    <xf numFmtId="0" fontId="38" fillId="0" borderId="14" xfId="0" applyFont="1" applyBorder="1" applyAlignment="1">
      <alignment/>
    </xf>
    <xf numFmtId="0" fontId="38" fillId="0" borderId="42" xfId="0" applyFont="1" applyBorder="1" applyAlignment="1">
      <alignment/>
    </xf>
    <xf numFmtId="2" fontId="23" fillId="0" borderId="70" xfId="0" applyNumberFormat="1" applyFont="1" applyBorder="1" applyAlignment="1">
      <alignment horizontal="center" vertical="top" wrapText="1"/>
    </xf>
    <xf numFmtId="0" fontId="38" fillId="0" borderId="55" xfId="93" applyFont="1" applyFill="1" applyBorder="1" applyAlignment="1">
      <alignment/>
      <protection/>
    </xf>
    <xf numFmtId="3" fontId="23" fillId="0" borderId="55" xfId="93" applyNumberFormat="1" applyFont="1" applyFill="1" applyBorder="1" applyAlignment="1" quotePrefix="1">
      <alignment/>
      <protection/>
    </xf>
    <xf numFmtId="3" fontId="23" fillId="0" borderId="52" xfId="93" applyNumberFormat="1" applyFont="1" applyFill="1" applyBorder="1" applyAlignment="1">
      <alignment horizontal="right" vertical="center"/>
      <protection/>
    </xf>
    <xf numFmtId="3" fontId="23" fillId="0" borderId="55" xfId="93" applyNumberFormat="1" applyFont="1" applyBorder="1">
      <alignment/>
      <protection/>
    </xf>
    <xf numFmtId="3" fontId="23" fillId="0" borderId="98" xfId="93" applyNumberFormat="1" applyFont="1" applyFill="1" applyBorder="1" applyAlignment="1">
      <alignment/>
      <protection/>
    </xf>
    <xf numFmtId="0" fontId="50" fillId="0" borderId="100" xfId="93" applyFont="1" applyFill="1" applyBorder="1">
      <alignment/>
      <protection/>
    </xf>
    <xf numFmtId="0" fontId="50" fillId="0" borderId="101" xfId="93" applyFont="1" applyFill="1" applyBorder="1">
      <alignment/>
      <protection/>
    </xf>
    <xf numFmtId="3" fontId="50" fillId="0" borderId="101" xfId="93" applyNumberFormat="1" applyFont="1" applyFill="1" applyBorder="1">
      <alignment/>
      <protection/>
    </xf>
    <xf numFmtId="0" fontId="38" fillId="0" borderId="101" xfId="93" applyFont="1" applyFill="1" applyBorder="1">
      <alignment/>
      <protection/>
    </xf>
    <xf numFmtId="0" fontId="50" fillId="0" borderId="102" xfId="93" applyFont="1" applyFill="1" applyBorder="1">
      <alignment/>
      <protection/>
    </xf>
    <xf numFmtId="2" fontId="23" fillId="0" borderId="95" xfId="0" applyNumberFormat="1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2" fontId="38" fillId="0" borderId="20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2" fontId="23" fillId="0" borderId="70" xfId="0" applyNumberFormat="1" applyFont="1" applyBorder="1" applyAlignment="1">
      <alignment horizontal="center"/>
    </xf>
    <xf numFmtId="49" fontId="38" fillId="0" borderId="13" xfId="96" applyNumberFormat="1" applyFont="1" applyBorder="1">
      <alignment/>
      <protection/>
    </xf>
    <xf numFmtId="49" fontId="38" fillId="0" borderId="13" xfId="96" applyNumberFormat="1" applyFont="1" applyBorder="1" applyAlignment="1">
      <alignment wrapText="1"/>
      <protection/>
    </xf>
    <xf numFmtId="0" fontId="46" fillId="0" borderId="13" xfId="97" applyFont="1" applyBorder="1" applyAlignment="1">
      <alignment horizontal="center" vertical="center" wrapText="1"/>
      <protection/>
    </xf>
    <xf numFmtId="0" fontId="46" fillId="0" borderId="14" xfId="97" applyFont="1" applyBorder="1" applyAlignment="1">
      <alignment horizontal="center" vertical="center" wrapText="1"/>
      <protection/>
    </xf>
    <xf numFmtId="0" fontId="46" fillId="0" borderId="71" xfId="97" applyFont="1" applyBorder="1" applyAlignment="1">
      <alignment horizontal="center" vertical="center" wrapText="1"/>
      <protection/>
    </xf>
    <xf numFmtId="0" fontId="46" fillId="0" borderId="68" xfId="97" applyFont="1" applyBorder="1" applyAlignment="1">
      <alignment horizontal="center" vertical="center" wrapText="1"/>
      <protection/>
    </xf>
    <xf numFmtId="0" fontId="46" fillId="0" borderId="28" xfId="96" applyFont="1" applyBorder="1" applyAlignment="1">
      <alignment horizontal="left" vertical="center" wrapText="1"/>
      <protection/>
    </xf>
    <xf numFmtId="3" fontId="46" fillId="0" borderId="13" xfId="96" applyNumberFormat="1" applyFont="1" applyBorder="1" applyAlignment="1">
      <alignment horizontal="right" vertical="center" wrapText="1"/>
      <protection/>
    </xf>
    <xf numFmtId="3" fontId="46" fillId="0" borderId="14" xfId="96" applyNumberFormat="1" applyFont="1" applyBorder="1" applyAlignment="1">
      <alignment horizontal="right" vertical="center" wrapText="1"/>
      <protection/>
    </xf>
    <xf numFmtId="3" fontId="46" fillId="0" borderId="71" xfId="96" applyNumberFormat="1" applyFont="1" applyBorder="1" applyAlignment="1">
      <alignment horizontal="right" vertical="center" wrapText="1"/>
      <protection/>
    </xf>
    <xf numFmtId="0" fontId="46" fillId="0" borderId="29" xfId="96" applyFont="1" applyBorder="1" applyAlignment="1">
      <alignment horizontal="left" vertical="center" wrapText="1"/>
      <protection/>
    </xf>
    <xf numFmtId="3" fontId="46" fillId="0" borderId="68" xfId="96" applyNumberFormat="1" applyFont="1" applyBorder="1" applyAlignment="1">
      <alignment horizontal="right" vertical="center" wrapText="1"/>
      <protection/>
    </xf>
    <xf numFmtId="3" fontId="47" fillId="0" borderId="28" xfId="96" applyNumberFormat="1" applyFont="1" applyBorder="1" applyAlignment="1">
      <alignment horizontal="center" vertical="center" wrapText="1"/>
      <protection/>
    </xf>
    <xf numFmtId="3" fontId="47" fillId="0" borderId="13" xfId="96" applyNumberFormat="1" applyFont="1" applyBorder="1" applyAlignment="1">
      <alignment horizontal="right" vertical="center" wrapText="1"/>
      <protection/>
    </xf>
    <xf numFmtId="3" fontId="47" fillId="0" borderId="14" xfId="96" applyNumberFormat="1" applyFont="1" applyBorder="1" applyAlignment="1">
      <alignment horizontal="right" vertical="center" wrapText="1"/>
      <protection/>
    </xf>
    <xf numFmtId="3" fontId="47" fillId="0" borderId="13" xfId="97" applyNumberFormat="1" applyFont="1" applyBorder="1" applyAlignment="1">
      <alignment horizontal="right" vertical="center" wrapText="1"/>
      <protection/>
    </xf>
    <xf numFmtId="3" fontId="47" fillId="0" borderId="14" xfId="97" applyNumberFormat="1" applyFont="1" applyBorder="1" applyAlignment="1">
      <alignment horizontal="right" vertical="center" wrapText="1"/>
      <protection/>
    </xf>
    <xf numFmtId="3" fontId="47" fillId="0" borderId="71" xfId="97" applyNumberFormat="1" applyFont="1" applyBorder="1" applyAlignment="1">
      <alignment horizontal="right" vertical="center" wrapText="1"/>
      <protection/>
    </xf>
    <xf numFmtId="3" fontId="47" fillId="0" borderId="29" xfId="96" applyNumberFormat="1" applyFont="1" applyBorder="1" applyAlignment="1">
      <alignment horizontal="center" vertical="center" wrapText="1"/>
      <protection/>
    </xf>
    <xf numFmtId="3" fontId="47" fillId="0" borderId="68" xfId="97" applyNumberFormat="1" applyFont="1" applyBorder="1" applyAlignment="1">
      <alignment horizontal="right" vertical="center" wrapText="1"/>
      <protection/>
    </xf>
    <xf numFmtId="3" fontId="46" fillId="0" borderId="28" xfId="96" applyNumberFormat="1" applyFont="1" applyBorder="1" applyAlignment="1">
      <alignment horizontal="left" vertical="center" wrapText="1"/>
      <protection/>
    </xf>
    <xf numFmtId="3" fontId="46" fillId="0" borderId="29" xfId="96" applyNumberFormat="1" applyFont="1" applyBorder="1" applyAlignment="1">
      <alignment horizontal="left" vertical="center" wrapText="1"/>
      <protection/>
    </xf>
    <xf numFmtId="0" fontId="47" fillId="0" borderId="28" xfId="96" applyFont="1" applyBorder="1" applyAlignment="1">
      <alignment horizontal="left" vertical="center" wrapText="1"/>
      <protection/>
    </xf>
    <xf numFmtId="0" fontId="47" fillId="0" borderId="29" xfId="96" applyFont="1" applyBorder="1" applyAlignment="1">
      <alignment horizontal="left" vertical="center" wrapText="1"/>
      <protection/>
    </xf>
    <xf numFmtId="0" fontId="47" fillId="0" borderId="28" xfId="97" applyFont="1" applyBorder="1" applyAlignment="1">
      <alignment horizontal="center" vertical="center" wrapText="1"/>
      <protection/>
    </xf>
    <xf numFmtId="0" fontId="47" fillId="0" borderId="13" xfId="97" applyFont="1" applyBorder="1" applyAlignment="1">
      <alignment horizontal="center" vertical="center" wrapText="1"/>
      <protection/>
    </xf>
    <xf numFmtId="0" fontId="47" fillId="0" borderId="14" xfId="97" applyFont="1" applyBorder="1" applyAlignment="1">
      <alignment horizontal="center" vertical="center" wrapText="1"/>
      <protection/>
    </xf>
    <xf numFmtId="0" fontId="47" fillId="0" borderId="29" xfId="97" applyFont="1" applyBorder="1" applyAlignment="1">
      <alignment horizontal="center" vertical="center" wrapText="1"/>
      <protection/>
    </xf>
    <xf numFmtId="0" fontId="47" fillId="0" borderId="68" xfId="97" applyFont="1" applyBorder="1" applyAlignment="1">
      <alignment horizontal="center" vertical="center" wrapText="1"/>
      <protection/>
    </xf>
    <xf numFmtId="0" fontId="46" fillId="0" borderId="16" xfId="97" applyFont="1" applyBorder="1" applyAlignment="1">
      <alignment horizontal="left" vertical="center" wrapText="1"/>
      <protection/>
    </xf>
    <xf numFmtId="3" fontId="46" fillId="0" borderId="21" xfId="97" applyNumberFormat="1" applyFont="1" applyBorder="1" applyAlignment="1">
      <alignment horizontal="right" vertical="center" wrapText="1"/>
      <protection/>
    </xf>
    <xf numFmtId="3" fontId="46" fillId="0" borderId="22" xfId="97" applyNumberFormat="1" applyFont="1" applyBorder="1" applyAlignment="1">
      <alignment horizontal="right" vertical="center" wrapText="1"/>
      <protection/>
    </xf>
    <xf numFmtId="3" fontId="46" fillId="0" borderId="76" xfId="97" applyNumberFormat="1" applyFont="1" applyBorder="1" applyAlignment="1">
      <alignment horizontal="right" vertical="center" wrapText="1"/>
      <protection/>
    </xf>
    <xf numFmtId="0" fontId="46" fillId="0" borderId="23" xfId="97" applyFont="1" applyBorder="1" applyAlignment="1">
      <alignment horizontal="left" vertical="center" wrapText="1"/>
      <protection/>
    </xf>
    <xf numFmtId="3" fontId="46" fillId="0" borderId="17" xfId="97" applyNumberFormat="1" applyFont="1" applyBorder="1" applyAlignment="1">
      <alignment horizontal="right" vertical="center" wrapText="1"/>
      <protection/>
    </xf>
    <xf numFmtId="3" fontId="29" fillId="0" borderId="71" xfId="0" applyNumberFormat="1" applyFont="1" applyBorder="1" applyAlignment="1">
      <alignment/>
    </xf>
    <xf numFmtId="49" fontId="34" fillId="0" borderId="28" xfId="102" applyNumberFormat="1" applyFont="1" applyBorder="1" applyAlignment="1">
      <alignment wrapText="1"/>
      <protection/>
    </xf>
    <xf numFmtId="49" fontId="33" fillId="0" borderId="29" xfId="100" applyNumberFormat="1" applyFont="1" applyBorder="1" applyAlignment="1">
      <alignment wrapText="1"/>
      <protection/>
    </xf>
    <xf numFmtId="1" fontId="38" fillId="0" borderId="50" xfId="93" applyNumberFormat="1" applyFont="1" applyFill="1" applyBorder="1" applyAlignment="1">
      <alignment horizontal="center"/>
      <protection/>
    </xf>
    <xf numFmtId="3" fontId="38" fillId="0" borderId="52" xfId="93" applyNumberFormat="1" applyFont="1" applyFill="1" applyBorder="1" applyAlignment="1">
      <alignment horizontal="right"/>
      <protection/>
    </xf>
    <xf numFmtId="0" fontId="38" fillId="0" borderId="52" xfId="93" applyFont="1" applyFill="1" applyBorder="1" applyAlignment="1">
      <alignment horizontal="right"/>
      <protection/>
    </xf>
    <xf numFmtId="3" fontId="38" fillId="0" borderId="51" xfId="93" applyNumberFormat="1" applyFont="1" applyFill="1" applyBorder="1" applyAlignment="1">
      <alignment horizontal="right"/>
      <protection/>
    </xf>
    <xf numFmtId="0" fontId="38" fillId="0" borderId="38" xfId="93" applyFont="1" applyFill="1" applyBorder="1" applyAlignment="1">
      <alignment/>
      <protection/>
    </xf>
    <xf numFmtId="0" fontId="23" fillId="0" borderId="0" xfId="93" applyFont="1" applyFill="1" applyBorder="1" applyAlignment="1">
      <alignment/>
      <protection/>
    </xf>
    <xf numFmtId="0" fontId="50" fillId="0" borderId="64" xfId="93" applyFont="1" applyFill="1" applyBorder="1">
      <alignment/>
      <protection/>
    </xf>
    <xf numFmtId="3" fontId="38" fillId="0" borderId="60" xfId="93" applyNumberFormat="1" applyFont="1" applyFill="1" applyBorder="1" applyAlignment="1">
      <alignment horizontal="right"/>
      <protection/>
    </xf>
    <xf numFmtId="0" fontId="50" fillId="0" borderId="38" xfId="93" applyFont="1" applyFill="1" applyBorder="1" applyAlignment="1">
      <alignment horizontal="left"/>
      <protection/>
    </xf>
    <xf numFmtId="0" fontId="50" fillId="0" borderId="55" xfId="93" applyFont="1" applyFill="1" applyBorder="1">
      <alignment/>
      <protection/>
    </xf>
    <xf numFmtId="0" fontId="40" fillId="0" borderId="50" xfId="93" applyFont="1" applyFill="1" applyBorder="1" applyAlignment="1">
      <alignment horizontal="left"/>
      <protection/>
    </xf>
    <xf numFmtId="0" fontId="38" fillId="0" borderId="21" xfId="96" applyFont="1" applyBorder="1" applyAlignment="1">
      <alignment wrapText="1"/>
      <protection/>
    </xf>
    <xf numFmtId="3" fontId="38" fillId="0" borderId="22" xfId="96" applyNumberFormat="1" applyFont="1" applyBorder="1">
      <alignment/>
      <protection/>
    </xf>
    <xf numFmtId="0" fontId="38" fillId="0" borderId="15" xfId="96" applyFont="1" applyBorder="1">
      <alignment/>
      <protection/>
    </xf>
    <xf numFmtId="3" fontId="38" fillId="0" borderId="40" xfId="96" applyNumberFormat="1" applyFont="1" applyBorder="1">
      <alignment/>
      <protection/>
    </xf>
    <xf numFmtId="3" fontId="38" fillId="0" borderId="92" xfId="96" applyNumberFormat="1" applyFont="1" applyBorder="1">
      <alignment/>
      <protection/>
    </xf>
    <xf numFmtId="49" fontId="38" fillId="0" borderId="72" xfId="96" applyNumberFormat="1" applyFont="1" applyBorder="1">
      <alignment/>
      <protection/>
    </xf>
    <xf numFmtId="0" fontId="57" fillId="0" borderId="103" xfId="0" applyFont="1" applyFill="1" applyBorder="1" applyAlignment="1">
      <alignment/>
    </xf>
    <xf numFmtId="0" fontId="29" fillId="0" borderId="104" xfId="0" applyFont="1" applyFill="1" applyBorder="1" applyAlignment="1">
      <alignment/>
    </xf>
    <xf numFmtId="0" fontId="58" fillId="0" borderId="104" xfId="0" applyFont="1" applyFill="1" applyBorder="1" applyAlignment="1">
      <alignment/>
    </xf>
    <xf numFmtId="0" fontId="57" fillId="0" borderId="104" xfId="0" applyFont="1" applyFill="1" applyBorder="1" applyAlignment="1">
      <alignment/>
    </xf>
    <xf numFmtId="0" fontId="30" fillId="0" borderId="105" xfId="0" applyFont="1" applyFill="1" applyBorder="1" applyAlignment="1">
      <alignment horizontal="center" vertical="center" wrapText="1"/>
    </xf>
    <xf numFmtId="0" fontId="30" fillId="0" borderId="104" xfId="0" applyFont="1" applyFill="1" applyBorder="1" applyAlignment="1">
      <alignment/>
    </xf>
    <xf numFmtId="0" fontId="29" fillId="0" borderId="104" xfId="0" applyFont="1" applyFill="1" applyBorder="1" applyAlignment="1">
      <alignment/>
    </xf>
    <xf numFmtId="49" fontId="30" fillId="0" borderId="104" xfId="0" applyNumberFormat="1" applyFont="1" applyFill="1" applyBorder="1" applyAlignment="1">
      <alignment vertical="center" wrapText="1"/>
    </xf>
    <xf numFmtId="0" fontId="57" fillId="0" borderId="106" xfId="0" applyFont="1" applyFill="1" applyBorder="1" applyAlignment="1">
      <alignment/>
    </xf>
    <xf numFmtId="49" fontId="59" fillId="0" borderId="107" xfId="0" applyNumberFormat="1" applyFont="1" applyFill="1" applyBorder="1" applyAlignment="1">
      <alignment/>
    </xf>
    <xf numFmtId="0" fontId="59" fillId="0" borderId="108" xfId="0" applyFont="1" applyFill="1" applyBorder="1" applyAlignment="1">
      <alignment/>
    </xf>
    <xf numFmtId="3" fontId="57" fillId="0" borderId="108" xfId="0" applyNumberFormat="1" applyFont="1" applyFill="1" applyBorder="1" applyAlignment="1">
      <alignment horizontal="center"/>
    </xf>
    <xf numFmtId="3" fontId="57" fillId="0" borderId="108" xfId="0" applyNumberFormat="1" applyFont="1" applyFill="1" applyBorder="1" applyAlignment="1">
      <alignment/>
    </xf>
    <xf numFmtId="3" fontId="30" fillId="0" borderId="109" xfId="0" applyNumberFormat="1" applyFont="1" applyFill="1" applyBorder="1" applyAlignment="1">
      <alignment/>
    </xf>
    <xf numFmtId="3" fontId="30" fillId="0" borderId="108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33" fillId="0" borderId="69" xfId="100" applyNumberFormat="1" applyFont="1" applyBorder="1">
      <alignment/>
      <protection/>
    </xf>
    <xf numFmtId="3" fontId="20" fillId="0" borderId="110" xfId="100" applyNumberFormat="1" applyFont="1" applyBorder="1">
      <alignment/>
      <protection/>
    </xf>
    <xf numFmtId="3" fontId="20" fillId="0" borderId="70" xfId="0" applyNumberFormat="1" applyFont="1" applyBorder="1" applyAlignment="1">
      <alignment/>
    </xf>
    <xf numFmtId="3" fontId="20" fillId="0" borderId="85" xfId="100" applyNumberFormat="1" applyFont="1" applyBorder="1">
      <alignment/>
      <protection/>
    </xf>
    <xf numFmtId="3" fontId="21" fillId="0" borderId="91" xfId="100" applyNumberFormat="1" applyFont="1" applyBorder="1">
      <alignment/>
      <protection/>
    </xf>
    <xf numFmtId="3" fontId="20" fillId="0" borderId="93" xfId="100" applyNumberFormat="1" applyFont="1" applyBorder="1">
      <alignment/>
      <protection/>
    </xf>
    <xf numFmtId="0" fontId="38" fillId="0" borderId="81" xfId="93" applyFont="1" applyFill="1" applyBorder="1" applyAlignment="1">
      <alignment horizontal="center"/>
      <protection/>
    </xf>
    <xf numFmtId="0" fontId="38" fillId="0" borderId="90" xfId="93" applyFont="1" applyFill="1" applyBorder="1" applyAlignment="1">
      <alignment horizontal="center"/>
      <protection/>
    </xf>
    <xf numFmtId="0" fontId="38" fillId="0" borderId="87" xfId="93" applyFont="1" applyFill="1" applyBorder="1" applyAlignment="1">
      <alignment horizontal="center"/>
      <protection/>
    </xf>
    <xf numFmtId="0" fontId="30" fillId="0" borderId="71" xfId="0" applyFont="1" applyBorder="1" applyAlignment="1">
      <alignment horizontal="center"/>
    </xf>
    <xf numFmtId="0" fontId="38" fillId="0" borderId="65" xfId="93" applyFont="1" applyBorder="1">
      <alignment/>
      <protection/>
    </xf>
    <xf numFmtId="0" fontId="38" fillId="0" borderId="98" xfId="93" applyFont="1" applyFill="1" applyBorder="1">
      <alignment/>
      <protection/>
    </xf>
    <xf numFmtId="0" fontId="38" fillId="0" borderId="111" xfId="93" applyFont="1" applyFill="1" applyBorder="1">
      <alignment/>
      <protection/>
    </xf>
    <xf numFmtId="0" fontId="38" fillId="0" borderId="112" xfId="93" applyFont="1" applyFill="1" applyBorder="1">
      <alignment/>
      <protection/>
    </xf>
    <xf numFmtId="0" fontId="38" fillId="0" borderId="113" xfId="93" applyFont="1" applyFill="1" applyBorder="1">
      <alignment/>
      <protection/>
    </xf>
    <xf numFmtId="0" fontId="38" fillId="0" borderId="82" xfId="93" applyFont="1" applyFill="1" applyBorder="1" applyAlignment="1">
      <alignment horizontal="right"/>
      <protection/>
    </xf>
    <xf numFmtId="0" fontId="38" fillId="0" borderId="114" xfId="93" applyFont="1" applyFill="1" applyBorder="1" applyAlignment="1">
      <alignment horizontal="right"/>
      <protection/>
    </xf>
    <xf numFmtId="3" fontId="23" fillId="0" borderId="0" xfId="99" applyNumberFormat="1" applyFont="1" applyFill="1" applyBorder="1" applyAlignment="1">
      <alignment horizontal="right" vertical="center"/>
      <protection/>
    </xf>
    <xf numFmtId="3" fontId="23" fillId="0" borderId="60" xfId="99" applyNumberFormat="1" applyFont="1" applyFill="1" applyBorder="1" applyAlignment="1">
      <alignment horizontal="right" vertical="center"/>
      <protection/>
    </xf>
    <xf numFmtId="3" fontId="23" fillId="0" borderId="66" xfId="99" applyNumberFormat="1" applyFont="1" applyFill="1" applyBorder="1" applyAlignment="1">
      <alignment horizontal="right" vertical="center"/>
      <protection/>
    </xf>
    <xf numFmtId="3" fontId="22" fillId="0" borderId="92" xfId="0" applyNumberFormat="1" applyFont="1" applyBorder="1" applyAlignment="1">
      <alignment horizontal="center" vertical="center" wrapText="1"/>
    </xf>
    <xf numFmtId="3" fontId="46" fillId="0" borderId="28" xfId="96" applyNumberFormat="1" applyFont="1" applyBorder="1" applyAlignment="1">
      <alignment horizontal="right" vertical="center" wrapText="1"/>
      <protection/>
    </xf>
    <xf numFmtId="3" fontId="47" fillId="0" borderId="28" xfId="96" applyNumberFormat="1" applyFont="1" applyBorder="1" applyAlignment="1">
      <alignment horizontal="right" vertical="center" wrapText="1"/>
      <protection/>
    </xf>
    <xf numFmtId="3" fontId="46" fillId="0" borderId="16" xfId="97" applyNumberFormat="1" applyFont="1" applyBorder="1" applyAlignment="1">
      <alignment horizontal="right" vertical="center" wrapText="1"/>
      <protection/>
    </xf>
    <xf numFmtId="0" fontId="46" fillId="0" borderId="85" xfId="97" applyFont="1" applyBorder="1" applyAlignment="1">
      <alignment horizontal="center" vertical="center" wrapText="1"/>
      <protection/>
    </xf>
    <xf numFmtId="3" fontId="46" fillId="0" borderId="85" xfId="96" applyNumberFormat="1" applyFont="1" applyBorder="1" applyAlignment="1">
      <alignment horizontal="right" vertical="center" wrapText="1"/>
      <protection/>
    </xf>
    <xf numFmtId="3" fontId="47" fillId="0" borderId="85" xfId="96" applyNumberFormat="1" applyFont="1" applyBorder="1" applyAlignment="1">
      <alignment horizontal="right" vertical="center" wrapText="1"/>
      <protection/>
    </xf>
    <xf numFmtId="0" fontId="47" fillId="0" borderId="85" xfId="97" applyFont="1" applyBorder="1" applyAlignment="1">
      <alignment horizontal="center" vertical="center" wrapText="1"/>
      <protection/>
    </xf>
    <xf numFmtId="3" fontId="46" fillId="0" borderId="91" xfId="97" applyNumberFormat="1" applyFont="1" applyBorder="1" applyAlignment="1">
      <alignment horizontal="right" vertical="center" wrapText="1"/>
      <protection/>
    </xf>
    <xf numFmtId="3" fontId="47" fillId="0" borderId="85" xfId="97" applyNumberFormat="1" applyFont="1" applyBorder="1" applyAlignment="1">
      <alignment horizontal="right" vertical="center" wrapText="1"/>
      <protection/>
    </xf>
    <xf numFmtId="0" fontId="38" fillId="0" borderId="115" xfId="93" applyFont="1" applyFill="1" applyBorder="1">
      <alignment/>
      <protection/>
    </xf>
    <xf numFmtId="0" fontId="38" fillId="0" borderId="60" xfId="93" applyFont="1" applyFill="1" applyBorder="1" applyAlignment="1">
      <alignment horizontal="right"/>
      <protection/>
    </xf>
    <xf numFmtId="0" fontId="38" fillId="0" borderId="66" xfId="93" applyFont="1" applyFill="1" applyBorder="1">
      <alignment/>
      <protection/>
    </xf>
    <xf numFmtId="0" fontId="40" fillId="0" borderId="49" xfId="93" applyFont="1" applyFill="1" applyBorder="1" applyAlignment="1">
      <alignment horizontal="left"/>
      <protection/>
    </xf>
    <xf numFmtId="0" fontId="64" fillId="0" borderId="49" xfId="93" applyFont="1" applyFill="1" applyBorder="1">
      <alignment/>
      <protection/>
    </xf>
    <xf numFmtId="3" fontId="38" fillId="0" borderId="53" xfId="93" applyNumberFormat="1" applyFont="1" applyFill="1" applyBorder="1" applyAlignment="1">
      <alignment horizontal="right"/>
      <protection/>
    </xf>
    <xf numFmtId="0" fontId="50" fillId="0" borderId="116" xfId="93" applyFont="1" applyFill="1" applyBorder="1">
      <alignment/>
      <protection/>
    </xf>
    <xf numFmtId="1" fontId="38" fillId="0" borderId="117" xfId="93" applyNumberFormat="1" applyFont="1" applyFill="1" applyBorder="1" applyAlignment="1">
      <alignment horizontal="center"/>
      <protection/>
    </xf>
    <xf numFmtId="0" fontId="38" fillId="0" borderId="118" xfId="93" applyFont="1" applyFill="1" applyBorder="1" applyAlignment="1">
      <alignment/>
      <protection/>
    </xf>
    <xf numFmtId="0" fontId="53" fillId="0" borderId="119" xfId="93" applyFont="1" applyFill="1" applyBorder="1">
      <alignment/>
      <protection/>
    </xf>
    <xf numFmtId="3" fontId="23" fillId="0" borderId="120" xfId="93" applyNumberFormat="1" applyFont="1" applyFill="1" applyBorder="1">
      <alignment/>
      <protection/>
    </xf>
    <xf numFmtId="3" fontId="38" fillId="0" borderId="120" xfId="93" applyNumberFormat="1" applyFont="1" applyFill="1" applyBorder="1" applyAlignment="1">
      <alignment horizontal="right"/>
      <protection/>
    </xf>
    <xf numFmtId="3" fontId="38" fillId="0" borderId="121" xfId="93" applyNumberFormat="1" applyFont="1" applyFill="1" applyBorder="1" applyAlignment="1">
      <alignment horizontal="right"/>
      <protection/>
    </xf>
    <xf numFmtId="0" fontId="40" fillId="0" borderId="122" xfId="93" applyFont="1" applyFill="1" applyBorder="1" applyAlignment="1">
      <alignment horizontal="left"/>
      <protection/>
    </xf>
    <xf numFmtId="0" fontId="40" fillId="0" borderId="49" xfId="93" applyFont="1" applyFill="1" applyBorder="1">
      <alignment/>
      <protection/>
    </xf>
    <xf numFmtId="0" fontId="23" fillId="0" borderId="76" xfId="0" applyFont="1" applyBorder="1" applyAlignment="1">
      <alignment/>
    </xf>
    <xf numFmtId="3" fontId="57" fillId="0" borderId="46" xfId="0" applyNumberFormat="1" applyFont="1" applyFill="1" applyBorder="1" applyAlignment="1">
      <alignment horizontal="right" vertical="center" wrapText="1"/>
    </xf>
    <xf numFmtId="3" fontId="29" fillId="0" borderId="46" xfId="0" applyNumberFormat="1" applyFont="1" applyFill="1" applyBorder="1" applyAlignment="1">
      <alignment horizontal="right" vertical="center" wrapText="1"/>
    </xf>
    <xf numFmtId="3" fontId="58" fillId="0" borderId="46" xfId="0" applyNumberFormat="1" applyFont="1" applyFill="1" applyBorder="1" applyAlignment="1">
      <alignment horizontal="right" vertical="center" wrapText="1"/>
    </xf>
    <xf numFmtId="3" fontId="58" fillId="0" borderId="46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58" fillId="0" borderId="46" xfId="0" applyNumberFormat="1" applyFont="1" applyFill="1" applyBorder="1" applyAlignment="1">
      <alignment/>
    </xf>
    <xf numFmtId="3" fontId="30" fillId="0" borderId="46" xfId="0" applyNumberFormat="1" applyFont="1" applyFill="1" applyBorder="1" applyAlignment="1">
      <alignment/>
    </xf>
    <xf numFmtId="3" fontId="30" fillId="0" borderId="46" xfId="0" applyNumberFormat="1" applyFont="1" applyFill="1" applyBorder="1" applyAlignment="1">
      <alignment vertical="center"/>
    </xf>
    <xf numFmtId="3" fontId="30" fillId="0" borderId="47" xfId="0" applyNumberFormat="1" applyFont="1" applyFill="1" applyBorder="1" applyAlignment="1">
      <alignment/>
    </xf>
    <xf numFmtId="3" fontId="30" fillId="0" borderId="45" xfId="0" applyNumberFormat="1" applyFont="1" applyFill="1" applyBorder="1" applyAlignment="1">
      <alignment wrapText="1"/>
    </xf>
    <xf numFmtId="3" fontId="30" fillId="0" borderId="46" xfId="0" applyNumberFormat="1" applyFont="1" applyFill="1" applyBorder="1" applyAlignment="1">
      <alignment wrapText="1"/>
    </xf>
    <xf numFmtId="3" fontId="29" fillId="0" borderId="46" xfId="0" applyNumberFormat="1" applyFont="1" applyFill="1" applyBorder="1" applyAlignment="1">
      <alignment wrapText="1"/>
    </xf>
    <xf numFmtId="37" fontId="30" fillId="0" borderId="14" xfId="0" applyNumberFormat="1" applyFont="1" applyFill="1" applyBorder="1" applyAlignment="1">
      <alignment wrapText="1"/>
    </xf>
    <xf numFmtId="3" fontId="29" fillId="0" borderId="46" xfId="0" applyNumberFormat="1" applyFont="1" applyFill="1" applyBorder="1" applyAlignment="1">
      <alignment wrapText="1"/>
    </xf>
    <xf numFmtId="3" fontId="30" fillId="0" borderId="46" xfId="0" applyNumberFormat="1" applyFont="1" applyFill="1" applyBorder="1" applyAlignment="1">
      <alignment wrapText="1"/>
    </xf>
    <xf numFmtId="37" fontId="29" fillId="0" borderId="46" xfId="0" applyNumberFormat="1" applyFont="1" applyFill="1" applyBorder="1" applyAlignment="1">
      <alignment wrapText="1"/>
    </xf>
    <xf numFmtId="3" fontId="58" fillId="0" borderId="46" xfId="0" applyNumberFormat="1" applyFont="1" applyFill="1" applyBorder="1" applyAlignment="1">
      <alignment wrapText="1"/>
    </xf>
    <xf numFmtId="3" fontId="29" fillId="0" borderId="14" xfId="0" applyNumberFormat="1" applyFont="1" applyFill="1" applyBorder="1" applyAlignment="1">
      <alignment wrapText="1"/>
    </xf>
    <xf numFmtId="3" fontId="58" fillId="0" borderId="47" xfId="0" applyNumberFormat="1" applyFont="1" applyFill="1" applyBorder="1" applyAlignment="1">
      <alignment wrapText="1"/>
    </xf>
    <xf numFmtId="3" fontId="29" fillId="0" borderId="47" xfId="0" applyNumberFormat="1" applyFont="1" applyFill="1" applyBorder="1" applyAlignment="1">
      <alignment wrapText="1"/>
    </xf>
    <xf numFmtId="3" fontId="30" fillId="0" borderId="47" xfId="0" applyNumberFormat="1" applyFont="1" applyFill="1" applyBorder="1" applyAlignment="1">
      <alignment wrapText="1"/>
    </xf>
    <xf numFmtId="3" fontId="47" fillId="0" borderId="13" xfId="97" applyNumberFormat="1" applyFont="1" applyBorder="1" applyAlignment="1">
      <alignment vertical="center"/>
      <protection/>
    </xf>
    <xf numFmtId="3" fontId="47" fillId="0" borderId="14" xfId="97" applyNumberFormat="1" applyFont="1" applyBorder="1" applyAlignment="1">
      <alignment vertical="center"/>
      <protection/>
    </xf>
    <xf numFmtId="3" fontId="47" fillId="0" borderId="85" xfId="97" applyNumberFormat="1" applyFont="1" applyBorder="1" applyAlignment="1">
      <alignment vertical="center"/>
      <protection/>
    </xf>
    <xf numFmtId="3" fontId="47" fillId="0" borderId="68" xfId="97" applyNumberFormat="1" applyFont="1" applyBorder="1" applyAlignment="1">
      <alignment vertical="center"/>
      <protection/>
    </xf>
    <xf numFmtId="0" fontId="47" fillId="0" borderId="71" xfId="97" applyFont="1" applyBorder="1" applyAlignment="1">
      <alignment vertical="center"/>
      <protection/>
    </xf>
    <xf numFmtId="3" fontId="47" fillId="0" borderId="71" xfId="97" applyNumberFormat="1" applyFont="1" applyBorder="1" applyAlignment="1">
      <alignment vertical="center"/>
      <protection/>
    </xf>
    <xf numFmtId="0" fontId="47" fillId="0" borderId="28" xfId="96" applyFont="1" applyBorder="1" applyAlignment="1">
      <alignment vertical="center" wrapText="1"/>
      <protection/>
    </xf>
    <xf numFmtId="3" fontId="47" fillId="0" borderId="28" xfId="96" applyNumberFormat="1" applyFont="1" applyBorder="1" applyAlignment="1">
      <alignment vertical="center"/>
      <protection/>
    </xf>
    <xf numFmtId="3" fontId="47" fillId="0" borderId="14" xfId="96" applyNumberFormat="1" applyFont="1" applyBorder="1" applyAlignment="1">
      <alignment vertical="center"/>
      <protection/>
    </xf>
    <xf numFmtId="3" fontId="47" fillId="0" borderId="85" xfId="96" applyNumberFormat="1" applyFont="1" applyBorder="1" applyAlignment="1">
      <alignment vertical="center"/>
      <protection/>
    </xf>
    <xf numFmtId="0" fontId="47" fillId="0" borderId="29" xfId="96" applyFont="1" applyBorder="1" applyAlignment="1">
      <alignment vertical="center" wrapText="1"/>
      <protection/>
    </xf>
    <xf numFmtId="0" fontId="47" fillId="0" borderId="28" xfId="96" applyFont="1" applyBorder="1" applyAlignment="1">
      <alignment vertical="center"/>
      <protection/>
    </xf>
    <xf numFmtId="0" fontId="47" fillId="0" borderId="29" xfId="96" applyFont="1" applyBorder="1" applyAlignment="1">
      <alignment vertical="center"/>
      <protection/>
    </xf>
    <xf numFmtId="0" fontId="38" fillId="0" borderId="120" xfId="93" applyFont="1" applyFill="1" applyBorder="1" applyAlignment="1">
      <alignment/>
      <protection/>
    </xf>
    <xf numFmtId="2" fontId="38" fillId="0" borderId="84" xfId="0" applyNumberFormat="1" applyFont="1" applyFill="1" applyBorder="1" applyAlignment="1">
      <alignment horizontal="center"/>
    </xf>
    <xf numFmtId="2" fontId="54" fillId="0" borderId="85" xfId="0" applyNumberFormat="1" applyFont="1" applyFill="1" applyBorder="1" applyAlignment="1">
      <alignment horizontal="center" vertical="top" wrapText="1"/>
    </xf>
    <xf numFmtId="2" fontId="44" fillId="0" borderId="84" xfId="0" applyNumberFormat="1" applyFont="1" applyFill="1" applyBorder="1" applyAlignment="1">
      <alignment horizontal="center" vertical="top" wrapText="1"/>
    </xf>
    <xf numFmtId="2" fontId="38" fillId="0" borderId="85" xfId="0" applyNumberFormat="1" applyFont="1" applyBorder="1" applyAlignment="1">
      <alignment horizontal="center"/>
    </xf>
    <xf numFmtId="3" fontId="57" fillId="0" borderId="123" xfId="0" applyNumberFormat="1" applyFont="1" applyFill="1" applyBorder="1" applyAlignment="1">
      <alignment horizontal="right"/>
    </xf>
    <xf numFmtId="3" fontId="28" fillId="0" borderId="45" xfId="0" applyNumberFormat="1" applyFont="1" applyFill="1" applyBorder="1" applyAlignment="1">
      <alignment/>
    </xf>
    <xf numFmtId="0" fontId="29" fillId="0" borderId="124" xfId="0" applyFont="1" applyFill="1" applyBorder="1" applyAlignment="1">
      <alignment/>
    </xf>
    <xf numFmtId="0" fontId="29" fillId="0" borderId="123" xfId="0" applyFont="1" applyFill="1" applyBorder="1" applyAlignment="1">
      <alignment/>
    </xf>
    <xf numFmtId="0" fontId="36" fillId="0" borderId="123" xfId="0" applyFont="1" applyFill="1" applyBorder="1" applyAlignment="1">
      <alignment/>
    </xf>
    <xf numFmtId="0" fontId="29" fillId="0" borderId="123" xfId="0" applyFont="1" applyFill="1" applyBorder="1" applyAlignment="1">
      <alignment/>
    </xf>
    <xf numFmtId="3" fontId="30" fillId="0" borderId="123" xfId="0" applyNumberFormat="1" applyFont="1" applyFill="1" applyBorder="1" applyAlignment="1">
      <alignment horizontal="right"/>
    </xf>
    <xf numFmtId="3" fontId="29" fillId="0" borderId="123" xfId="0" applyNumberFormat="1" applyFont="1" applyFill="1" applyBorder="1" applyAlignment="1">
      <alignment horizontal="right"/>
    </xf>
    <xf numFmtId="0" fontId="30" fillId="0" borderId="123" xfId="0" applyFont="1" applyFill="1" applyBorder="1" applyAlignment="1">
      <alignment/>
    </xf>
    <xf numFmtId="3" fontId="30" fillId="0" borderId="125" xfId="0" applyNumberFormat="1" applyFont="1" applyFill="1" applyBorder="1" applyAlignment="1">
      <alignment/>
    </xf>
    <xf numFmtId="0" fontId="50" fillId="0" borderId="126" xfId="93" applyFont="1" applyFill="1" applyBorder="1">
      <alignment/>
      <protection/>
    </xf>
    <xf numFmtId="0" fontId="22" fillId="0" borderId="68" xfId="0" applyFont="1" applyBorder="1" applyAlignment="1">
      <alignment horizontal="left"/>
    </xf>
    <xf numFmtId="0" fontId="50" fillId="0" borderId="119" xfId="93" applyFont="1" applyFill="1" applyBorder="1" applyAlignment="1">
      <alignment horizontal="left"/>
      <protection/>
    </xf>
    <xf numFmtId="3" fontId="23" fillId="0" borderId="117" xfId="93" applyNumberFormat="1" applyFont="1" applyFill="1" applyBorder="1">
      <alignment/>
      <protection/>
    </xf>
    <xf numFmtId="3" fontId="38" fillId="0" borderId="118" xfId="93" applyNumberFormat="1" applyFont="1" applyFill="1" applyBorder="1" applyAlignment="1">
      <alignment horizontal="right"/>
      <protection/>
    </xf>
    <xf numFmtId="0" fontId="50" fillId="0" borderId="127" xfId="93" applyFont="1" applyFill="1" applyBorder="1">
      <alignment/>
      <protection/>
    </xf>
    <xf numFmtId="0" fontId="50" fillId="0" borderId="128" xfId="93" applyFont="1" applyFill="1" applyBorder="1" applyAlignment="1">
      <alignment horizontal="left"/>
      <protection/>
    </xf>
    <xf numFmtId="3" fontId="50" fillId="0" borderId="127" xfId="93" applyNumberFormat="1" applyFont="1" applyFill="1" applyBorder="1">
      <alignment/>
      <protection/>
    </xf>
    <xf numFmtId="3" fontId="38" fillId="0" borderId="120" xfId="93" applyNumberFormat="1" applyFont="1" applyFill="1" applyBorder="1">
      <alignment/>
      <protection/>
    </xf>
    <xf numFmtId="3" fontId="38" fillId="0" borderId="118" xfId="93" applyNumberFormat="1" applyFont="1" applyFill="1" applyBorder="1">
      <alignment/>
      <protection/>
    </xf>
    <xf numFmtId="3" fontId="29" fillId="0" borderId="71" xfId="0" applyNumberFormat="1" applyFont="1" applyBorder="1" applyAlignment="1">
      <alignment horizontal="right" vertical="center" wrapText="1"/>
    </xf>
    <xf numFmtId="3" fontId="57" fillId="0" borderId="71" xfId="0" applyNumberFormat="1" applyFont="1" applyBorder="1" applyAlignment="1">
      <alignment horizontal="right" vertical="center" wrapText="1"/>
    </xf>
    <xf numFmtId="3" fontId="29" fillId="0" borderId="71" xfId="0" applyNumberFormat="1" applyFont="1" applyBorder="1" applyAlignment="1">
      <alignment/>
    </xf>
    <xf numFmtId="3" fontId="30" fillId="0" borderId="46" xfId="0" applyNumberFormat="1" applyFont="1" applyBorder="1" applyAlignment="1">
      <alignment/>
    </xf>
    <xf numFmtId="37" fontId="30" fillId="0" borderId="76" xfId="0" applyNumberFormat="1" applyFont="1" applyBorder="1" applyAlignment="1">
      <alignment vertical="center" wrapText="1"/>
    </xf>
    <xf numFmtId="3" fontId="29" fillId="0" borderId="71" xfId="0" applyNumberFormat="1" applyFont="1" applyBorder="1" applyAlignment="1">
      <alignment horizontal="right" vertical="center" wrapText="1"/>
    </xf>
    <xf numFmtId="3" fontId="38" fillId="0" borderId="129" xfId="93" applyNumberFormat="1" applyFont="1" applyFill="1" applyBorder="1" applyAlignment="1">
      <alignment horizontal="right"/>
      <protection/>
    </xf>
    <xf numFmtId="3" fontId="29" fillId="0" borderId="123" xfId="0" applyNumberFormat="1" applyFont="1" applyFill="1" applyBorder="1" applyAlignment="1">
      <alignment/>
    </xf>
    <xf numFmtId="1" fontId="23" fillId="0" borderId="111" xfId="92" applyNumberFormat="1" applyFont="1" applyFill="1" applyBorder="1" applyAlignment="1">
      <alignment horizontal="center" vertical="center"/>
      <protection/>
    </xf>
    <xf numFmtId="0" fontId="0" fillId="0" borderId="113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3" fontId="22" fillId="0" borderId="130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0" fontId="24" fillId="0" borderId="68" xfId="0" applyFont="1" applyBorder="1" applyAlignment="1">
      <alignment/>
    </xf>
    <xf numFmtId="3" fontId="26" fillId="0" borderId="68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85" xfId="0" applyNumberFormat="1" applyFont="1" applyBorder="1" applyAlignment="1">
      <alignment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130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0" fillId="0" borderId="17" xfId="100" applyFont="1" applyBorder="1" applyAlignment="1">
      <alignment horizontal="center"/>
      <protection/>
    </xf>
    <xf numFmtId="3" fontId="21" fillId="0" borderId="67" xfId="100" applyNumberFormat="1" applyFont="1" applyBorder="1">
      <alignment/>
      <protection/>
    </xf>
    <xf numFmtId="3" fontId="21" fillId="0" borderId="68" xfId="100" applyNumberFormat="1" applyFont="1" applyBorder="1">
      <alignment/>
      <protection/>
    </xf>
    <xf numFmtId="3" fontId="33" fillId="0" borderId="68" xfId="100" applyNumberFormat="1" applyFont="1" applyBorder="1">
      <alignment/>
      <protection/>
    </xf>
    <xf numFmtId="3" fontId="33" fillId="0" borderId="68" xfId="100" applyNumberFormat="1" applyFont="1" applyBorder="1">
      <alignment/>
      <protection/>
    </xf>
    <xf numFmtId="3" fontId="33" fillId="0" borderId="67" xfId="100" applyNumberFormat="1" applyFont="1" applyBorder="1">
      <alignment/>
      <protection/>
    </xf>
    <xf numFmtId="3" fontId="21" fillId="0" borderId="131" xfId="100" applyNumberFormat="1" applyFont="1" applyBorder="1">
      <alignment/>
      <protection/>
    </xf>
    <xf numFmtId="3" fontId="20" fillId="0" borderId="110" xfId="100" applyNumberFormat="1" applyFont="1" applyBorder="1">
      <alignment/>
      <protection/>
    </xf>
    <xf numFmtId="3" fontId="20" fillId="0" borderId="67" xfId="100" applyNumberFormat="1" applyFont="1" applyBorder="1">
      <alignment/>
      <protection/>
    </xf>
    <xf numFmtId="3" fontId="33" fillId="0" borderId="131" xfId="100" applyNumberFormat="1" applyFont="1" applyBorder="1">
      <alignment/>
      <protection/>
    </xf>
    <xf numFmtId="3" fontId="21" fillId="0" borderId="131" xfId="100" applyNumberFormat="1" applyFont="1" applyBorder="1">
      <alignment/>
      <protection/>
    </xf>
    <xf numFmtId="3" fontId="20" fillId="0" borderId="68" xfId="100" applyNumberFormat="1" applyFont="1" applyBorder="1">
      <alignment/>
      <protection/>
    </xf>
    <xf numFmtId="3" fontId="21" fillId="0" borderId="17" xfId="100" applyNumberFormat="1" applyFont="1" applyBorder="1">
      <alignment/>
      <protection/>
    </xf>
    <xf numFmtId="3" fontId="20" fillId="0" borderId="132" xfId="100" applyNumberFormat="1" applyFont="1" applyBorder="1">
      <alignment/>
      <protection/>
    </xf>
    <xf numFmtId="0" fontId="20" fillId="0" borderId="21" xfId="100" applyFont="1" applyBorder="1" applyAlignment="1">
      <alignment horizontal="center"/>
      <protection/>
    </xf>
    <xf numFmtId="3" fontId="21" fillId="0" borderId="15" xfId="100" applyNumberFormat="1" applyFont="1" applyBorder="1">
      <alignment/>
      <protection/>
    </xf>
    <xf numFmtId="3" fontId="21" fillId="0" borderId="13" xfId="100" applyNumberFormat="1" applyFont="1" applyBorder="1">
      <alignment/>
      <protection/>
    </xf>
    <xf numFmtId="3" fontId="33" fillId="0" borderId="13" xfId="100" applyNumberFormat="1" applyFont="1" applyBorder="1">
      <alignment/>
      <protection/>
    </xf>
    <xf numFmtId="3" fontId="21" fillId="0" borderId="13" xfId="100" applyNumberFormat="1" applyFont="1" applyBorder="1">
      <alignment/>
      <protection/>
    </xf>
    <xf numFmtId="3" fontId="33" fillId="0" borderId="13" xfId="100" applyNumberFormat="1" applyFont="1" applyBorder="1">
      <alignment/>
      <protection/>
    </xf>
    <xf numFmtId="3" fontId="21" fillId="0" borderId="41" xfId="100" applyNumberFormat="1" applyFont="1" applyBorder="1">
      <alignment/>
      <protection/>
    </xf>
    <xf numFmtId="3" fontId="33" fillId="0" borderId="41" xfId="100" applyNumberFormat="1" applyFont="1" applyBorder="1">
      <alignment/>
      <protection/>
    </xf>
    <xf numFmtId="3" fontId="20" fillId="0" borderId="89" xfId="100" applyNumberFormat="1" applyFont="1" applyBorder="1">
      <alignment/>
      <protection/>
    </xf>
    <xf numFmtId="0" fontId="22" fillId="0" borderId="19" xfId="100" applyFont="1" applyBorder="1">
      <alignment/>
      <protection/>
    </xf>
    <xf numFmtId="3" fontId="20" fillId="0" borderId="13" xfId="100" applyNumberFormat="1" applyFont="1" applyBorder="1">
      <alignment/>
      <protection/>
    </xf>
    <xf numFmtId="3" fontId="20" fillId="0" borderId="41" xfId="100" applyNumberFormat="1" applyFont="1" applyBorder="1">
      <alignment/>
      <protection/>
    </xf>
    <xf numFmtId="3" fontId="20" fillId="0" borderId="21" xfId="100" applyNumberFormat="1" applyFont="1" applyBorder="1">
      <alignment/>
      <protection/>
    </xf>
    <xf numFmtId="3" fontId="20" fillId="0" borderId="133" xfId="100" applyNumberFormat="1" applyFont="1" applyBorder="1">
      <alignment/>
      <protection/>
    </xf>
    <xf numFmtId="3" fontId="21" fillId="0" borderId="19" xfId="100" applyNumberFormat="1" applyFont="1" applyBorder="1">
      <alignment/>
      <protection/>
    </xf>
    <xf numFmtId="3" fontId="33" fillId="0" borderId="19" xfId="100" applyNumberFormat="1" applyFont="1" applyBorder="1">
      <alignment/>
      <protection/>
    </xf>
    <xf numFmtId="3" fontId="21" fillId="0" borderId="21" xfId="100" applyNumberFormat="1" applyFont="1" applyBorder="1">
      <alignment/>
      <protection/>
    </xf>
    <xf numFmtId="3" fontId="20" fillId="0" borderId="89" xfId="100" applyNumberFormat="1" applyFont="1" applyBorder="1">
      <alignment/>
      <protection/>
    </xf>
    <xf numFmtId="3" fontId="20" fillId="0" borderId="19" xfId="100" applyNumberFormat="1" applyFont="1" applyBorder="1">
      <alignment/>
      <protection/>
    </xf>
    <xf numFmtId="3" fontId="67" fillId="0" borderId="28" xfId="102" applyNumberFormat="1" applyFont="1" applyBorder="1">
      <alignment/>
      <protection/>
    </xf>
    <xf numFmtId="49" fontId="33" fillId="0" borderId="28" xfId="100" applyNumberFormat="1" applyFont="1" applyBorder="1">
      <alignment/>
      <protection/>
    </xf>
    <xf numFmtId="3" fontId="33" fillId="0" borderId="131" xfId="100" applyNumberFormat="1" applyFont="1" applyBorder="1">
      <alignment/>
      <protection/>
    </xf>
    <xf numFmtId="3" fontId="33" fillId="0" borderId="86" xfId="100" applyNumberFormat="1" applyFont="1" applyBorder="1">
      <alignment/>
      <protection/>
    </xf>
    <xf numFmtId="3" fontId="22" fillId="0" borderId="68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50" fillId="0" borderId="128" xfId="93" applyFont="1" applyFill="1" applyBorder="1">
      <alignment/>
      <protection/>
    </xf>
    <xf numFmtId="1" fontId="38" fillId="0" borderId="134" xfId="93" applyNumberFormat="1" applyFont="1" applyFill="1" applyBorder="1" applyAlignment="1">
      <alignment horizontal="center"/>
      <protection/>
    </xf>
    <xf numFmtId="0" fontId="38" fillId="0" borderId="135" xfId="93" applyFont="1" applyFill="1" applyBorder="1" applyAlignment="1">
      <alignment/>
      <protection/>
    </xf>
    <xf numFmtId="3" fontId="23" fillId="0" borderId="134" xfId="93" applyNumberFormat="1" applyFont="1" applyFill="1" applyBorder="1">
      <alignment/>
      <protection/>
    </xf>
    <xf numFmtId="3" fontId="38" fillId="0" borderId="136" xfId="93" applyNumberFormat="1" applyFont="1" applyFill="1" applyBorder="1">
      <alignment/>
      <protection/>
    </xf>
    <xf numFmtId="3" fontId="38" fillId="0" borderId="135" xfId="93" applyNumberFormat="1" applyFont="1" applyFill="1" applyBorder="1">
      <alignment/>
      <protection/>
    </xf>
    <xf numFmtId="3" fontId="23" fillId="0" borderId="137" xfId="93" applyNumberFormat="1" applyFont="1" applyFill="1" applyBorder="1">
      <alignment/>
      <protection/>
    </xf>
    <xf numFmtId="3" fontId="50" fillId="0" borderId="100" xfId="93" applyNumberFormat="1" applyFont="1" applyFill="1" applyBorder="1">
      <alignment/>
      <protection/>
    </xf>
    <xf numFmtId="0" fontId="50" fillId="0" borderId="50" xfId="93" applyFont="1" applyFill="1" applyBorder="1" applyAlignment="1">
      <alignment horizontal="left"/>
      <protection/>
    </xf>
    <xf numFmtId="0" fontId="38" fillId="0" borderId="120" xfId="93" applyFont="1" applyFill="1" applyBorder="1" applyAlignment="1">
      <alignment horizontal="right"/>
      <protection/>
    </xf>
    <xf numFmtId="0" fontId="38" fillId="0" borderId="60" xfId="93" applyFont="1" applyFill="1" applyBorder="1">
      <alignment/>
      <protection/>
    </xf>
    <xf numFmtId="3" fontId="38" fillId="0" borderId="136" xfId="93" applyNumberFormat="1" applyFont="1" applyFill="1" applyBorder="1" applyAlignment="1">
      <alignment horizontal="right"/>
      <protection/>
    </xf>
    <xf numFmtId="3" fontId="38" fillId="0" borderId="135" xfId="93" applyNumberFormat="1" applyFont="1" applyFill="1" applyBorder="1" applyAlignment="1">
      <alignment horizontal="right"/>
      <protection/>
    </xf>
    <xf numFmtId="3" fontId="38" fillId="0" borderId="138" xfId="93" applyNumberFormat="1" applyFont="1" applyFill="1" applyBorder="1" applyAlignment="1">
      <alignment horizontal="right"/>
      <protection/>
    </xf>
    <xf numFmtId="0" fontId="50" fillId="0" borderId="139" xfId="93" applyFont="1" applyFill="1" applyBorder="1">
      <alignment/>
      <protection/>
    </xf>
    <xf numFmtId="1" fontId="38" fillId="0" borderId="140" xfId="93" applyNumberFormat="1" applyFont="1" applyFill="1" applyBorder="1" applyAlignment="1">
      <alignment horizontal="center"/>
      <protection/>
    </xf>
    <xf numFmtId="0" fontId="38" fillId="0" borderId="141" xfId="93" applyFont="1" applyFill="1" applyBorder="1" applyAlignment="1">
      <alignment/>
      <protection/>
    </xf>
    <xf numFmtId="3" fontId="23" fillId="0" borderId="140" xfId="93" applyNumberFormat="1" applyFont="1" applyFill="1" applyBorder="1">
      <alignment/>
      <protection/>
    </xf>
    <xf numFmtId="3" fontId="38" fillId="0" borderId="142" xfId="93" applyNumberFormat="1" applyFont="1" applyFill="1" applyBorder="1" applyAlignment="1">
      <alignment horizontal="right"/>
      <protection/>
    </xf>
    <xf numFmtId="3" fontId="38" fillId="0" borderId="141" xfId="93" applyNumberFormat="1" applyFont="1" applyFill="1" applyBorder="1" applyAlignment="1">
      <alignment horizontal="right"/>
      <protection/>
    </xf>
    <xf numFmtId="0" fontId="50" fillId="0" borderId="143" xfId="93" applyFont="1" applyFill="1" applyBorder="1">
      <alignment/>
      <protection/>
    </xf>
    <xf numFmtId="1" fontId="38" fillId="0" borderId="61" xfId="93" applyNumberFormat="1" applyFont="1" applyFill="1" applyBorder="1" applyAlignment="1">
      <alignment horizontal="center"/>
      <protection/>
    </xf>
    <xf numFmtId="0" fontId="38" fillId="0" borderId="62" xfId="93" applyFont="1" applyFill="1" applyBorder="1" applyAlignment="1">
      <alignment/>
      <protection/>
    </xf>
    <xf numFmtId="0" fontId="50" fillId="0" borderId="63" xfId="93" applyFont="1" applyFill="1" applyBorder="1" applyAlignment="1">
      <alignment horizontal="left"/>
      <protection/>
    </xf>
    <xf numFmtId="3" fontId="23" fillId="0" borderId="61" xfId="93" applyNumberFormat="1" applyFont="1" applyFill="1" applyBorder="1">
      <alignment/>
      <protection/>
    </xf>
    <xf numFmtId="3" fontId="23" fillId="0" borderId="39" xfId="93" applyNumberFormat="1" applyFont="1" applyFill="1" applyBorder="1">
      <alignment/>
      <protection/>
    </xf>
    <xf numFmtId="3" fontId="38" fillId="0" borderId="39" xfId="93" applyNumberFormat="1" applyFont="1" applyFill="1" applyBorder="1">
      <alignment/>
      <protection/>
    </xf>
    <xf numFmtId="3" fontId="38" fillId="0" borderId="62" xfId="93" applyNumberFormat="1" applyFont="1" applyFill="1" applyBorder="1">
      <alignment/>
      <protection/>
    </xf>
    <xf numFmtId="0" fontId="50" fillId="0" borderId="144" xfId="93" applyFont="1" applyFill="1" applyBorder="1">
      <alignment/>
      <protection/>
    </xf>
    <xf numFmtId="3" fontId="38" fillId="0" borderId="39" xfId="93" applyNumberFormat="1" applyFont="1" applyFill="1" applyBorder="1" applyAlignment="1">
      <alignment horizontal="right"/>
      <protection/>
    </xf>
    <xf numFmtId="3" fontId="38" fillId="0" borderId="62" xfId="93" applyNumberFormat="1" applyFont="1" applyFill="1" applyBorder="1" applyAlignment="1">
      <alignment horizontal="right"/>
      <protection/>
    </xf>
    <xf numFmtId="0" fontId="38" fillId="0" borderId="142" xfId="93" applyFont="1" applyFill="1" applyBorder="1" applyAlignment="1">
      <alignment horizontal="right"/>
      <protection/>
    </xf>
    <xf numFmtId="0" fontId="40" fillId="0" borderId="120" xfId="93" applyFont="1" applyFill="1" applyBorder="1" applyAlignment="1">
      <alignment horizontal="left"/>
      <protection/>
    </xf>
    <xf numFmtId="0" fontId="40" fillId="0" borderId="145" xfId="93" applyFont="1" applyFill="1" applyBorder="1" applyAlignment="1">
      <alignment horizontal="left"/>
      <protection/>
    </xf>
    <xf numFmtId="0" fontId="40" fillId="0" borderId="116" xfId="93" applyFont="1" applyFill="1" applyBorder="1" applyAlignment="1">
      <alignment horizontal="left"/>
      <protection/>
    </xf>
    <xf numFmtId="0" fontId="64" fillId="0" borderId="145" xfId="93" applyFont="1" applyFill="1" applyBorder="1">
      <alignment/>
      <protection/>
    </xf>
    <xf numFmtId="0" fontId="40" fillId="0" borderId="50" xfId="93" applyFont="1" applyFill="1" applyBorder="1">
      <alignment/>
      <protection/>
    </xf>
    <xf numFmtId="0" fontId="0" fillId="0" borderId="98" xfId="0" applyBorder="1" applyAlignment="1">
      <alignment horizontal="center" vertical="center"/>
    </xf>
    <xf numFmtId="1" fontId="38" fillId="0" borderId="146" xfId="93" applyNumberFormat="1" applyFont="1" applyFill="1" applyBorder="1" applyAlignment="1">
      <alignment horizontal="center"/>
      <protection/>
    </xf>
    <xf numFmtId="0" fontId="0" fillId="0" borderId="146" xfId="0" applyBorder="1" applyAlignment="1">
      <alignment horizontal="center" vertical="center"/>
    </xf>
    <xf numFmtId="0" fontId="40" fillId="0" borderId="147" xfId="93" applyFont="1" applyFill="1" applyBorder="1">
      <alignment/>
      <protection/>
    </xf>
    <xf numFmtId="0" fontId="38" fillId="0" borderId="148" xfId="93" applyFont="1" applyFill="1" applyBorder="1" applyAlignment="1">
      <alignment horizontal="left" vertical="center"/>
      <protection/>
    </xf>
    <xf numFmtId="0" fontId="38" fillId="0" borderId="148" xfId="93" applyFont="1" applyFill="1" applyBorder="1" applyAlignment="1">
      <alignment/>
      <protection/>
    </xf>
    <xf numFmtId="0" fontId="38" fillId="0" borderId="146" xfId="93" applyFont="1" applyFill="1" applyBorder="1" applyAlignment="1">
      <alignment horizontal="center" vertical="center"/>
      <protection/>
    </xf>
    <xf numFmtId="0" fontId="38" fillId="0" borderId="149" xfId="93" applyFont="1" applyFill="1" applyBorder="1" applyAlignment="1">
      <alignment horizontal="center" vertical="center"/>
      <protection/>
    </xf>
    <xf numFmtId="49" fontId="38" fillId="0" borderId="149" xfId="93" applyNumberFormat="1" applyFont="1" applyFill="1" applyBorder="1" applyAlignment="1">
      <alignment horizontal="center"/>
      <protection/>
    </xf>
    <xf numFmtId="49" fontId="38" fillId="0" borderId="146" xfId="93" applyNumberFormat="1" applyFont="1" applyFill="1" applyBorder="1" applyAlignment="1">
      <alignment horizontal="center"/>
      <protection/>
    </xf>
    <xf numFmtId="0" fontId="40" fillId="0" borderId="116" xfId="93" applyFont="1" applyFill="1" applyBorder="1">
      <alignment/>
      <protection/>
    </xf>
    <xf numFmtId="0" fontId="23" fillId="0" borderId="60" xfId="99" applyFont="1" applyFill="1" applyBorder="1" applyAlignment="1">
      <alignment vertical="center" wrapText="1"/>
      <protection/>
    </xf>
    <xf numFmtId="0" fontId="23" fillId="0" borderId="98" xfId="99" applyFont="1" applyFill="1" applyBorder="1">
      <alignment/>
      <protection/>
    </xf>
    <xf numFmtId="0" fontId="40" fillId="0" borderId="98" xfId="99" applyFont="1" applyFill="1" applyBorder="1" applyAlignment="1">
      <alignment horizontal="left" vertical="center"/>
      <protection/>
    </xf>
    <xf numFmtId="3" fontId="23" fillId="0" borderId="92" xfId="96" applyNumberFormat="1" applyFont="1" applyBorder="1" applyAlignment="1">
      <alignment horizontal="center"/>
      <protection/>
    </xf>
    <xf numFmtId="3" fontId="38" fillId="0" borderId="85" xfId="96" applyNumberFormat="1" applyFont="1" applyBorder="1">
      <alignment/>
      <protection/>
    </xf>
    <xf numFmtId="3" fontId="38" fillId="0" borderId="86" xfId="96" applyNumberFormat="1" applyFont="1" applyBorder="1">
      <alignment/>
      <protection/>
    </xf>
    <xf numFmtId="3" fontId="44" fillId="0" borderId="85" xfId="96" applyNumberFormat="1" applyFont="1" applyBorder="1">
      <alignment/>
      <protection/>
    </xf>
    <xf numFmtId="3" fontId="23" fillId="0" borderId="85" xfId="96" applyNumberFormat="1" applyFont="1" applyBorder="1">
      <alignment/>
      <protection/>
    </xf>
    <xf numFmtId="3" fontId="44" fillId="0" borderId="91" xfId="96" applyNumberFormat="1" applyFont="1" applyBorder="1">
      <alignment/>
      <protection/>
    </xf>
    <xf numFmtId="0" fontId="23" fillId="0" borderId="91" xfId="96" applyFont="1" applyBorder="1">
      <alignment/>
      <protection/>
    </xf>
    <xf numFmtId="0" fontId="23" fillId="0" borderId="22" xfId="96" applyFont="1" applyBorder="1">
      <alignment/>
      <protection/>
    </xf>
    <xf numFmtId="0" fontId="44" fillId="0" borderId="85" xfId="96" applyFont="1" applyBorder="1">
      <alignment/>
      <protection/>
    </xf>
    <xf numFmtId="2" fontId="38" fillId="0" borderId="20" xfId="0" applyNumberFormat="1" applyFont="1" applyFill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54" fillId="0" borderId="14" xfId="0" applyNumberFormat="1" applyFont="1" applyFill="1" applyBorder="1" applyAlignment="1">
      <alignment horizontal="center" vertical="top" wrapText="1"/>
    </xf>
    <xf numFmtId="2" fontId="44" fillId="0" borderId="20" xfId="0" applyNumberFormat="1" applyFont="1" applyFill="1" applyBorder="1" applyAlignment="1">
      <alignment horizontal="center" vertical="top" wrapText="1"/>
    </xf>
    <xf numFmtId="0" fontId="38" fillId="0" borderId="41" xfId="96" applyFont="1" applyBorder="1" applyAlignment="1">
      <alignment wrapText="1"/>
      <protection/>
    </xf>
    <xf numFmtId="3" fontId="38" fillId="0" borderId="71" xfId="96" applyNumberFormat="1" applyFont="1" applyBorder="1">
      <alignment/>
      <protection/>
    </xf>
    <xf numFmtId="3" fontId="38" fillId="0" borderId="76" xfId="96" applyNumberFormat="1" applyFont="1" applyBorder="1">
      <alignment/>
      <protection/>
    </xf>
    <xf numFmtId="3" fontId="38" fillId="0" borderId="150" xfId="96" applyNumberFormat="1" applyFont="1" applyBorder="1">
      <alignment/>
      <protection/>
    </xf>
    <xf numFmtId="3" fontId="23" fillId="0" borderId="98" xfId="99" applyNumberFormat="1" applyFont="1" applyFill="1" applyBorder="1">
      <alignment/>
      <protection/>
    </xf>
    <xf numFmtId="3" fontId="23" fillId="0" borderId="151" xfId="99" applyNumberFormat="1" applyFont="1" applyFill="1" applyBorder="1">
      <alignment/>
      <protection/>
    </xf>
    <xf numFmtId="49" fontId="38" fillId="0" borderId="41" xfId="96" applyNumberFormat="1" applyFont="1" applyBorder="1">
      <alignment/>
      <protection/>
    </xf>
    <xf numFmtId="3" fontId="38" fillId="0" borderId="68" xfId="96" applyNumberFormat="1" applyFont="1" applyBorder="1">
      <alignment/>
      <protection/>
    </xf>
    <xf numFmtId="3" fontId="38" fillId="0" borderId="71" xfId="96" applyNumberFormat="1" applyFont="1" applyBorder="1">
      <alignment/>
      <protection/>
    </xf>
    <xf numFmtId="3" fontId="44" fillId="0" borderId="14" xfId="96" applyNumberFormat="1" applyFont="1" applyBorder="1">
      <alignment/>
      <protection/>
    </xf>
    <xf numFmtId="3" fontId="44" fillId="0" borderId="71" xfId="96" applyNumberFormat="1" applyFont="1" applyBorder="1">
      <alignment/>
      <protection/>
    </xf>
    <xf numFmtId="3" fontId="23" fillId="0" borderId="151" xfId="93" applyNumberFormat="1" applyFont="1" applyFill="1" applyBorder="1" applyAlignment="1">
      <alignment/>
      <protection/>
    </xf>
    <xf numFmtId="0" fontId="40" fillId="0" borderId="145" xfId="93" applyFont="1" applyFill="1" applyBorder="1">
      <alignment/>
      <protection/>
    </xf>
    <xf numFmtId="0" fontId="38" fillId="0" borderId="14" xfId="98" applyFont="1" applyBorder="1" applyAlignment="1">
      <alignment horizontal="left" vertical="center" wrapText="1"/>
      <protection/>
    </xf>
    <xf numFmtId="0" fontId="38" fillId="0" borderId="14" xfId="98" applyFont="1" applyBorder="1" applyAlignment="1">
      <alignment vertical="center" wrapText="1"/>
      <protection/>
    </xf>
    <xf numFmtId="3" fontId="38" fillId="0" borderId="14" xfId="98" applyNumberFormat="1" applyFont="1" applyBorder="1" applyAlignment="1">
      <alignment vertical="center"/>
      <protection/>
    </xf>
    <xf numFmtId="3" fontId="38" fillId="0" borderId="71" xfId="98" applyNumberFormat="1" applyFont="1" applyBorder="1" applyAlignment="1">
      <alignment vertical="center"/>
      <protection/>
    </xf>
    <xf numFmtId="3" fontId="38" fillId="0" borderId="14" xfId="98" applyNumberFormat="1" applyFont="1" applyFill="1" applyBorder="1" applyAlignment="1">
      <alignment vertical="center"/>
      <protection/>
    </xf>
    <xf numFmtId="3" fontId="38" fillId="0" borderId="14" xfId="98" applyNumberFormat="1" applyFont="1" applyFill="1" applyBorder="1" applyAlignment="1">
      <alignment horizontal="right" vertical="center"/>
      <protection/>
    </xf>
    <xf numFmtId="3" fontId="38" fillId="0" borderId="71" xfId="98" applyNumberFormat="1" applyFont="1" applyFill="1" applyBorder="1" applyAlignment="1">
      <alignment vertical="center"/>
      <protection/>
    </xf>
    <xf numFmtId="0" fontId="23" fillId="0" borderId="14" xfId="98" applyFont="1" applyBorder="1" applyAlignment="1">
      <alignment vertical="center" wrapText="1"/>
      <protection/>
    </xf>
    <xf numFmtId="3" fontId="23" fillId="0" borderId="14" xfId="98" applyNumberFormat="1" applyFont="1" applyFill="1" applyBorder="1" applyAlignment="1">
      <alignment vertical="center"/>
      <protection/>
    </xf>
    <xf numFmtId="3" fontId="23" fillId="0" borderId="14" xfId="98" applyNumberFormat="1" applyFont="1" applyBorder="1" applyAlignment="1">
      <alignment vertical="center"/>
      <protection/>
    </xf>
    <xf numFmtId="0" fontId="23" fillId="0" borderId="14" xfId="98" applyFont="1" applyBorder="1" applyAlignment="1">
      <alignment horizontal="left" vertical="center" wrapText="1"/>
      <protection/>
    </xf>
    <xf numFmtId="3" fontId="38" fillId="46" borderId="14" xfId="98" applyNumberFormat="1" applyFont="1" applyFill="1" applyBorder="1" applyAlignment="1">
      <alignment vertical="center"/>
      <protection/>
    </xf>
    <xf numFmtId="3" fontId="23" fillId="0" borderId="0" xfId="98" applyNumberFormat="1" applyFont="1" applyBorder="1" applyAlignment="1">
      <alignment vertical="center"/>
      <protection/>
    </xf>
    <xf numFmtId="3" fontId="23" fillId="25" borderId="14" xfId="98" applyNumberFormat="1" applyFont="1" applyFill="1" applyBorder="1" applyAlignment="1">
      <alignment vertical="center"/>
      <protection/>
    </xf>
    <xf numFmtId="3" fontId="68" fillId="0" borderId="14" xfId="98" applyNumberFormat="1" applyFont="1" applyFill="1" applyBorder="1" applyAlignment="1">
      <alignment vertical="center"/>
      <protection/>
    </xf>
    <xf numFmtId="0" fontId="23" fillId="0" borderId="14" xfId="98" applyFont="1" applyFill="1" applyBorder="1" applyAlignment="1">
      <alignment horizontal="left" vertical="center" wrapText="1"/>
      <protection/>
    </xf>
    <xf numFmtId="0" fontId="23" fillId="0" borderId="14" xfId="98" applyFont="1" applyFill="1" applyBorder="1" applyAlignment="1">
      <alignment vertical="center" wrapText="1"/>
      <protection/>
    </xf>
    <xf numFmtId="3" fontId="23" fillId="0" borderId="14" xfId="98" applyNumberFormat="1" applyFont="1" applyFill="1" applyBorder="1" applyAlignment="1">
      <alignment vertical="center" wrapText="1"/>
      <protection/>
    </xf>
    <xf numFmtId="3" fontId="23" fillId="0" borderId="71" xfId="98" applyNumberFormat="1" applyFont="1" applyFill="1" applyBorder="1" applyAlignment="1">
      <alignment vertical="center"/>
      <protection/>
    </xf>
    <xf numFmtId="3" fontId="23" fillId="0" borderId="14" xfId="98" applyNumberFormat="1" applyFont="1" applyBorder="1" applyAlignment="1">
      <alignment vertical="center" wrapText="1"/>
      <protection/>
    </xf>
    <xf numFmtId="3" fontId="23" fillId="0" borderId="22" xfId="98" applyNumberFormat="1" applyFont="1" applyBorder="1" applyAlignment="1">
      <alignment vertical="center" wrapText="1"/>
      <protection/>
    </xf>
    <xf numFmtId="0" fontId="23" fillId="0" borderId="22" xfId="98" applyFont="1" applyBorder="1" applyAlignment="1">
      <alignment vertical="center" wrapText="1"/>
      <protection/>
    </xf>
    <xf numFmtId="0" fontId="23" fillId="0" borderId="0" xfId="98" applyFont="1" applyBorder="1" applyAlignment="1">
      <alignment horizontal="left" vertical="center" wrapText="1"/>
      <protection/>
    </xf>
    <xf numFmtId="0" fontId="38" fillId="0" borderId="0" xfId="98" applyFont="1" applyBorder="1" applyAlignment="1">
      <alignment vertical="center" wrapText="1"/>
      <protection/>
    </xf>
    <xf numFmtId="3" fontId="23" fillId="0" borderId="0" xfId="98" applyNumberFormat="1" applyFont="1" applyBorder="1" applyAlignment="1">
      <alignment vertical="center" wrapText="1"/>
      <protection/>
    </xf>
    <xf numFmtId="0" fontId="23" fillId="0" borderId="0" xfId="98" applyFont="1" applyBorder="1" applyAlignment="1">
      <alignment vertical="center" wrapText="1"/>
      <protection/>
    </xf>
    <xf numFmtId="0" fontId="38" fillId="0" borderId="22" xfId="98" applyFont="1" applyBorder="1" applyAlignment="1">
      <alignment horizontal="left" vertical="center" wrapText="1"/>
      <protection/>
    </xf>
    <xf numFmtId="0" fontId="38" fillId="0" borderId="22" xfId="98" applyFont="1" applyBorder="1" applyAlignment="1">
      <alignment vertical="center" wrapText="1"/>
      <protection/>
    </xf>
    <xf numFmtId="3" fontId="38" fillId="0" borderId="22" xfId="98" applyNumberFormat="1" applyFont="1" applyFill="1" applyBorder="1" applyAlignment="1">
      <alignment vertical="center"/>
      <protection/>
    </xf>
    <xf numFmtId="3" fontId="38" fillId="0" borderId="22" xfId="98" applyNumberFormat="1" applyFont="1" applyBorder="1" applyAlignment="1">
      <alignment vertical="center"/>
      <protection/>
    </xf>
    <xf numFmtId="3" fontId="38" fillId="0" borderId="76" xfId="98" applyNumberFormat="1" applyFont="1" applyBorder="1" applyAlignment="1">
      <alignment vertical="center"/>
      <protection/>
    </xf>
    <xf numFmtId="0" fontId="38" fillId="0" borderId="40" xfId="98" applyFont="1" applyBorder="1" applyAlignment="1">
      <alignment horizontal="left" vertical="center" wrapText="1"/>
      <protection/>
    </xf>
    <xf numFmtId="0" fontId="38" fillId="0" borderId="40" xfId="98" applyFont="1" applyBorder="1" applyAlignment="1">
      <alignment vertical="center" wrapText="1"/>
      <protection/>
    </xf>
    <xf numFmtId="3" fontId="38" fillId="0" borderId="40" xfId="98" applyNumberFormat="1" applyFont="1" applyFill="1" applyBorder="1" applyAlignment="1">
      <alignment vertical="center"/>
      <protection/>
    </xf>
    <xf numFmtId="3" fontId="38" fillId="0" borderId="40" xfId="98" applyNumberFormat="1" applyFont="1" applyBorder="1" applyAlignment="1">
      <alignment vertical="center"/>
      <protection/>
    </xf>
    <xf numFmtId="3" fontId="38" fillId="0" borderId="152" xfId="98" applyNumberFormat="1" applyFont="1" applyBorder="1" applyAlignment="1">
      <alignment vertical="center"/>
      <protection/>
    </xf>
    <xf numFmtId="3" fontId="23" fillId="0" borderId="71" xfId="98" applyNumberFormat="1" applyFont="1" applyBorder="1" applyAlignment="1">
      <alignment vertical="center"/>
      <protection/>
    </xf>
    <xf numFmtId="0" fontId="38" fillId="0" borderId="13" xfId="98" applyFont="1" applyBorder="1" applyAlignment="1">
      <alignment horizontal="center" vertical="center" wrapText="1"/>
      <protection/>
    </xf>
    <xf numFmtId="3" fontId="23" fillId="25" borderId="71" xfId="98" applyNumberFormat="1" applyFont="1" applyFill="1" applyBorder="1" applyAlignment="1">
      <alignment vertical="center"/>
      <protection/>
    </xf>
    <xf numFmtId="3" fontId="23" fillId="0" borderId="68" xfId="98" applyNumberFormat="1" applyFont="1" applyBorder="1" applyAlignment="1">
      <alignment vertical="center"/>
      <protection/>
    </xf>
    <xf numFmtId="3" fontId="23" fillId="0" borderId="68" xfId="98" applyNumberFormat="1" applyFont="1" applyFill="1" applyBorder="1" applyAlignment="1">
      <alignment vertical="center"/>
      <protection/>
    </xf>
    <xf numFmtId="3" fontId="23" fillId="0" borderId="68" xfId="98" applyNumberFormat="1" applyFont="1" applyBorder="1" applyAlignment="1">
      <alignment vertical="center" wrapText="1"/>
      <protection/>
    </xf>
    <xf numFmtId="3" fontId="23" fillId="0" borderId="17" xfId="98" applyNumberFormat="1" applyFont="1" applyBorder="1" applyAlignment="1">
      <alignment vertical="center" wrapText="1"/>
      <protection/>
    </xf>
    <xf numFmtId="3" fontId="23" fillId="0" borderId="71" xfId="98" applyNumberFormat="1" applyFont="1" applyFill="1" applyBorder="1" applyAlignment="1">
      <alignment vertical="center" wrapText="1"/>
      <protection/>
    </xf>
    <xf numFmtId="3" fontId="23" fillId="0" borderId="71" xfId="98" applyNumberFormat="1" applyFont="1" applyBorder="1" applyAlignment="1">
      <alignment vertical="center" wrapText="1"/>
      <protection/>
    </xf>
    <xf numFmtId="0" fontId="38" fillId="0" borderId="0" xfId="98" applyFont="1">
      <alignment/>
      <protection/>
    </xf>
    <xf numFmtId="3" fontId="38" fillId="0" borderId="0" xfId="98" applyNumberFormat="1" applyFont="1">
      <alignment/>
      <protection/>
    </xf>
    <xf numFmtId="0" fontId="23" fillId="0" borderId="0" xfId="98" applyFont="1">
      <alignment/>
      <protection/>
    </xf>
    <xf numFmtId="0" fontId="38" fillId="0" borderId="0" xfId="98" applyFont="1" applyFill="1">
      <alignment/>
      <protection/>
    </xf>
    <xf numFmtId="3" fontId="38" fillId="0" borderId="0" xfId="98" applyNumberFormat="1" applyFont="1" applyFill="1">
      <alignment/>
      <protection/>
    </xf>
    <xf numFmtId="0" fontId="23" fillId="0" borderId="0" xfId="98" applyFont="1" applyFill="1">
      <alignment/>
      <protection/>
    </xf>
    <xf numFmtId="3" fontId="23" fillId="0" borderId="0" xfId="98" applyNumberFormat="1" applyFont="1">
      <alignment/>
      <protection/>
    </xf>
    <xf numFmtId="3" fontId="23" fillId="0" borderId="0" xfId="98" applyNumberFormat="1" applyFont="1" applyFill="1">
      <alignment/>
      <protection/>
    </xf>
    <xf numFmtId="0" fontId="23" fillId="25" borderId="0" xfId="98" applyFont="1" applyFill="1">
      <alignment/>
      <protection/>
    </xf>
    <xf numFmtId="3" fontId="23" fillId="25" borderId="0" xfId="98" applyNumberFormat="1" applyFont="1" applyFill="1">
      <alignment/>
      <protection/>
    </xf>
    <xf numFmtId="0" fontId="68" fillId="0" borderId="0" xfId="98" applyFont="1" applyFill="1">
      <alignment/>
      <protection/>
    </xf>
    <xf numFmtId="3" fontId="68" fillId="0" borderId="0" xfId="98" applyNumberFormat="1" applyFont="1" applyFill="1">
      <alignment/>
      <protection/>
    </xf>
    <xf numFmtId="3" fontId="23" fillId="0" borderId="0" xfId="98" applyNumberFormat="1" applyFont="1" applyBorder="1">
      <alignment/>
      <protection/>
    </xf>
    <xf numFmtId="0" fontId="23" fillId="0" borderId="14" xfId="98" applyFont="1" applyBorder="1">
      <alignment/>
      <protection/>
    </xf>
    <xf numFmtId="0" fontId="38" fillId="0" borderId="14" xfId="98" applyFont="1" applyFill="1" applyBorder="1">
      <alignment/>
      <protection/>
    </xf>
    <xf numFmtId="0" fontId="38" fillId="0" borderId="14" xfId="98" applyFont="1" applyBorder="1">
      <alignment/>
      <protection/>
    </xf>
    <xf numFmtId="3" fontId="38" fillId="0" borderId="14" xfId="98" applyNumberFormat="1" applyFont="1" applyFill="1" applyBorder="1">
      <alignment/>
      <protection/>
    </xf>
    <xf numFmtId="3" fontId="38" fillId="0" borderId="14" xfId="98" applyNumberFormat="1" applyFont="1" applyBorder="1">
      <alignment/>
      <protection/>
    </xf>
    <xf numFmtId="3" fontId="23" fillId="0" borderId="14" xfId="98" applyNumberFormat="1" applyFont="1" applyFill="1" applyBorder="1">
      <alignment/>
      <protection/>
    </xf>
    <xf numFmtId="3" fontId="23" fillId="0" borderId="14" xfId="98" applyNumberFormat="1" applyFont="1" applyBorder="1">
      <alignment/>
      <protection/>
    </xf>
    <xf numFmtId="3" fontId="23" fillId="0" borderId="71" xfId="98" applyNumberFormat="1" applyFont="1" applyBorder="1">
      <alignment/>
      <protection/>
    </xf>
    <xf numFmtId="0" fontId="23" fillId="0" borderId="0" xfId="98" applyFont="1" applyBorder="1" applyAlignment="1">
      <alignment horizontal="center" vertical="center" wrapText="1"/>
      <protection/>
    </xf>
    <xf numFmtId="0" fontId="23" fillId="0" borderId="0" xfId="98" applyFont="1" applyBorder="1" applyAlignment="1">
      <alignment wrapText="1"/>
      <protection/>
    </xf>
    <xf numFmtId="0" fontId="38" fillId="0" borderId="0" xfId="98" applyFont="1" applyFill="1" applyBorder="1" applyAlignment="1">
      <alignment horizontal="center" vertical="center"/>
      <protection/>
    </xf>
    <xf numFmtId="0" fontId="23" fillId="0" borderId="40" xfId="98" applyFont="1" applyFill="1" applyBorder="1" applyAlignment="1">
      <alignment horizontal="center" vertical="center"/>
      <protection/>
    </xf>
    <xf numFmtId="0" fontId="23" fillId="0" borderId="14" xfId="98" applyFont="1" applyFill="1" applyBorder="1" applyAlignment="1">
      <alignment horizontal="center" vertical="center" wrapText="1"/>
      <protection/>
    </xf>
    <xf numFmtId="0" fontId="23" fillId="0" borderId="153" xfId="98" applyFont="1" applyFill="1" applyBorder="1" applyAlignment="1">
      <alignment horizontal="center" vertical="center" wrapText="1"/>
      <protection/>
    </xf>
    <xf numFmtId="0" fontId="29" fillId="0" borderId="154" xfId="0" applyFont="1" applyFill="1" applyBorder="1" applyAlignment="1">
      <alignment/>
    </xf>
    <xf numFmtId="3" fontId="57" fillId="0" borderId="155" xfId="0" applyNumberFormat="1" applyFont="1" applyFill="1" applyBorder="1" applyAlignment="1">
      <alignment/>
    </xf>
    <xf numFmtId="0" fontId="29" fillId="0" borderId="155" xfId="0" applyFont="1" applyFill="1" applyBorder="1" applyAlignment="1">
      <alignment/>
    </xf>
    <xf numFmtId="3" fontId="58" fillId="0" borderId="155" xfId="0" applyNumberFormat="1" applyFont="1" applyFill="1" applyBorder="1" applyAlignment="1">
      <alignment/>
    </xf>
    <xf numFmtId="3" fontId="57" fillId="0" borderId="155" xfId="0" applyNumberFormat="1" applyFont="1" applyFill="1" applyBorder="1" applyAlignment="1">
      <alignment horizontal="right"/>
    </xf>
    <xf numFmtId="3" fontId="29" fillId="0" borderId="155" xfId="0" applyNumberFormat="1" applyFont="1" applyFill="1" applyBorder="1" applyAlignment="1">
      <alignment/>
    </xf>
    <xf numFmtId="3" fontId="30" fillId="0" borderId="155" xfId="0" applyNumberFormat="1" applyFont="1" applyFill="1" applyBorder="1" applyAlignment="1">
      <alignment horizontal="right"/>
    </xf>
    <xf numFmtId="3" fontId="29" fillId="0" borderId="155" xfId="0" applyNumberFormat="1" applyFont="1" applyFill="1" applyBorder="1" applyAlignment="1">
      <alignment horizontal="right"/>
    </xf>
    <xf numFmtId="3" fontId="30" fillId="0" borderId="155" xfId="0" applyNumberFormat="1" applyFont="1" applyFill="1" applyBorder="1" applyAlignment="1">
      <alignment/>
    </xf>
    <xf numFmtId="3" fontId="30" fillId="0" borderId="156" xfId="0" applyNumberFormat="1" applyFont="1" applyFill="1" applyBorder="1" applyAlignment="1">
      <alignment/>
    </xf>
    <xf numFmtId="0" fontId="50" fillId="0" borderId="119" xfId="93" applyFont="1" applyFill="1" applyBorder="1">
      <alignment/>
      <protection/>
    </xf>
    <xf numFmtId="1" fontId="38" fillId="0" borderId="157" xfId="93" applyNumberFormat="1" applyFont="1" applyFill="1" applyBorder="1" applyAlignment="1">
      <alignment horizontal="center"/>
      <protection/>
    </xf>
    <xf numFmtId="0" fontId="38" fillId="0" borderId="158" xfId="93" applyFont="1" applyFill="1" applyBorder="1" applyAlignment="1">
      <alignment/>
      <protection/>
    </xf>
    <xf numFmtId="3" fontId="38" fillId="0" borderId="137" xfId="93" applyNumberFormat="1" applyFont="1" applyFill="1" applyBorder="1" applyAlignment="1">
      <alignment horizontal="right"/>
      <protection/>
    </xf>
    <xf numFmtId="3" fontId="38" fillId="0" borderId="159" xfId="93" applyNumberFormat="1" applyFont="1" applyFill="1" applyBorder="1" applyAlignment="1">
      <alignment horizontal="right"/>
      <protection/>
    </xf>
    <xf numFmtId="0" fontId="38" fillId="0" borderId="0" xfId="93" applyFont="1" applyBorder="1" applyAlignment="1">
      <alignment horizontal="right"/>
      <protection/>
    </xf>
    <xf numFmtId="0" fontId="38" fillId="0" borderId="0" xfId="93" applyFont="1" applyBorder="1">
      <alignment/>
      <protection/>
    </xf>
    <xf numFmtId="0" fontId="50" fillId="0" borderId="0" xfId="93" applyFont="1" applyBorder="1" applyAlignment="1">
      <alignment horizontal="center"/>
      <protection/>
    </xf>
    <xf numFmtId="0" fontId="38" fillId="0" borderId="0" xfId="93" applyFont="1" applyBorder="1" applyAlignment="1">
      <alignment horizontal="center"/>
      <protection/>
    </xf>
    <xf numFmtId="3" fontId="38" fillId="0" borderId="0" xfId="93" applyNumberFormat="1" applyFont="1" applyBorder="1">
      <alignment/>
      <protection/>
    </xf>
    <xf numFmtId="0" fontId="40" fillId="0" borderId="98" xfId="93" applyFont="1" applyBorder="1">
      <alignment/>
      <protection/>
    </xf>
    <xf numFmtId="3" fontId="23" fillId="0" borderId="98" xfId="93" applyNumberFormat="1" applyFont="1" applyBorder="1">
      <alignment/>
      <protection/>
    </xf>
    <xf numFmtId="3" fontId="23" fillId="0" borderId="151" xfId="93" applyNumberFormat="1" applyFont="1" applyBorder="1">
      <alignment/>
      <protection/>
    </xf>
    <xf numFmtId="2" fontId="38" fillId="0" borderId="73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wrapText="1"/>
    </xf>
    <xf numFmtId="3" fontId="23" fillId="0" borderId="98" xfId="93" applyNumberFormat="1" applyFont="1" applyFill="1" applyBorder="1">
      <alignment/>
      <protection/>
    </xf>
    <xf numFmtId="3" fontId="23" fillId="0" borderId="98" xfId="93" applyNumberFormat="1" applyFont="1" applyFill="1" applyBorder="1" applyAlignment="1">
      <alignment/>
      <protection/>
    </xf>
    <xf numFmtId="3" fontId="23" fillId="0" borderId="151" xfId="93" applyNumberFormat="1" applyFont="1" applyFill="1" applyBorder="1" applyAlignment="1">
      <alignment/>
      <protection/>
    </xf>
    <xf numFmtId="0" fontId="50" fillId="0" borderId="139" xfId="93" applyFont="1" applyFill="1" applyBorder="1" applyAlignment="1">
      <alignment horizontal="left"/>
      <protection/>
    </xf>
    <xf numFmtId="3" fontId="23" fillId="0" borderId="160" xfId="93" applyNumberFormat="1" applyFont="1" applyFill="1" applyBorder="1" applyAlignment="1">
      <alignment horizontal="right" vertical="center"/>
      <protection/>
    </xf>
    <xf numFmtId="3" fontId="23" fillId="0" borderId="136" xfId="93" applyNumberFormat="1" applyFont="1" applyFill="1" applyBorder="1" applyAlignment="1">
      <alignment horizontal="right" vertical="center"/>
      <protection/>
    </xf>
    <xf numFmtId="1" fontId="23" fillId="0" borderId="65" xfId="92" applyNumberFormat="1" applyFont="1" applyFill="1" applyBorder="1" applyAlignment="1">
      <alignment horizontal="center" vertical="center"/>
      <protection/>
    </xf>
    <xf numFmtId="0" fontId="38" fillId="0" borderId="64" xfId="93" applyFont="1" applyBorder="1">
      <alignment/>
      <protection/>
    </xf>
    <xf numFmtId="1" fontId="23" fillId="0" borderId="60" xfId="92" applyNumberFormat="1" applyFont="1" applyBorder="1" applyAlignment="1">
      <alignment horizontal="left" vertical="center"/>
      <protection/>
    </xf>
    <xf numFmtId="0" fontId="40" fillId="0" borderId="60" xfId="93" applyFont="1" applyBorder="1">
      <alignment/>
      <protection/>
    </xf>
    <xf numFmtId="3" fontId="23" fillId="0" borderId="60" xfId="93" applyNumberFormat="1" applyFont="1" applyBorder="1">
      <alignment/>
      <protection/>
    </xf>
    <xf numFmtId="3" fontId="23" fillId="0" borderId="66" xfId="93" applyNumberFormat="1" applyFont="1" applyBorder="1">
      <alignment/>
      <protection/>
    </xf>
    <xf numFmtId="0" fontId="38" fillId="0" borderId="38" xfId="93" applyFont="1" applyBorder="1">
      <alignment/>
      <protection/>
    </xf>
    <xf numFmtId="0" fontId="38" fillId="0" borderId="55" xfId="93" applyFont="1" applyBorder="1">
      <alignment/>
      <protection/>
    </xf>
    <xf numFmtId="0" fontId="38" fillId="0" borderId="98" xfId="93" applyFont="1" applyBorder="1">
      <alignment/>
      <protection/>
    </xf>
    <xf numFmtId="0" fontId="23" fillId="0" borderId="38" xfId="93" applyFont="1" applyBorder="1">
      <alignment/>
      <protection/>
    </xf>
    <xf numFmtId="0" fontId="40" fillId="0" borderId="60" xfId="99" applyFont="1" applyFill="1" applyBorder="1" applyAlignment="1">
      <alignment horizontal="left" vertical="center"/>
      <protection/>
    </xf>
    <xf numFmtId="3" fontId="23" fillId="0" borderId="60" xfId="99" applyNumberFormat="1" applyFont="1" applyFill="1" applyBorder="1" applyAlignment="1">
      <alignment horizontal="right" vertical="center"/>
      <protection/>
    </xf>
    <xf numFmtId="3" fontId="23" fillId="0" borderId="66" xfId="99" applyNumberFormat="1" applyFont="1" applyFill="1" applyBorder="1" applyAlignment="1">
      <alignment horizontal="right" vertical="center"/>
      <protection/>
    </xf>
    <xf numFmtId="3" fontId="23" fillId="0" borderId="38" xfId="99" applyNumberFormat="1" applyFont="1" applyFill="1" applyBorder="1" applyAlignment="1">
      <alignment horizontal="right" vertical="center"/>
      <protection/>
    </xf>
    <xf numFmtId="3" fontId="23" fillId="0" borderId="55" xfId="99" applyNumberFormat="1" applyFont="1" applyFill="1" applyBorder="1" applyAlignment="1">
      <alignment horizontal="right" vertical="center"/>
      <protection/>
    </xf>
    <xf numFmtId="0" fontId="23" fillId="0" borderId="38" xfId="99" applyFont="1" applyFill="1" applyBorder="1" applyAlignment="1">
      <alignment vertical="center" wrapText="1"/>
      <protection/>
    </xf>
    <xf numFmtId="3" fontId="23" fillId="0" borderId="38" xfId="99" applyNumberFormat="1" applyFont="1" applyFill="1" applyBorder="1" applyAlignment="1">
      <alignment vertical="center"/>
      <protection/>
    </xf>
    <xf numFmtId="3" fontId="23" fillId="0" borderId="55" xfId="99" applyNumberFormat="1" applyFont="1" applyFill="1" applyBorder="1" applyAlignment="1">
      <alignment vertical="center"/>
      <protection/>
    </xf>
    <xf numFmtId="0" fontId="40" fillId="0" borderId="0" xfId="101" applyFont="1" applyFill="1" applyBorder="1" applyAlignment="1">
      <alignment horizontal="center" vertical="center"/>
      <protection/>
    </xf>
    <xf numFmtId="3" fontId="23" fillId="0" borderId="60" xfId="99" applyNumberFormat="1" applyFont="1" applyFill="1" applyBorder="1" applyAlignment="1">
      <alignment vertical="center"/>
      <protection/>
    </xf>
    <xf numFmtId="3" fontId="23" fillId="0" borderId="38" xfId="99" applyNumberFormat="1" applyFont="1" applyFill="1" applyBorder="1" applyAlignment="1">
      <alignment vertical="center"/>
      <protection/>
    </xf>
    <xf numFmtId="3" fontId="38" fillId="0" borderId="0" xfId="93" applyNumberFormat="1" applyFont="1" applyBorder="1" applyAlignment="1">
      <alignment horizontal="right"/>
      <protection/>
    </xf>
    <xf numFmtId="0" fontId="38" fillId="0" borderId="99" xfId="93" applyFont="1" applyBorder="1">
      <alignment/>
      <protection/>
    </xf>
    <xf numFmtId="0" fontId="38" fillId="0" borderId="99" xfId="93" applyFont="1" applyBorder="1" applyAlignment="1">
      <alignment horizontal="right"/>
      <protection/>
    </xf>
    <xf numFmtId="0" fontId="50" fillId="0" borderId="99" xfId="93" applyFont="1" applyBorder="1" applyAlignment="1">
      <alignment horizontal="center"/>
      <protection/>
    </xf>
    <xf numFmtId="0" fontId="38" fillId="0" borderId="99" xfId="93" applyFont="1" applyBorder="1" applyAlignment="1">
      <alignment horizontal="center"/>
      <protection/>
    </xf>
    <xf numFmtId="3" fontId="23" fillId="0" borderId="99" xfId="93" applyNumberFormat="1" applyFont="1" applyBorder="1" applyAlignment="1">
      <alignment horizontal="right"/>
      <protection/>
    </xf>
    <xf numFmtId="3" fontId="23" fillId="0" borderId="98" xfId="99" applyNumberFormat="1" applyFont="1" applyFill="1" applyBorder="1" applyAlignment="1">
      <alignment vertical="center"/>
      <protection/>
    </xf>
    <xf numFmtId="3" fontId="23" fillId="0" borderId="151" xfId="99" applyNumberFormat="1" applyFont="1" applyFill="1" applyBorder="1" applyAlignment="1">
      <alignment vertical="center"/>
      <protection/>
    </xf>
    <xf numFmtId="0" fontId="23" fillId="0" borderId="161" xfId="92" applyFont="1" applyFill="1" applyBorder="1" applyAlignment="1">
      <alignment horizontal="center" vertical="center"/>
      <protection/>
    </xf>
    <xf numFmtId="0" fontId="23" fillId="0" borderId="162" xfId="93" applyFont="1" applyFill="1" applyBorder="1" applyAlignment="1">
      <alignment horizontal="center" vertical="center"/>
      <protection/>
    </xf>
    <xf numFmtId="0" fontId="23" fillId="0" borderId="163" xfId="93" applyFont="1" applyFill="1" applyBorder="1" applyAlignment="1">
      <alignment horizontal="center" vertical="center"/>
      <protection/>
    </xf>
    <xf numFmtId="0" fontId="23" fillId="0" borderId="164" xfId="93" applyFont="1" applyFill="1" applyBorder="1" applyAlignment="1">
      <alignment horizontal="center" vertical="center"/>
      <protection/>
    </xf>
    <xf numFmtId="0" fontId="23" fillId="0" borderId="165" xfId="93" applyFont="1" applyFill="1" applyBorder="1" applyAlignment="1">
      <alignment horizontal="center" vertical="center"/>
      <protection/>
    </xf>
    <xf numFmtId="0" fontId="23" fillId="0" borderId="166" xfId="92" applyFont="1" applyFill="1" applyBorder="1" applyAlignment="1">
      <alignment horizontal="center" vertical="center"/>
      <protection/>
    </xf>
    <xf numFmtId="0" fontId="51" fillId="0" borderId="0" xfId="93" applyFont="1" applyFill="1" applyBorder="1" applyAlignment="1">
      <alignment horizontal="center"/>
      <protection/>
    </xf>
    <xf numFmtId="0" fontId="23" fillId="0" borderId="167" xfId="93" applyFont="1" applyFill="1" applyBorder="1" applyAlignment="1">
      <alignment horizontal="center" vertical="center"/>
      <protection/>
    </xf>
    <xf numFmtId="0" fontId="23" fillId="0" borderId="168" xfId="93" applyFont="1" applyFill="1" applyBorder="1" applyAlignment="1">
      <alignment horizontal="center" vertical="center"/>
      <protection/>
    </xf>
    <xf numFmtId="0" fontId="23" fillId="0" borderId="55" xfId="93" applyFont="1" applyFill="1" applyBorder="1" applyAlignment="1">
      <alignment horizontal="left"/>
      <protection/>
    </xf>
    <xf numFmtId="0" fontId="23" fillId="0" borderId="38" xfId="93" applyFont="1" applyFill="1" applyBorder="1" applyAlignment="1">
      <alignment horizontal="left"/>
      <protection/>
    </xf>
    <xf numFmtId="0" fontId="23" fillId="0" borderId="55" xfId="93" applyFont="1" applyFill="1" applyBorder="1" applyAlignment="1">
      <alignment horizontal="left"/>
      <protection/>
    </xf>
    <xf numFmtId="0" fontId="23" fillId="0" borderId="0" xfId="93" applyFont="1" applyFill="1" applyAlignment="1">
      <alignment/>
      <protection/>
    </xf>
    <xf numFmtId="0" fontId="0" fillId="0" borderId="0" xfId="0" applyFont="1" applyFill="1" applyAlignment="1">
      <alignment/>
    </xf>
    <xf numFmtId="0" fontId="46" fillId="0" borderId="0" xfId="93" applyFont="1" applyFill="1" applyBorder="1" applyAlignment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61" fillId="0" borderId="0" xfId="0" applyFont="1" applyAlignment="1">
      <alignment/>
    </xf>
    <xf numFmtId="0" fontId="41" fillId="0" borderId="40" xfId="0" applyFont="1" applyBorder="1" applyAlignment="1">
      <alignment horizontal="center" vertical="center" wrapText="1"/>
    </xf>
    <xf numFmtId="0" fontId="23" fillId="0" borderId="38" xfId="93" applyFont="1" applyFill="1" applyBorder="1" applyAlignment="1">
      <alignment horizontal="left"/>
      <protection/>
    </xf>
    <xf numFmtId="0" fontId="41" fillId="0" borderId="92" xfId="0" applyFont="1" applyBorder="1" applyAlignment="1">
      <alignment horizontal="center" vertical="center"/>
    </xf>
    <xf numFmtId="0" fontId="41" fillId="0" borderId="130" xfId="0" applyFont="1" applyBorder="1" applyAlignment="1">
      <alignment horizontal="center" vertical="center" wrapText="1"/>
    </xf>
    <xf numFmtId="0" fontId="30" fillId="0" borderId="0" xfId="0" applyFont="1" applyAlignment="1">
      <alignment horizontal="center" shrinkToFit="1"/>
    </xf>
    <xf numFmtId="0" fontId="41" fillId="0" borderId="169" xfId="0" applyFont="1" applyBorder="1" applyAlignment="1">
      <alignment horizontal="center" vertical="center"/>
    </xf>
    <xf numFmtId="0" fontId="41" fillId="0" borderId="17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6" fillId="0" borderId="13" xfId="0" applyNumberFormat="1" applyFont="1" applyBorder="1" applyAlignment="1">
      <alignment horizontal="left" wrapText="1"/>
    </xf>
    <xf numFmtId="49" fontId="26" fillId="0" borderId="14" xfId="0" applyNumberFormat="1" applyFont="1" applyBorder="1" applyAlignment="1">
      <alignment horizontal="left" wrapText="1"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170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170" xfId="0" applyFont="1" applyBorder="1" applyAlignment="1">
      <alignment horizontal="center"/>
    </xf>
    <xf numFmtId="0" fontId="22" fillId="0" borderId="92" xfId="0" applyFont="1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22" fillId="0" borderId="68" xfId="0" applyFont="1" applyBorder="1" applyAlignment="1">
      <alignment horizontal="left"/>
    </xf>
    <xf numFmtId="0" fontId="22" fillId="0" borderId="28" xfId="0" applyFont="1" applyBorder="1" applyAlignment="1">
      <alignment horizontal="left" wrapText="1"/>
    </xf>
    <xf numFmtId="0" fontId="0" fillId="0" borderId="68" xfId="0" applyBorder="1" applyAlignment="1">
      <alignment horizontal="left" wrapText="1"/>
    </xf>
    <xf numFmtId="0" fontId="20" fillId="0" borderId="0" xfId="100" applyFont="1" applyAlignment="1">
      <alignment horizontal="center"/>
      <protection/>
    </xf>
    <xf numFmtId="0" fontId="20" fillId="0" borderId="25" xfId="100" applyFont="1" applyBorder="1" applyAlignment="1">
      <alignment horizontal="center"/>
      <protection/>
    </xf>
    <xf numFmtId="0" fontId="20" fillId="0" borderId="170" xfId="100" applyFont="1" applyBorder="1" applyAlignment="1">
      <alignment horizontal="center"/>
      <protection/>
    </xf>
    <xf numFmtId="0" fontId="20" fillId="0" borderId="92" xfId="100" applyFont="1" applyBorder="1" applyAlignment="1">
      <alignment horizontal="center"/>
      <protection/>
    </xf>
    <xf numFmtId="0" fontId="41" fillId="0" borderId="169" xfId="0" applyFont="1" applyBorder="1" applyAlignment="1">
      <alignment horizontal="center" vertical="center" wrapText="1"/>
    </xf>
    <xf numFmtId="0" fontId="41" fillId="0" borderId="170" xfId="0" applyFont="1" applyBorder="1" applyAlignment="1">
      <alignment horizontal="center" vertical="center" wrapText="1"/>
    </xf>
    <xf numFmtId="0" fontId="23" fillId="0" borderId="171" xfId="92" applyFont="1" applyFill="1" applyBorder="1" applyAlignment="1">
      <alignment horizontal="center" vertical="center"/>
      <protection/>
    </xf>
    <xf numFmtId="0" fontId="23" fillId="0" borderId="166" xfId="93" applyFont="1" applyFill="1" applyBorder="1" applyAlignment="1">
      <alignment horizontal="center" vertical="center"/>
      <protection/>
    </xf>
    <xf numFmtId="0" fontId="23" fillId="0" borderId="161" xfId="93" applyFont="1" applyFill="1" applyBorder="1" applyAlignment="1">
      <alignment horizontal="center" vertical="center"/>
      <protection/>
    </xf>
    <xf numFmtId="0" fontId="23" fillId="0" borderId="171" xfId="93" applyFont="1" applyFill="1" applyBorder="1" applyAlignment="1">
      <alignment horizontal="center" vertical="center"/>
      <protection/>
    </xf>
    <xf numFmtId="0" fontId="23" fillId="0" borderId="39" xfId="93" applyFont="1" applyFill="1" applyBorder="1" applyAlignment="1">
      <alignment horizontal="center"/>
      <protection/>
    </xf>
    <xf numFmtId="0" fontId="23" fillId="0" borderId="172" xfId="93" applyFont="1" applyFill="1" applyBorder="1" applyAlignment="1">
      <alignment horizontal="center" vertical="center" wrapText="1"/>
      <protection/>
    </xf>
    <xf numFmtId="0" fontId="23" fillId="0" borderId="98" xfId="93" applyFont="1" applyFill="1" applyBorder="1" applyAlignment="1">
      <alignment horizontal="center" vertical="center" wrapText="1"/>
      <protection/>
    </xf>
    <xf numFmtId="0" fontId="50" fillId="0" borderId="173" xfId="93" applyFont="1" applyFill="1" applyBorder="1" applyAlignment="1">
      <alignment horizontal="center"/>
      <protection/>
    </xf>
    <xf numFmtId="0" fontId="50" fillId="0" borderId="147" xfId="93" applyFont="1" applyFill="1" applyBorder="1" applyAlignment="1">
      <alignment horizontal="center"/>
      <protection/>
    </xf>
    <xf numFmtId="0" fontId="50" fillId="0" borderId="139" xfId="93" applyFont="1" applyFill="1" applyBorder="1" applyAlignment="1">
      <alignment horizontal="center"/>
      <protection/>
    </xf>
    <xf numFmtId="0" fontId="40" fillId="0" borderId="174" xfId="93" applyFont="1" applyFill="1" applyBorder="1" applyAlignment="1">
      <alignment horizontal="center" vertical="center" wrapText="1"/>
      <protection/>
    </xf>
    <xf numFmtId="0" fontId="40" fillId="0" borderId="175" xfId="93" applyFont="1" applyFill="1" applyBorder="1" applyAlignment="1">
      <alignment horizontal="center" vertical="center" wrapText="1"/>
      <protection/>
    </xf>
    <xf numFmtId="0" fontId="40" fillId="0" borderId="143" xfId="93" applyFont="1" applyFill="1" applyBorder="1" applyAlignment="1">
      <alignment horizontal="center" vertical="center" wrapText="1"/>
      <protection/>
    </xf>
    <xf numFmtId="3" fontId="23" fillId="0" borderId="176" xfId="93" applyNumberFormat="1" applyFont="1" applyFill="1" applyBorder="1" applyAlignment="1">
      <alignment horizontal="center" vertical="center" wrapText="1"/>
      <protection/>
    </xf>
    <xf numFmtId="3" fontId="23" fillId="0" borderId="177" xfId="93" applyNumberFormat="1" applyFont="1" applyFill="1" applyBorder="1" applyAlignment="1">
      <alignment horizontal="center" vertical="center" wrapText="1"/>
      <protection/>
    </xf>
    <xf numFmtId="3" fontId="23" fillId="0" borderId="178" xfId="93" applyNumberFormat="1" applyFont="1" applyFill="1" applyBorder="1" applyAlignment="1">
      <alignment horizontal="center" vertical="center" wrapText="1"/>
      <protection/>
    </xf>
    <xf numFmtId="0" fontId="23" fillId="0" borderId="172" xfId="93" applyFont="1" applyFill="1" applyBorder="1" applyAlignment="1">
      <alignment horizontal="center" vertical="center"/>
      <protection/>
    </xf>
    <xf numFmtId="0" fontId="23" fillId="0" borderId="98" xfId="93" applyFont="1" applyFill="1" applyBorder="1" applyAlignment="1">
      <alignment horizontal="center" vertical="center"/>
      <protection/>
    </xf>
    <xf numFmtId="0" fontId="23" fillId="0" borderId="166" xfId="93" applyFont="1" applyFill="1" applyBorder="1" applyAlignment="1">
      <alignment horizontal="center" vertical="center" wrapText="1"/>
      <protection/>
    </xf>
    <xf numFmtId="0" fontId="23" fillId="0" borderId="161" xfId="93" applyFont="1" applyFill="1" applyBorder="1" applyAlignment="1">
      <alignment horizontal="center" vertical="center" wrapText="1"/>
      <protection/>
    </xf>
    <xf numFmtId="0" fontId="23" fillId="0" borderId="171" xfId="93" applyFont="1" applyFill="1" applyBorder="1" applyAlignment="1">
      <alignment horizontal="center" vertical="center" wrapText="1"/>
      <protection/>
    </xf>
    <xf numFmtId="0" fontId="23" fillId="0" borderId="60" xfId="93" applyFont="1" applyFill="1" applyBorder="1" applyAlignment="1">
      <alignment horizontal="left"/>
      <protection/>
    </xf>
    <xf numFmtId="0" fontId="27" fillId="0" borderId="38" xfId="0" applyFont="1" applyFill="1" applyBorder="1" applyAlignment="1">
      <alignment horizontal="left"/>
    </xf>
    <xf numFmtId="1" fontId="23" fillId="0" borderId="58" xfId="92" applyNumberFormat="1" applyFont="1" applyFill="1" applyBorder="1" applyAlignment="1">
      <alignment horizontal="left" vertical="center"/>
      <protection/>
    </xf>
    <xf numFmtId="1" fontId="23" fillId="0" borderId="59" xfId="92" applyNumberFormat="1" applyFont="1" applyFill="1" applyBorder="1" applyAlignment="1">
      <alignment horizontal="left" vertical="center"/>
      <protection/>
    </xf>
    <xf numFmtId="0" fontId="38" fillId="0" borderId="63" xfId="93" applyFont="1" applyFill="1" applyBorder="1" applyAlignment="1">
      <alignment horizontal="center"/>
      <protection/>
    </xf>
    <xf numFmtId="0" fontId="38" fillId="0" borderId="54" xfId="93" applyFont="1" applyFill="1" applyBorder="1" applyAlignment="1">
      <alignment horizontal="center"/>
      <protection/>
    </xf>
    <xf numFmtId="0" fontId="38" fillId="0" borderId="65" xfId="93" applyFont="1" applyFill="1" applyBorder="1" applyAlignment="1">
      <alignment horizontal="center"/>
      <protection/>
    </xf>
    <xf numFmtId="3" fontId="23" fillId="0" borderId="179" xfId="93" applyNumberFormat="1" applyFont="1" applyFill="1" applyBorder="1" applyAlignment="1">
      <alignment horizontal="center" vertical="center" wrapText="1"/>
      <protection/>
    </xf>
    <xf numFmtId="3" fontId="23" fillId="0" borderId="180" xfId="93" applyNumberFormat="1" applyFont="1" applyFill="1" applyBorder="1" applyAlignment="1">
      <alignment horizontal="center" vertical="center" wrapText="1"/>
      <protection/>
    </xf>
    <xf numFmtId="3" fontId="23" fillId="0" borderId="181" xfId="93" applyNumberFormat="1" applyFont="1" applyFill="1" applyBorder="1" applyAlignment="1">
      <alignment horizontal="center" vertical="center" wrapText="1"/>
      <protection/>
    </xf>
    <xf numFmtId="0" fontId="51" fillId="0" borderId="0" xfId="93" applyFont="1" applyBorder="1" applyAlignment="1">
      <alignment horizontal="center"/>
      <protection/>
    </xf>
    <xf numFmtId="0" fontId="38" fillId="0" borderId="173" xfId="93" applyFont="1" applyBorder="1" applyAlignment="1">
      <alignment horizontal="center"/>
      <protection/>
    </xf>
    <xf numFmtId="0" fontId="38" fillId="0" borderId="147" xfId="93" applyFont="1" applyBorder="1" applyAlignment="1">
      <alignment horizontal="center"/>
      <protection/>
    </xf>
    <xf numFmtId="0" fontId="38" fillId="0" borderId="139" xfId="93" applyFont="1" applyBorder="1" applyAlignment="1">
      <alignment horizontal="center"/>
      <protection/>
    </xf>
    <xf numFmtId="0" fontId="46" fillId="0" borderId="0" xfId="93" applyFont="1" applyBorder="1" applyAlignment="1">
      <alignment horizontal="center"/>
      <protection/>
    </xf>
    <xf numFmtId="0" fontId="23" fillId="0" borderId="172" xfId="93" applyFont="1" applyBorder="1" applyAlignment="1">
      <alignment horizontal="center" vertical="center"/>
      <protection/>
    </xf>
    <xf numFmtId="0" fontId="23" fillId="0" borderId="98" xfId="93" applyFont="1" applyBorder="1" applyAlignment="1">
      <alignment horizontal="center" vertical="center"/>
      <protection/>
    </xf>
    <xf numFmtId="3" fontId="23" fillId="0" borderId="179" xfId="93" applyNumberFormat="1" applyFont="1" applyBorder="1" applyAlignment="1">
      <alignment horizontal="center" vertical="center" wrapText="1"/>
      <protection/>
    </xf>
    <xf numFmtId="3" fontId="23" fillId="0" borderId="180" xfId="93" applyNumberFormat="1" applyFont="1" applyBorder="1" applyAlignment="1">
      <alignment horizontal="center" vertical="center" wrapText="1"/>
      <protection/>
    </xf>
    <xf numFmtId="3" fontId="23" fillId="0" borderId="181" xfId="93" applyNumberFormat="1" applyFont="1" applyBorder="1" applyAlignment="1">
      <alignment horizontal="center" vertical="center" wrapText="1"/>
      <protection/>
    </xf>
    <xf numFmtId="0" fontId="23" fillId="0" borderId="166" xfId="93" applyFont="1" applyBorder="1" applyAlignment="1">
      <alignment horizontal="center" vertical="center" wrapText="1"/>
      <protection/>
    </xf>
    <xf numFmtId="0" fontId="23" fillId="0" borderId="161" xfId="93" applyFont="1" applyBorder="1" applyAlignment="1">
      <alignment horizontal="center" vertical="center" wrapText="1"/>
      <protection/>
    </xf>
    <xf numFmtId="0" fontId="23" fillId="0" borderId="171" xfId="93" applyFont="1" applyBorder="1" applyAlignment="1">
      <alignment horizontal="center" vertical="center" wrapText="1"/>
      <protection/>
    </xf>
    <xf numFmtId="0" fontId="23" fillId="0" borderId="39" xfId="93" applyFont="1" applyBorder="1" applyAlignment="1">
      <alignment horizontal="center"/>
      <protection/>
    </xf>
    <xf numFmtId="1" fontId="23" fillId="0" borderId="38" xfId="92" applyNumberFormat="1" applyFont="1" applyBorder="1" applyAlignment="1">
      <alignment horizontal="left" vertical="center"/>
      <protection/>
    </xf>
    <xf numFmtId="0" fontId="23" fillId="0" borderId="172" xfId="93" applyFont="1" applyBorder="1" applyAlignment="1">
      <alignment horizontal="center" vertical="center" wrapText="1"/>
      <protection/>
    </xf>
    <xf numFmtId="0" fontId="23" fillId="0" borderId="98" xfId="93" applyFont="1" applyBorder="1" applyAlignment="1">
      <alignment horizontal="center" vertical="center" wrapText="1"/>
      <protection/>
    </xf>
    <xf numFmtId="0" fontId="23" fillId="0" borderId="167" xfId="93" applyFont="1" applyBorder="1" applyAlignment="1">
      <alignment horizontal="center" vertical="center"/>
      <protection/>
    </xf>
    <xf numFmtId="0" fontId="23" fillId="0" borderId="168" xfId="93" applyFont="1" applyBorder="1" applyAlignment="1">
      <alignment horizontal="center" vertical="center"/>
      <protection/>
    </xf>
    <xf numFmtId="0" fontId="23" fillId="0" borderId="162" xfId="93" applyFont="1" applyBorder="1" applyAlignment="1">
      <alignment horizontal="center" vertical="center"/>
      <protection/>
    </xf>
    <xf numFmtId="0" fontId="23" fillId="0" borderId="163" xfId="93" applyFont="1" applyBorder="1" applyAlignment="1">
      <alignment horizontal="center" vertical="center"/>
      <protection/>
    </xf>
    <xf numFmtId="0" fontId="23" fillId="0" borderId="164" xfId="93" applyFont="1" applyBorder="1" applyAlignment="1">
      <alignment horizontal="center" vertical="center"/>
      <protection/>
    </xf>
    <xf numFmtId="0" fontId="23" fillId="0" borderId="165" xfId="93" applyFont="1" applyBorder="1" applyAlignment="1">
      <alignment horizontal="center" vertical="center"/>
      <protection/>
    </xf>
    <xf numFmtId="0" fontId="23" fillId="0" borderId="166" xfId="92" applyFont="1" applyBorder="1" applyAlignment="1">
      <alignment horizontal="center" vertical="center"/>
      <protection/>
    </xf>
    <xf numFmtId="0" fontId="23" fillId="0" borderId="161" xfId="92" applyFont="1" applyBorder="1" applyAlignment="1">
      <alignment horizontal="center" vertical="center"/>
      <protection/>
    </xf>
    <xf numFmtId="0" fontId="23" fillId="0" borderId="171" xfId="92" applyFont="1" applyBorder="1" applyAlignment="1">
      <alignment horizontal="center" vertical="center"/>
      <protection/>
    </xf>
    <xf numFmtId="0" fontId="23" fillId="0" borderId="166" xfId="93" applyFont="1" applyBorder="1" applyAlignment="1">
      <alignment horizontal="center" vertical="center"/>
      <protection/>
    </xf>
    <xf numFmtId="0" fontId="23" fillId="0" borderId="161" xfId="93" applyFont="1" applyBorder="1" applyAlignment="1">
      <alignment horizontal="center" vertical="center"/>
      <protection/>
    </xf>
    <xf numFmtId="0" fontId="23" fillId="0" borderId="171" xfId="93" applyFont="1" applyBorder="1" applyAlignment="1">
      <alignment horizontal="center" vertical="center"/>
      <protection/>
    </xf>
    <xf numFmtId="0" fontId="23" fillId="0" borderId="81" xfId="93" applyFont="1" applyFill="1" applyBorder="1" applyAlignment="1">
      <alignment horizontal="left"/>
      <protection/>
    </xf>
    <xf numFmtId="0" fontId="23" fillId="0" borderId="90" xfId="93" applyFont="1" applyFill="1" applyBorder="1" applyAlignment="1">
      <alignment horizontal="left"/>
      <protection/>
    </xf>
    <xf numFmtId="0" fontId="23" fillId="0" borderId="87" xfId="93" applyFont="1" applyFill="1" applyBorder="1" applyAlignment="1">
      <alignment horizontal="left"/>
      <protection/>
    </xf>
    <xf numFmtId="0" fontId="23" fillId="0" borderId="54" xfId="93" applyFont="1" applyFill="1" applyBorder="1" applyAlignment="1">
      <alignment horizontal="left"/>
      <protection/>
    </xf>
    <xf numFmtId="0" fontId="38" fillId="0" borderId="81" xfId="93" applyFont="1" applyFill="1" applyBorder="1" applyAlignment="1">
      <alignment horizontal="center"/>
      <protection/>
    </xf>
    <xf numFmtId="0" fontId="38" fillId="0" borderId="90" xfId="93" applyFont="1" applyFill="1" applyBorder="1" applyAlignment="1">
      <alignment horizontal="center"/>
      <protection/>
    </xf>
    <xf numFmtId="0" fontId="38" fillId="0" borderId="87" xfId="93" applyFont="1" applyFill="1" applyBorder="1" applyAlignment="1">
      <alignment horizontal="center"/>
      <protection/>
    </xf>
    <xf numFmtId="0" fontId="23" fillId="0" borderId="182" xfId="93" applyFont="1" applyFill="1" applyBorder="1" applyAlignment="1">
      <alignment horizontal="left" vertical="center"/>
      <protection/>
    </xf>
    <xf numFmtId="0" fontId="23" fillId="0" borderId="148" xfId="93" applyFont="1" applyFill="1" applyBorder="1" applyAlignment="1">
      <alignment horizontal="left" vertical="center"/>
      <protection/>
    </xf>
    <xf numFmtId="0" fontId="23" fillId="0" borderId="183" xfId="93" applyFont="1" applyFill="1" applyBorder="1" applyAlignment="1">
      <alignment horizontal="left" vertical="center"/>
      <protection/>
    </xf>
    <xf numFmtId="1" fontId="23" fillId="0" borderId="81" xfId="92" applyNumberFormat="1" applyFont="1" applyFill="1" applyBorder="1" applyAlignment="1">
      <alignment horizontal="left" vertical="center"/>
      <protection/>
    </xf>
    <xf numFmtId="1" fontId="23" fillId="0" borderId="90" xfId="92" applyNumberFormat="1" applyFont="1" applyFill="1" applyBorder="1" applyAlignment="1">
      <alignment horizontal="left" vertical="center"/>
      <protection/>
    </xf>
    <xf numFmtId="1" fontId="23" fillId="0" borderId="87" xfId="92" applyNumberFormat="1" applyFont="1" applyFill="1" applyBorder="1" applyAlignment="1">
      <alignment horizontal="left" vertical="center"/>
      <protection/>
    </xf>
    <xf numFmtId="0" fontId="23" fillId="0" borderId="184" xfId="93" applyFont="1" applyFill="1" applyBorder="1" applyAlignment="1">
      <alignment horizontal="left"/>
      <protection/>
    </xf>
    <xf numFmtId="0" fontId="23" fillId="0" borderId="185" xfId="93" applyFont="1" applyFill="1" applyBorder="1" applyAlignment="1">
      <alignment horizontal="left"/>
      <protection/>
    </xf>
    <xf numFmtId="0" fontId="23" fillId="0" borderId="61" xfId="93" applyFont="1" applyFill="1" applyBorder="1" applyAlignment="1">
      <alignment horizontal="left"/>
      <protection/>
    </xf>
    <xf numFmtId="0" fontId="38" fillId="0" borderId="0" xfId="98" applyFont="1" applyFill="1" applyBorder="1" applyAlignment="1">
      <alignment horizontal="center" vertical="center"/>
      <protection/>
    </xf>
    <xf numFmtId="0" fontId="23" fillId="0" borderId="40" xfId="98" applyFont="1" applyFill="1" applyBorder="1" applyAlignment="1">
      <alignment horizontal="center" vertical="center" wrapText="1"/>
      <protection/>
    </xf>
    <xf numFmtId="0" fontId="23" fillId="0" borderId="14" xfId="98" applyFont="1" applyFill="1" applyBorder="1" applyAlignment="1">
      <alignment horizontal="center" vertical="center" wrapText="1"/>
      <protection/>
    </xf>
    <xf numFmtId="0" fontId="23" fillId="0" borderId="152" xfId="98" applyFont="1" applyFill="1" applyBorder="1" applyAlignment="1">
      <alignment horizontal="center" vertical="center" wrapText="1"/>
      <protection/>
    </xf>
    <xf numFmtId="0" fontId="23" fillId="0" borderId="71" xfId="98" applyFont="1" applyFill="1" applyBorder="1" applyAlignment="1">
      <alignment horizontal="center" vertical="center" wrapText="1"/>
      <protection/>
    </xf>
    <xf numFmtId="0" fontId="23" fillId="0" borderId="40" xfId="98" applyFont="1" applyFill="1" applyBorder="1" applyAlignment="1">
      <alignment horizontal="center" vertical="center"/>
      <protection/>
    </xf>
    <xf numFmtId="0" fontId="38" fillId="0" borderId="13" xfId="98" applyFont="1" applyBorder="1" applyAlignment="1">
      <alignment horizontal="center" vertical="center" wrapText="1"/>
      <protection/>
    </xf>
    <xf numFmtId="3" fontId="38" fillId="0" borderId="64" xfId="99" applyNumberFormat="1" applyFont="1" applyFill="1" applyBorder="1" applyAlignment="1">
      <alignment horizontal="center" vertical="center"/>
      <protection/>
    </xf>
    <xf numFmtId="3" fontId="38" fillId="0" borderId="147" xfId="99" applyNumberFormat="1" applyFont="1" applyFill="1" applyBorder="1" applyAlignment="1">
      <alignment horizontal="center" vertical="center"/>
      <protection/>
    </xf>
    <xf numFmtId="0" fontId="38" fillId="0" borderId="49" xfId="0" applyFont="1" applyBorder="1" applyAlignment="1">
      <alignment horizontal="center" vertical="center"/>
    </xf>
    <xf numFmtId="0" fontId="37" fillId="0" borderId="62" xfId="99" applyFont="1" applyFill="1" applyBorder="1" applyAlignment="1">
      <alignment horizontal="center" vertical="center"/>
      <protection/>
    </xf>
    <xf numFmtId="0" fontId="37" fillId="0" borderId="185" xfId="99" applyFont="1" applyFill="1" applyBorder="1" applyAlignment="1">
      <alignment horizontal="center" vertical="center"/>
      <protection/>
    </xf>
    <xf numFmtId="0" fontId="37" fillId="0" borderId="61" xfId="99" applyFont="1" applyFill="1" applyBorder="1" applyAlignment="1">
      <alignment horizontal="center" vertical="center"/>
      <protection/>
    </xf>
    <xf numFmtId="0" fontId="37" fillId="0" borderId="62" xfId="99" applyFont="1" applyFill="1" applyBorder="1" applyAlignment="1">
      <alignment horizontal="center" vertical="center" wrapText="1"/>
      <protection/>
    </xf>
    <xf numFmtId="0" fontId="37" fillId="0" borderId="61" xfId="99" applyFont="1" applyFill="1" applyBorder="1" applyAlignment="1">
      <alignment horizontal="center" vertical="center" wrapText="1"/>
      <protection/>
    </xf>
    <xf numFmtId="0" fontId="37" fillId="0" borderId="186" xfId="99" applyFont="1" applyFill="1" applyBorder="1" applyAlignment="1">
      <alignment horizontal="center" vertical="center" wrapText="1"/>
      <protection/>
    </xf>
    <xf numFmtId="0" fontId="37" fillId="0" borderId="52" xfId="99" applyFont="1" applyFill="1" applyBorder="1" applyAlignment="1">
      <alignment horizontal="center" vertical="center" wrapText="1"/>
      <protection/>
    </xf>
    <xf numFmtId="0" fontId="38" fillId="0" borderId="64" xfId="99" applyFont="1" applyFill="1" applyBorder="1" applyAlignment="1">
      <alignment horizontal="center" vertical="center" wrapText="1"/>
      <protection/>
    </xf>
    <xf numFmtId="0" fontId="38" fillId="0" borderId="147" xfId="99" applyFont="1" applyFill="1" applyBorder="1" applyAlignment="1">
      <alignment horizontal="center" vertical="center" wrapText="1"/>
      <protection/>
    </xf>
    <xf numFmtId="0" fontId="38" fillId="0" borderId="49" xfId="0" applyFont="1" applyBorder="1" applyAlignment="1">
      <alignment horizontal="center" vertical="center" wrapText="1"/>
    </xf>
    <xf numFmtId="0" fontId="23" fillId="0" borderId="64" xfId="99" applyFont="1" applyFill="1" applyBorder="1" applyAlignment="1">
      <alignment horizontal="center" vertical="center" wrapText="1"/>
      <protection/>
    </xf>
    <xf numFmtId="0" fontId="23" fillId="0" borderId="147" xfId="99" applyFont="1" applyFill="1" applyBorder="1" applyAlignment="1">
      <alignment horizontal="center" vertical="center" wrapText="1"/>
      <protection/>
    </xf>
    <xf numFmtId="0" fontId="38" fillId="0" borderId="147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147" xfId="0" applyFont="1" applyBorder="1" applyAlignment="1">
      <alignment vertical="center"/>
    </xf>
    <xf numFmtId="0" fontId="23" fillId="0" borderId="139" xfId="0" applyFont="1" applyBorder="1" applyAlignment="1">
      <alignment vertical="center"/>
    </xf>
    <xf numFmtId="0" fontId="40" fillId="0" borderId="0" xfId="99" applyFont="1" applyFill="1" applyBorder="1" applyAlignment="1">
      <alignment horizontal="center" vertical="center"/>
      <protection/>
    </xf>
    <xf numFmtId="0" fontId="37" fillId="0" borderId="187" xfId="99" applyFont="1" applyFill="1" applyBorder="1" applyAlignment="1">
      <alignment horizontal="center" vertical="center" wrapText="1"/>
      <protection/>
    </xf>
    <xf numFmtId="0" fontId="37" fillId="0" borderId="188" xfId="99" applyFont="1" applyFill="1" applyBorder="1" applyAlignment="1">
      <alignment horizontal="center" vertical="center" wrapText="1"/>
      <protection/>
    </xf>
    <xf numFmtId="0" fontId="37" fillId="0" borderId="182" xfId="99" applyFont="1" applyFill="1" applyBorder="1" applyAlignment="1">
      <alignment horizontal="center" vertical="center" wrapText="1"/>
      <protection/>
    </xf>
    <xf numFmtId="0" fontId="37" fillId="0" borderId="50" xfId="99" applyFont="1" applyFill="1" applyBorder="1" applyAlignment="1">
      <alignment horizontal="center" vertical="center" wrapText="1"/>
      <protection/>
    </xf>
    <xf numFmtId="0" fontId="37" fillId="0" borderId="189" xfId="99" applyFont="1" applyFill="1" applyBorder="1" applyAlignment="1">
      <alignment horizontal="center" vertical="center" wrapText="1"/>
      <protection/>
    </xf>
    <xf numFmtId="0" fontId="37" fillId="0" borderId="53" xfId="99" applyFont="1" applyFill="1" applyBorder="1" applyAlignment="1">
      <alignment horizontal="center" vertical="center" wrapText="1"/>
      <protection/>
    </xf>
    <xf numFmtId="3" fontId="23" fillId="0" borderId="64" xfId="99" applyNumberFormat="1" applyFont="1" applyFill="1" applyBorder="1" applyAlignment="1">
      <alignment horizontal="center" vertical="center"/>
      <protection/>
    </xf>
    <xf numFmtId="3" fontId="23" fillId="0" borderId="147" xfId="99" applyNumberFormat="1" applyFont="1" applyFill="1" applyBorder="1" applyAlignment="1">
      <alignment horizontal="center" vertical="center"/>
      <protection/>
    </xf>
    <xf numFmtId="0" fontId="38" fillId="0" borderId="139" xfId="0" applyFont="1" applyBorder="1" applyAlignment="1">
      <alignment/>
    </xf>
    <xf numFmtId="0" fontId="23" fillId="0" borderId="1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41" fillId="0" borderId="0" xfId="96" applyFont="1" applyAlignment="1">
      <alignment horizontal="center" vertical="center"/>
      <protection/>
    </xf>
    <xf numFmtId="0" fontId="41" fillId="0" borderId="0" xfId="96" applyFont="1" applyAlignment="1">
      <alignment horizontal="center"/>
      <protection/>
    </xf>
    <xf numFmtId="0" fontId="41" fillId="0" borderId="0" xfId="96" applyFont="1" applyBorder="1" applyAlignment="1">
      <alignment horizontal="center" vertical="center"/>
      <protection/>
    </xf>
    <xf numFmtId="0" fontId="41" fillId="0" borderId="0" xfId="96" applyFont="1" applyBorder="1" applyAlignment="1">
      <alignment horizontal="center"/>
      <protection/>
    </xf>
    <xf numFmtId="0" fontId="22" fillId="0" borderId="0" xfId="0" applyFont="1" applyAlignment="1">
      <alignment horizontal="center" wrapText="1"/>
    </xf>
    <xf numFmtId="0" fontId="22" fillId="0" borderId="0" xfId="96" applyFont="1" applyAlignment="1">
      <alignment horizontal="center"/>
      <protection/>
    </xf>
    <xf numFmtId="0" fontId="23" fillId="0" borderId="0" xfId="96" applyFont="1" applyAlignment="1">
      <alignment horizontal="center" wrapText="1"/>
      <protection/>
    </xf>
    <xf numFmtId="0" fontId="22" fillId="0" borderId="0" xfId="96" applyFont="1" applyBorder="1" applyAlignment="1">
      <alignment horizontal="center"/>
      <protection/>
    </xf>
    <xf numFmtId="0" fontId="22" fillId="0" borderId="0" xfId="96" applyFont="1" applyBorder="1" applyAlignment="1">
      <alignment horizontal="center" vertical="center"/>
      <protection/>
    </xf>
    <xf numFmtId="0" fontId="23" fillId="0" borderId="190" xfId="0" applyFont="1" applyBorder="1" applyAlignment="1">
      <alignment horizontal="center" vertical="top" wrapText="1"/>
    </xf>
    <xf numFmtId="0" fontId="23" fillId="0" borderId="133" xfId="0" applyFont="1" applyBorder="1" applyAlignment="1">
      <alignment horizontal="center" vertical="top" wrapText="1"/>
    </xf>
    <xf numFmtId="0" fontId="23" fillId="0" borderId="190" xfId="0" applyFont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41" fillId="0" borderId="0" xfId="97" applyFont="1" applyAlignment="1">
      <alignment horizontal="center" vertical="center" wrapText="1"/>
      <protection/>
    </xf>
    <xf numFmtId="0" fontId="46" fillId="0" borderId="40" xfId="97" applyFont="1" applyBorder="1" applyAlignment="1">
      <alignment horizontal="center" vertical="center" wrapText="1"/>
      <protection/>
    </xf>
    <xf numFmtId="0" fontId="46" fillId="0" borderId="14" xfId="97" applyFont="1" applyBorder="1" applyAlignment="1">
      <alignment horizontal="center" vertical="center" wrapText="1"/>
      <protection/>
    </xf>
    <xf numFmtId="0" fontId="46" fillId="0" borderId="92" xfId="97" applyFont="1" applyBorder="1" applyAlignment="1">
      <alignment horizontal="center" vertical="center" wrapText="1"/>
      <protection/>
    </xf>
    <xf numFmtId="0" fontId="46" fillId="0" borderId="85" xfId="97" applyFont="1" applyBorder="1" applyAlignment="1">
      <alignment horizontal="center" vertical="center" wrapText="1"/>
      <protection/>
    </xf>
    <xf numFmtId="0" fontId="46" fillId="0" borderId="25" xfId="97" applyFont="1" applyBorder="1" applyAlignment="1">
      <alignment horizontal="center" vertical="center" wrapText="1"/>
      <protection/>
    </xf>
    <xf numFmtId="0" fontId="46" fillId="0" borderId="170" xfId="97" applyFont="1" applyBorder="1" applyAlignment="1">
      <alignment horizontal="center" vertical="center" wrapText="1"/>
      <protection/>
    </xf>
    <xf numFmtId="0" fontId="46" fillId="0" borderId="24" xfId="97" applyFont="1" applyBorder="1" applyAlignment="1">
      <alignment horizontal="center" vertical="center" wrapText="1"/>
      <protection/>
    </xf>
    <xf numFmtId="0" fontId="46" fillId="0" borderId="29" xfId="97" applyFont="1" applyBorder="1" applyAlignment="1">
      <alignment horizontal="center" vertical="center" wrapText="1"/>
      <protection/>
    </xf>
    <xf numFmtId="0" fontId="46" fillId="0" borderId="130" xfId="97" applyFont="1" applyBorder="1" applyAlignment="1">
      <alignment horizontal="center" vertical="center" wrapText="1"/>
      <protection/>
    </xf>
    <xf numFmtId="0" fontId="65" fillId="0" borderId="152" xfId="0" applyFont="1" applyBorder="1" applyAlignment="1">
      <alignment/>
    </xf>
    <xf numFmtId="0" fontId="46" fillId="0" borderId="28" xfId="97" applyFont="1" applyBorder="1" applyAlignment="1">
      <alignment horizontal="center" vertical="center" wrapText="1"/>
      <protection/>
    </xf>
    <xf numFmtId="0" fontId="46" fillId="0" borderId="15" xfId="97" applyFont="1" applyBorder="1" applyAlignment="1">
      <alignment horizontal="center" vertical="center" wrapText="1"/>
      <protection/>
    </xf>
    <xf numFmtId="0" fontId="46" fillId="0" borderId="13" xfId="97" applyFont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3" fontId="22" fillId="0" borderId="191" xfId="0" applyNumberFormat="1" applyFont="1" applyFill="1" applyBorder="1" applyAlignment="1">
      <alignment horizontal="center" vertical="center" wrapText="1"/>
    </xf>
    <xf numFmtId="3" fontId="24" fillId="0" borderId="156" xfId="0" applyNumberFormat="1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131" xfId="0" applyFont="1" applyFill="1" applyBorder="1" applyAlignment="1">
      <alignment horizontal="center" vertical="center" wrapText="1"/>
    </xf>
    <xf numFmtId="0" fontId="29" fillId="0" borderId="192" xfId="0" applyFont="1" applyFill="1" applyBorder="1" applyAlignment="1">
      <alignment horizontal="center" vertical="center" wrapText="1"/>
    </xf>
    <xf numFmtId="0" fontId="29" fillId="0" borderId="193" xfId="0" applyFont="1" applyFill="1" applyBorder="1" applyAlignment="1">
      <alignment horizontal="center" vertical="center" wrapText="1"/>
    </xf>
    <xf numFmtId="49" fontId="30" fillId="0" borderId="194" xfId="0" applyNumberFormat="1" applyFont="1" applyFill="1" applyBorder="1" applyAlignment="1">
      <alignment horizontal="center" vertical="center"/>
    </xf>
    <xf numFmtId="49" fontId="30" fillId="0" borderId="195" xfId="0" applyNumberFormat="1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/>
    </xf>
    <xf numFmtId="0" fontId="41" fillId="0" borderId="196" xfId="0" applyFont="1" applyFill="1" applyBorder="1" applyAlignment="1">
      <alignment horizontal="center"/>
    </xf>
    <xf numFmtId="0" fontId="41" fillId="0" borderId="78" xfId="0" applyFont="1" applyFill="1" applyBorder="1" applyAlignment="1">
      <alignment horizontal="center"/>
    </xf>
    <xf numFmtId="3" fontId="56" fillId="0" borderId="80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3" fontId="66" fillId="0" borderId="197" xfId="0" applyNumberFormat="1" applyFont="1" applyFill="1" applyBorder="1" applyAlignment="1">
      <alignment horizontal="center" vertical="center" wrapText="1"/>
    </xf>
    <xf numFmtId="3" fontId="66" fillId="0" borderId="125" xfId="0" applyNumberFormat="1" applyFont="1" applyFill="1" applyBorder="1" applyAlignment="1">
      <alignment horizontal="center" vertical="center" wrapText="1"/>
    </xf>
    <xf numFmtId="3" fontId="22" fillId="0" borderId="79" xfId="0" applyNumberFormat="1" applyFont="1" applyFill="1" applyBorder="1" applyAlignment="1">
      <alignment horizontal="center" vertical="center" wrapText="1"/>
    </xf>
    <xf numFmtId="3" fontId="24" fillId="0" borderId="109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5" xfId="98" applyFont="1" applyBorder="1" applyAlignment="1">
      <alignment horizontal="center" vertical="center" wrapText="1"/>
      <protection/>
    </xf>
    <xf numFmtId="0" fontId="38" fillId="0" borderId="13" xfId="0" applyFont="1" applyBorder="1" applyAlignment="1">
      <alignment/>
    </xf>
    <xf numFmtId="0" fontId="23" fillId="0" borderId="13" xfId="98" applyFont="1" applyFill="1" applyBorder="1" applyAlignment="1">
      <alignment horizontal="center" vertical="center" wrapText="1"/>
      <protection/>
    </xf>
    <xf numFmtId="0" fontId="23" fillId="25" borderId="13" xfId="98" applyFont="1" applyFill="1" applyBorder="1" applyAlignment="1">
      <alignment horizontal="center" vertical="center" wrapText="1"/>
      <protection/>
    </xf>
    <xf numFmtId="0" fontId="23" fillId="0" borderId="13" xfId="98" applyFont="1" applyBorder="1" applyAlignment="1">
      <alignment horizontal="center" vertical="center" wrapText="1"/>
      <protection/>
    </xf>
    <xf numFmtId="0" fontId="23" fillId="0" borderId="21" xfId="98" applyFont="1" applyBorder="1" applyAlignment="1">
      <alignment horizontal="center" vertical="center" wrapText="1"/>
      <protection/>
    </xf>
    <xf numFmtId="0" fontId="23" fillId="0" borderId="22" xfId="98" applyFont="1" applyBorder="1" applyAlignment="1">
      <alignment horizontal="left" vertical="center" wrapText="1"/>
      <protection/>
    </xf>
    <xf numFmtId="3" fontId="23" fillId="0" borderId="22" xfId="98" applyNumberFormat="1" applyFont="1" applyFill="1" applyBorder="1">
      <alignment/>
      <protection/>
    </xf>
    <xf numFmtId="3" fontId="23" fillId="0" borderId="22" xfId="98" applyNumberFormat="1" applyFont="1" applyBorder="1">
      <alignment/>
      <protection/>
    </xf>
    <xf numFmtId="3" fontId="23" fillId="0" borderId="76" xfId="98" applyNumberFormat="1" applyFont="1" applyBorder="1">
      <alignment/>
      <protection/>
    </xf>
    <xf numFmtId="3" fontId="23" fillId="0" borderId="22" xfId="98" applyNumberFormat="1" applyFont="1" applyFill="1" applyBorder="1" applyAlignment="1">
      <alignment vertical="center"/>
      <protection/>
    </xf>
    <xf numFmtId="3" fontId="23" fillId="0" borderId="22" xfId="98" applyNumberFormat="1" applyFont="1" applyBorder="1" applyAlignment="1">
      <alignment vertical="center"/>
      <protection/>
    </xf>
    <xf numFmtId="3" fontId="23" fillId="0" borderId="76" xfId="98" applyNumberFormat="1" applyFont="1" applyBorder="1" applyAlignment="1">
      <alignment vertical="center"/>
      <protection/>
    </xf>
    <xf numFmtId="0" fontId="23" fillId="0" borderId="15" xfId="98" applyFont="1" applyFill="1" applyBorder="1" applyAlignment="1">
      <alignment horizontal="center" vertical="center" wrapText="1"/>
      <protection/>
    </xf>
    <xf numFmtId="0" fontId="38" fillId="0" borderId="40" xfId="0" applyFont="1" applyBorder="1" applyAlignment="1">
      <alignment horizontal="center" vertical="center" wrapText="1"/>
    </xf>
    <xf numFmtId="0" fontId="38" fillId="0" borderId="21" xfId="98" applyFont="1" applyBorder="1" applyAlignment="1">
      <alignment horizontal="center" vertical="center" wrapText="1"/>
      <protection/>
    </xf>
    <xf numFmtId="0" fontId="23" fillId="0" borderId="14" xfId="98" applyFont="1" applyFill="1" applyBorder="1">
      <alignment/>
      <protection/>
    </xf>
    <xf numFmtId="3" fontId="23" fillId="0" borderId="76" xfId="98" applyNumberFormat="1" applyFont="1" applyBorder="1" applyAlignment="1">
      <alignment vertical="center" wrapText="1"/>
      <protection/>
    </xf>
    <xf numFmtId="0" fontId="69" fillId="0" borderId="0" xfId="94" applyFont="1" applyBorder="1" applyAlignment="1">
      <alignment horizontal="center"/>
      <protection/>
    </xf>
    <xf numFmtId="0" fontId="0" fillId="0" borderId="0" xfId="94">
      <alignment/>
      <protection/>
    </xf>
    <xf numFmtId="0" fontId="24" fillId="0" borderId="0" xfId="94" applyFont="1">
      <alignment/>
      <protection/>
    </xf>
    <xf numFmtId="0" fontId="22" fillId="0" borderId="0" xfId="94" applyFont="1" applyAlignment="1">
      <alignment horizontal="center"/>
      <protection/>
    </xf>
    <xf numFmtId="0" fontId="22" fillId="0" borderId="0" xfId="94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30" fillId="0" borderId="0" xfId="94" applyFont="1" applyAlignment="1">
      <alignment horizontal="center"/>
      <protection/>
    </xf>
    <xf numFmtId="0" fontId="0" fillId="0" borderId="0" xfId="94" applyAlignment="1">
      <alignment/>
      <protection/>
    </xf>
    <xf numFmtId="0" fontId="23" fillId="0" borderId="198" xfId="94" applyFont="1" applyBorder="1" applyAlignment="1">
      <alignment horizontal="center" vertical="center" wrapText="1"/>
      <protection/>
    </xf>
    <xf numFmtId="0" fontId="23" fillId="0" borderId="199" xfId="94" applyFont="1" applyBorder="1" applyAlignment="1">
      <alignment horizontal="center" vertical="center" wrapText="1"/>
      <protection/>
    </xf>
    <xf numFmtId="0" fontId="23" fillId="0" borderId="200" xfId="94" applyFont="1" applyBorder="1" applyAlignment="1">
      <alignment horizontal="center" vertical="center" wrapText="1"/>
      <protection/>
    </xf>
    <xf numFmtId="0" fontId="23" fillId="0" borderId="38" xfId="94" applyFont="1" applyBorder="1" applyAlignment="1">
      <alignment horizontal="center" vertical="center" wrapText="1"/>
      <protection/>
    </xf>
    <xf numFmtId="0" fontId="27" fillId="0" borderId="0" xfId="94" applyFont="1" applyAlignment="1">
      <alignment horizontal="center"/>
      <protection/>
    </xf>
    <xf numFmtId="0" fontId="48" fillId="0" borderId="201" xfId="94" applyFont="1" applyBorder="1" applyAlignment="1">
      <alignment horizontal="left"/>
      <protection/>
    </xf>
    <xf numFmtId="3" fontId="38" fillId="0" borderId="38" xfId="94" applyNumberFormat="1" applyFont="1" applyBorder="1" applyAlignment="1">
      <alignment horizontal="right"/>
      <protection/>
    </xf>
    <xf numFmtId="3" fontId="23" fillId="0" borderId="202" xfId="94" applyNumberFormat="1" applyFont="1" applyBorder="1" applyAlignment="1">
      <alignment horizontal="right"/>
      <protection/>
    </xf>
    <xf numFmtId="0" fontId="0" fillId="0" borderId="0" xfId="94" applyBorder="1">
      <alignment/>
      <protection/>
    </xf>
    <xf numFmtId="0" fontId="24" fillId="0" borderId="0" xfId="94" applyFont="1" applyBorder="1">
      <alignment/>
      <protection/>
    </xf>
    <xf numFmtId="0" fontId="38" fillId="0" borderId="201" xfId="94" applyFont="1" applyBorder="1">
      <alignment/>
      <protection/>
    </xf>
    <xf numFmtId="0" fontId="38" fillId="0" borderId="38" xfId="94" applyFont="1" applyBorder="1">
      <alignment/>
      <protection/>
    </xf>
    <xf numFmtId="0" fontId="38" fillId="0" borderId="203" xfId="94" applyFont="1" applyBorder="1">
      <alignment/>
      <protection/>
    </xf>
    <xf numFmtId="0" fontId="38" fillId="0" borderId="98" xfId="94" applyFont="1" applyBorder="1">
      <alignment/>
      <protection/>
    </xf>
    <xf numFmtId="3" fontId="38" fillId="0" borderId="98" xfId="94" applyNumberFormat="1" applyFont="1" applyBorder="1" applyAlignment="1">
      <alignment horizontal="right"/>
      <protection/>
    </xf>
    <xf numFmtId="3" fontId="23" fillId="0" borderId="204" xfId="94" applyNumberFormat="1" applyFont="1" applyBorder="1" applyAlignment="1">
      <alignment horizontal="right"/>
      <protection/>
    </xf>
    <xf numFmtId="0" fontId="48" fillId="0" borderId="205" xfId="94" applyFont="1" applyBorder="1" applyAlignment="1">
      <alignment horizontal="left"/>
      <protection/>
    </xf>
    <xf numFmtId="3" fontId="38" fillId="0" borderId="39" xfId="94" applyNumberFormat="1" applyFont="1" applyBorder="1" applyAlignment="1">
      <alignment horizontal="right"/>
      <protection/>
    </xf>
    <xf numFmtId="3" fontId="23" fillId="0" borderId="206" xfId="94" applyNumberFormat="1" applyFont="1" applyBorder="1" applyAlignment="1">
      <alignment horizontal="right"/>
      <protection/>
    </xf>
    <xf numFmtId="0" fontId="38" fillId="0" borderId="203" xfId="94" applyFont="1" applyBorder="1" applyAlignment="1">
      <alignment horizontal="left"/>
      <protection/>
    </xf>
    <xf numFmtId="0" fontId="38" fillId="0" borderId="201" xfId="94" applyFont="1" applyBorder="1" applyAlignment="1">
      <alignment horizontal="left"/>
      <protection/>
    </xf>
    <xf numFmtId="0" fontId="38" fillId="0" borderId="207" xfId="94" applyFont="1" applyBorder="1" applyAlignment="1">
      <alignment horizontal="left"/>
      <protection/>
    </xf>
    <xf numFmtId="0" fontId="38" fillId="0" borderId="172" xfId="94" applyFont="1" applyBorder="1">
      <alignment/>
      <protection/>
    </xf>
    <xf numFmtId="3" fontId="38" fillId="0" borderId="172" xfId="94" applyNumberFormat="1" applyFont="1" applyBorder="1" applyAlignment="1">
      <alignment horizontal="right"/>
      <protection/>
    </xf>
    <xf numFmtId="3" fontId="23" fillId="0" borderId="208" xfId="94" applyNumberFormat="1" applyFont="1" applyBorder="1" applyAlignment="1">
      <alignment horizontal="right"/>
      <protection/>
    </xf>
    <xf numFmtId="0" fontId="48" fillId="0" borderId="198" xfId="94" applyFont="1" applyBorder="1" applyAlignment="1">
      <alignment horizontal="left"/>
      <protection/>
    </xf>
    <xf numFmtId="3" fontId="38" fillId="0" borderId="199" xfId="94" applyNumberFormat="1" applyFont="1" applyBorder="1" applyAlignment="1">
      <alignment horizontal="right"/>
      <protection/>
    </xf>
    <xf numFmtId="3" fontId="23" fillId="0" borderId="200" xfId="94" applyNumberFormat="1" applyFont="1" applyBorder="1" applyAlignment="1">
      <alignment horizontal="right"/>
      <protection/>
    </xf>
    <xf numFmtId="0" fontId="38" fillId="0" borderId="207" xfId="94" applyFont="1" applyBorder="1">
      <alignment/>
      <protection/>
    </xf>
    <xf numFmtId="0" fontId="22" fillId="0" borderId="0" xfId="94" applyFont="1" applyAlignment="1">
      <alignment horizontal="center"/>
      <protection/>
    </xf>
    <xf numFmtId="0" fontId="0" fillId="0" borderId="0" xfId="0" applyAlignment="1">
      <alignment/>
    </xf>
    <xf numFmtId="0" fontId="23" fillId="0" borderId="198" xfId="95" applyFont="1" applyBorder="1" applyAlignment="1">
      <alignment horizontal="center" vertical="center" wrapText="1"/>
      <protection/>
    </xf>
    <xf numFmtId="0" fontId="23" fillId="0" borderId="199" xfId="95" applyFont="1" applyBorder="1" applyAlignment="1">
      <alignment horizontal="center" vertical="center" wrapText="1"/>
      <protection/>
    </xf>
    <xf numFmtId="0" fontId="23" fillId="0" borderId="209" xfId="95" applyFont="1" applyBorder="1" applyAlignment="1">
      <alignment horizontal="center" vertical="top" wrapText="1"/>
      <protection/>
    </xf>
    <xf numFmtId="0" fontId="23" fillId="0" borderId="210" xfId="95" applyFont="1" applyBorder="1" applyAlignment="1">
      <alignment horizontal="center" vertical="top" wrapText="1"/>
      <protection/>
    </xf>
    <xf numFmtId="0" fontId="23" fillId="0" borderId="211" xfId="95" applyFont="1" applyBorder="1" applyAlignment="1">
      <alignment horizontal="center" vertical="top" wrapText="1"/>
      <protection/>
    </xf>
    <xf numFmtId="0" fontId="23" fillId="0" borderId="201" xfId="95" applyFont="1" applyBorder="1" applyAlignment="1">
      <alignment horizontal="center" vertical="center" wrapText="1"/>
      <protection/>
    </xf>
    <xf numFmtId="0" fontId="23" fillId="0" borderId="38" xfId="95" applyFont="1" applyBorder="1" applyAlignment="1">
      <alignment horizontal="center" vertical="center" wrapText="1"/>
      <protection/>
    </xf>
    <xf numFmtId="0" fontId="23" fillId="0" borderId="57" xfId="95" applyFont="1" applyBorder="1" applyAlignment="1">
      <alignment horizontal="center" vertical="center" wrapText="1"/>
      <protection/>
    </xf>
    <xf numFmtId="0" fontId="23" fillId="0" borderId="90" xfId="95" applyFont="1" applyBorder="1" applyAlignment="1">
      <alignment horizontal="center" vertical="center" wrapText="1"/>
      <protection/>
    </xf>
    <xf numFmtId="0" fontId="23" fillId="0" borderId="212" xfId="95" applyFont="1" applyBorder="1" applyAlignment="1">
      <alignment horizontal="center" vertical="center" wrapText="1"/>
      <protection/>
    </xf>
    <xf numFmtId="0" fontId="23" fillId="0" borderId="213" xfId="95" applyFont="1" applyBorder="1" applyAlignment="1">
      <alignment horizontal="center" vertical="center" wrapText="1"/>
      <protection/>
    </xf>
    <xf numFmtId="0" fontId="23" fillId="0" borderId="214" xfId="95" applyFont="1" applyBorder="1" applyAlignment="1">
      <alignment horizontal="center" vertical="center" wrapText="1"/>
      <protection/>
    </xf>
    <xf numFmtId="0" fontId="23" fillId="0" borderId="203" xfId="95" applyFont="1" applyBorder="1" applyAlignment="1">
      <alignment horizontal="center" vertical="center" wrapText="1"/>
      <protection/>
    </xf>
    <xf numFmtId="0" fontId="23" fillId="0" borderId="98" xfId="95" applyFont="1" applyBorder="1" applyAlignment="1">
      <alignment horizontal="center" vertical="center" wrapText="1"/>
      <protection/>
    </xf>
    <xf numFmtId="0" fontId="23" fillId="0" borderId="215" xfId="95" applyFont="1" applyBorder="1" applyAlignment="1">
      <alignment horizontal="center" vertical="center" wrapText="1"/>
      <protection/>
    </xf>
    <xf numFmtId="0" fontId="48" fillId="0" borderId="205" xfId="95" applyFont="1" applyBorder="1" applyAlignment="1">
      <alignment horizontal="left"/>
      <protection/>
    </xf>
    <xf numFmtId="0" fontId="48" fillId="0" borderId="39" xfId="95" applyFont="1" applyBorder="1" applyAlignment="1">
      <alignment horizontal="left"/>
      <protection/>
    </xf>
    <xf numFmtId="3" fontId="38" fillId="0" borderId="216" xfId="95" applyNumberFormat="1" applyFont="1" applyBorder="1" applyAlignment="1">
      <alignment horizontal="right"/>
      <protection/>
    </xf>
    <xf numFmtId="3" fontId="38" fillId="0" borderId="82" xfId="95" applyNumberFormat="1" applyFont="1" applyBorder="1" applyAlignment="1">
      <alignment horizontal="right"/>
      <protection/>
    </xf>
    <xf numFmtId="3" fontId="23" fillId="0" borderId="214" xfId="95" applyNumberFormat="1" applyFont="1" applyBorder="1" applyAlignment="1">
      <alignment horizontal="right"/>
      <protection/>
    </xf>
    <xf numFmtId="0" fontId="38" fillId="0" borderId="201" xfId="95" applyFont="1" applyBorder="1">
      <alignment/>
      <protection/>
    </xf>
    <xf numFmtId="0" fontId="38" fillId="0" borderId="38" xfId="95" applyFont="1" applyBorder="1">
      <alignment/>
      <protection/>
    </xf>
    <xf numFmtId="3" fontId="38" fillId="0" borderId="56" xfId="95" applyNumberFormat="1" applyFont="1" applyBorder="1" applyAlignment="1">
      <alignment horizontal="right"/>
      <protection/>
    </xf>
    <xf numFmtId="3" fontId="38" fillId="0" borderId="90" xfId="95" applyNumberFormat="1" applyFont="1" applyBorder="1" applyAlignment="1">
      <alignment horizontal="right"/>
      <protection/>
    </xf>
    <xf numFmtId="3" fontId="23" fillId="0" borderId="213" xfId="95" applyNumberFormat="1" applyFont="1" applyBorder="1" applyAlignment="1">
      <alignment horizontal="right"/>
      <protection/>
    </xf>
    <xf numFmtId="0" fontId="38" fillId="0" borderId="203" xfId="95" applyFont="1" applyBorder="1">
      <alignment/>
      <protection/>
    </xf>
    <xf numFmtId="0" fontId="38" fillId="0" borderId="98" xfId="95" applyFont="1" applyBorder="1">
      <alignment/>
      <protection/>
    </xf>
    <xf numFmtId="3" fontId="38" fillId="0" borderId="122" xfId="95" applyNumberFormat="1" applyFont="1" applyBorder="1" applyAlignment="1">
      <alignment horizontal="right"/>
      <protection/>
    </xf>
    <xf numFmtId="3" fontId="23" fillId="0" borderId="204" xfId="95" applyNumberFormat="1" applyFont="1" applyBorder="1" applyAlignment="1">
      <alignment horizontal="right"/>
      <protection/>
    </xf>
    <xf numFmtId="3" fontId="38" fillId="0" borderId="39" xfId="95" applyNumberFormat="1" applyFont="1" applyBorder="1" applyAlignment="1">
      <alignment horizontal="right"/>
      <protection/>
    </xf>
    <xf numFmtId="3" fontId="23" fillId="0" borderId="206" xfId="95" applyNumberFormat="1" applyFont="1" applyBorder="1" applyAlignment="1">
      <alignment horizontal="right"/>
      <protection/>
    </xf>
    <xf numFmtId="3" fontId="38" fillId="0" borderId="38" xfId="95" applyNumberFormat="1" applyFont="1" applyBorder="1" applyAlignment="1">
      <alignment horizontal="right"/>
      <protection/>
    </xf>
    <xf numFmtId="3" fontId="23" fillId="0" borderId="202" xfId="95" applyNumberFormat="1" applyFont="1" applyBorder="1" applyAlignment="1">
      <alignment horizontal="right"/>
      <protection/>
    </xf>
    <xf numFmtId="0" fontId="38" fillId="0" borderId="217" xfId="95" applyFont="1" applyBorder="1" applyAlignment="1">
      <alignment horizontal="left"/>
      <protection/>
    </xf>
    <xf numFmtId="3" fontId="38" fillId="0" borderId="98" xfId="95" applyNumberFormat="1" applyFont="1" applyBorder="1" applyAlignment="1">
      <alignment horizontal="right"/>
      <protection/>
    </xf>
    <xf numFmtId="0" fontId="38" fillId="0" borderId="201" xfId="95" applyFont="1" applyBorder="1" applyAlignment="1">
      <alignment horizontal="left"/>
      <protection/>
    </xf>
    <xf numFmtId="0" fontId="38" fillId="0" borderId="60" xfId="95" applyFont="1" applyBorder="1">
      <alignment/>
      <protection/>
    </xf>
    <xf numFmtId="0" fontId="38" fillId="0" borderId="207" xfId="95" applyFont="1" applyBorder="1" applyAlignment="1">
      <alignment horizontal="left"/>
      <protection/>
    </xf>
    <xf numFmtId="0" fontId="38" fillId="0" borderId="172" xfId="95" applyFont="1" applyBorder="1">
      <alignment/>
      <protection/>
    </xf>
    <xf numFmtId="3" fontId="38" fillId="0" borderId="172" xfId="95" applyNumberFormat="1" applyFont="1" applyBorder="1" applyAlignment="1">
      <alignment horizontal="right"/>
      <protection/>
    </xf>
    <xf numFmtId="3" fontId="23" fillId="0" borderId="208" xfId="95" applyNumberFormat="1" applyFont="1" applyBorder="1" applyAlignment="1">
      <alignment horizontal="right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23" fillId="0" borderId="190" xfId="0" applyFont="1" applyBorder="1" applyAlignment="1">
      <alignment horizontal="center" vertical="center" wrapText="1"/>
    </xf>
    <xf numFmtId="3" fontId="23" fillId="0" borderId="218" xfId="0" applyNumberFormat="1" applyFont="1" applyBorder="1" applyAlignment="1">
      <alignment horizontal="center" vertical="center" wrapText="1"/>
    </xf>
    <xf numFmtId="3" fontId="23" fillId="0" borderId="2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220" xfId="0" applyNumberFormat="1" applyFont="1" applyBorder="1" applyAlignment="1">
      <alignment horizontal="center" vertical="center"/>
    </xf>
    <xf numFmtId="0" fontId="23" fillId="0" borderId="221" xfId="0" applyFont="1" applyBorder="1" applyAlignment="1">
      <alignment horizontal="left" vertical="center" wrapText="1"/>
    </xf>
    <xf numFmtId="3" fontId="23" fillId="0" borderId="222" xfId="0" applyNumberFormat="1" applyFont="1" applyBorder="1" applyAlignment="1">
      <alignment/>
    </xf>
    <xf numFmtId="3" fontId="23" fillId="0" borderId="223" xfId="0" applyNumberFormat="1" applyFont="1" applyBorder="1" applyAlignment="1">
      <alignment/>
    </xf>
    <xf numFmtId="0" fontId="44" fillId="0" borderId="19" xfId="0" applyFont="1" applyBorder="1" applyAlignment="1">
      <alignment horizontal="left" vertical="center" wrapText="1"/>
    </xf>
    <xf numFmtId="3" fontId="44" fillId="0" borderId="20" xfId="0" applyNumberFormat="1" applyFont="1" applyBorder="1" applyAlignment="1">
      <alignment/>
    </xf>
    <xf numFmtId="3" fontId="44" fillId="0" borderId="220" xfId="0" applyNumberFormat="1" applyFont="1" applyBorder="1" applyAlignment="1">
      <alignment/>
    </xf>
    <xf numFmtId="0" fontId="48" fillId="0" borderId="13" xfId="0" applyFont="1" applyBorder="1" applyAlignment="1" quotePrefix="1">
      <alignment horizontal="left" vertical="center" wrapText="1"/>
    </xf>
    <xf numFmtId="3" fontId="48" fillId="0" borderId="14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44" fillId="0" borderId="71" xfId="0" applyNumberFormat="1" applyFont="1" applyBorder="1" applyAlignment="1">
      <alignment/>
    </xf>
    <xf numFmtId="0" fontId="38" fillId="0" borderId="13" xfId="0" applyFont="1" applyBorder="1" applyAlignment="1" quotePrefix="1">
      <alignment horizontal="left"/>
    </xf>
    <xf numFmtId="3" fontId="38" fillId="0" borderId="14" xfId="0" applyNumberFormat="1" applyFont="1" applyBorder="1" applyAlignment="1">
      <alignment/>
    </xf>
    <xf numFmtId="3" fontId="38" fillId="0" borderId="71" xfId="0" applyNumberFormat="1" applyFont="1" applyBorder="1" applyAlignment="1">
      <alignment/>
    </xf>
    <xf numFmtId="0" fontId="44" fillId="0" borderId="221" xfId="0" applyFont="1" applyBorder="1" applyAlignment="1">
      <alignment horizontal="left"/>
    </xf>
    <xf numFmtId="3" fontId="44" fillId="0" borderId="222" xfId="0" applyNumberFormat="1" applyFont="1" applyBorder="1" applyAlignment="1">
      <alignment/>
    </xf>
    <xf numFmtId="3" fontId="44" fillId="0" borderId="223" xfId="0" applyNumberFormat="1" applyFont="1" applyBorder="1" applyAlignment="1">
      <alignment/>
    </xf>
    <xf numFmtId="0" fontId="23" fillId="0" borderId="19" xfId="0" applyFont="1" applyBorder="1" applyAlignment="1">
      <alignment horizontal="left"/>
    </xf>
    <xf numFmtId="3" fontId="23" fillId="0" borderId="20" xfId="0" applyNumberFormat="1" applyFont="1" applyBorder="1" applyAlignment="1">
      <alignment/>
    </xf>
    <xf numFmtId="3" fontId="23" fillId="0" borderId="220" xfId="0" applyNumberFormat="1" applyFont="1" applyBorder="1" applyAlignment="1">
      <alignment/>
    </xf>
    <xf numFmtId="0" fontId="23" fillId="0" borderId="224" xfId="0" applyFont="1" applyBorder="1" applyAlignment="1">
      <alignment horizontal="left"/>
    </xf>
    <xf numFmtId="3" fontId="23" fillId="0" borderId="225" xfId="0" applyNumberFormat="1" applyFont="1" applyBorder="1" applyAlignment="1">
      <alignment/>
    </xf>
    <xf numFmtId="3" fontId="23" fillId="0" borderId="226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3" fontId="38" fillId="0" borderId="220" xfId="0" applyNumberFormat="1" applyFont="1" applyBorder="1" applyAlignment="1">
      <alignment/>
    </xf>
    <xf numFmtId="0" fontId="38" fillId="0" borderId="13" xfId="0" applyFont="1" applyBorder="1" applyAlignment="1">
      <alignment horizontal="left" vertical="center" wrapText="1"/>
    </xf>
    <xf numFmtId="0" fontId="23" fillId="0" borderId="227" xfId="0" applyFont="1" applyBorder="1" applyAlignment="1">
      <alignment horizontal="left" vertical="center" wrapText="1"/>
    </xf>
    <xf numFmtId="3" fontId="23" fillId="0" borderId="228" xfId="0" applyNumberFormat="1" applyFont="1" applyBorder="1" applyAlignment="1">
      <alignment/>
    </xf>
    <xf numFmtId="3" fontId="23" fillId="0" borderId="229" xfId="0" applyNumberFormat="1" applyFont="1" applyBorder="1" applyAlignment="1">
      <alignment/>
    </xf>
    <xf numFmtId="0" fontId="38" fillId="0" borderId="19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3" fontId="38" fillId="0" borderId="22" xfId="0" applyNumberFormat="1" applyFont="1" applyBorder="1" applyAlignment="1">
      <alignment/>
    </xf>
    <xf numFmtId="3" fontId="23" fillId="0" borderId="76" xfId="0" applyNumberFormat="1" applyFont="1" applyBorder="1" applyAlignment="1">
      <alignment/>
    </xf>
    <xf numFmtId="0" fontId="27" fillId="0" borderId="15" xfId="0" applyFont="1" applyBorder="1" applyAlignment="1">
      <alignment vertical="center"/>
    </xf>
    <xf numFmtId="3" fontId="23" fillId="0" borderId="40" xfId="0" applyNumberFormat="1" applyFont="1" applyBorder="1" applyAlignment="1">
      <alignment/>
    </xf>
    <xf numFmtId="3" fontId="23" fillId="0" borderId="152" xfId="0" applyNumberFormat="1" applyFont="1" applyBorder="1" applyAlignment="1">
      <alignment/>
    </xf>
    <xf numFmtId="0" fontId="23" fillId="0" borderId="19" xfId="0" applyFont="1" applyBorder="1" applyAlignment="1">
      <alignment horizontal="left" vertical="center" wrapText="1"/>
    </xf>
    <xf numFmtId="3" fontId="23" fillId="0" borderId="71" xfId="0" applyNumberFormat="1" applyFont="1" applyBorder="1" applyAlignment="1">
      <alignment/>
    </xf>
    <xf numFmtId="0" fontId="38" fillId="0" borderId="13" xfId="0" applyFont="1" applyBorder="1" applyAlignment="1">
      <alignment horizontal="left" vertical="center"/>
    </xf>
    <xf numFmtId="3" fontId="38" fillId="0" borderId="76" xfId="0" applyNumberFormat="1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197" xfId="0" applyFont="1" applyBorder="1" applyAlignment="1">
      <alignment vertical="center"/>
    </xf>
    <xf numFmtId="0" fontId="59" fillId="0" borderId="191" xfId="0" applyFont="1" applyBorder="1" applyAlignment="1">
      <alignment vertical="center"/>
    </xf>
    <xf numFmtId="0" fontId="36" fillId="0" borderId="123" xfId="0" applyFont="1" applyBorder="1" applyAlignment="1">
      <alignment vertical="center"/>
    </xf>
    <xf numFmtId="180" fontId="36" fillId="0" borderId="155" xfId="0" applyNumberFormat="1" applyFont="1" applyBorder="1" applyAlignment="1">
      <alignment horizontal="left" vertical="center"/>
    </xf>
    <xf numFmtId="3" fontId="36" fillId="0" borderId="155" xfId="0" applyNumberFormat="1" applyFont="1" applyBorder="1" applyAlignment="1">
      <alignment horizontal="left" vertical="center"/>
    </xf>
    <xf numFmtId="3" fontId="41" fillId="0" borderId="155" xfId="0" applyNumberFormat="1" applyFont="1" applyBorder="1" applyAlignment="1">
      <alignment horizontal="left" vertical="center"/>
    </xf>
    <xf numFmtId="0" fontId="36" fillId="0" borderId="230" xfId="0" applyFont="1" applyBorder="1" applyAlignment="1">
      <alignment vertical="center"/>
    </xf>
    <xf numFmtId="3" fontId="36" fillId="0" borderId="231" xfId="0" applyNumberFormat="1" applyFont="1" applyBorder="1" applyAlignment="1">
      <alignment horizontal="left" vertical="center"/>
    </xf>
    <xf numFmtId="3" fontId="59" fillId="0" borderId="155" xfId="0" applyNumberFormat="1" applyFont="1" applyBorder="1" applyAlignment="1">
      <alignment horizontal="left" vertical="center" wrapText="1"/>
    </xf>
    <xf numFmtId="3" fontId="41" fillId="0" borderId="155" xfId="0" applyNumberFormat="1" applyFont="1" applyBorder="1" applyAlignment="1">
      <alignment horizontal="left" vertical="center"/>
    </xf>
    <xf numFmtId="3" fontId="36" fillId="0" borderId="155" xfId="0" applyNumberFormat="1" applyFont="1" applyBorder="1" applyAlignment="1">
      <alignment horizontal="left" vertical="center"/>
    </xf>
    <xf numFmtId="0" fontId="36" fillId="0" borderId="123" xfId="0" applyFont="1" applyBorder="1" applyAlignment="1">
      <alignment horizontal="left" vertical="center" wrapText="1"/>
    </xf>
    <xf numFmtId="1" fontId="36" fillId="0" borderId="155" xfId="0" applyNumberFormat="1" applyFont="1" applyBorder="1" applyAlignment="1">
      <alignment horizontal="left" vertical="center"/>
    </xf>
    <xf numFmtId="0" fontId="36" fillId="0" borderId="124" xfId="0" applyFont="1" applyBorder="1" applyAlignment="1">
      <alignment horizontal="left" vertical="center" wrapText="1"/>
    </xf>
    <xf numFmtId="3" fontId="59" fillId="0" borderId="154" xfId="0" applyNumberFormat="1" applyFont="1" applyBorder="1" applyAlignment="1">
      <alignment horizontal="left" vertical="center" wrapText="1"/>
    </xf>
    <xf numFmtId="0" fontId="36" fillId="0" borderId="232" xfId="0" applyFont="1" applyBorder="1" applyAlignment="1">
      <alignment vertical="center"/>
    </xf>
    <xf numFmtId="3" fontId="36" fillId="0" borderId="233" xfId="0" applyNumberFormat="1" applyFont="1" applyBorder="1" applyAlignment="1">
      <alignment horizontal="left" vertical="center"/>
    </xf>
    <xf numFmtId="0" fontId="36" fillId="0" borderId="197" xfId="0" applyFont="1" applyBorder="1" applyAlignment="1">
      <alignment horizontal="left" vertical="center" wrapText="1"/>
    </xf>
    <xf numFmtId="3" fontId="59" fillId="0" borderId="191" xfId="0" applyNumberFormat="1" applyFont="1" applyBorder="1" applyAlignment="1">
      <alignment horizontal="left" vertical="center" wrapText="1"/>
    </xf>
    <xf numFmtId="3" fontId="41" fillId="0" borderId="231" xfId="0" applyNumberFormat="1" applyFont="1" applyBorder="1" applyAlignment="1">
      <alignment horizontal="left" vertical="center"/>
    </xf>
    <xf numFmtId="49" fontId="36" fillId="0" borderId="155" xfId="0" applyNumberFormat="1" applyFont="1" applyBorder="1" applyAlignment="1">
      <alignment horizontal="left" vertical="center"/>
    </xf>
    <xf numFmtId="3" fontId="59" fillId="0" borderId="231" xfId="0" applyNumberFormat="1" applyFont="1" applyBorder="1" applyAlignment="1">
      <alignment horizontal="left" vertical="center" wrapText="1"/>
    </xf>
    <xf numFmtId="49" fontId="36" fillId="0" borderId="231" xfId="0" applyNumberFormat="1" applyFont="1" applyBorder="1" applyAlignment="1">
      <alignment horizontal="left" vertical="center"/>
    </xf>
    <xf numFmtId="1" fontId="36" fillId="0" borderId="231" xfId="0" applyNumberFormat="1" applyFont="1" applyBorder="1" applyAlignment="1">
      <alignment horizontal="left" vertical="center"/>
    </xf>
    <xf numFmtId="3" fontId="59" fillId="0" borderId="234" xfId="0" applyNumberFormat="1" applyFont="1" applyBorder="1" applyAlignment="1">
      <alignment horizontal="left" vertical="center" wrapText="1"/>
    </xf>
    <xf numFmtId="180" fontId="36" fillId="0" borderId="231" xfId="0" applyNumberFormat="1" applyFont="1" applyBorder="1" applyAlignment="1">
      <alignment horizontal="left" vertical="center"/>
    </xf>
    <xf numFmtId="0" fontId="36" fillId="0" borderId="125" xfId="0" applyFont="1" applyBorder="1" applyAlignment="1">
      <alignment vertical="center"/>
    </xf>
    <xf numFmtId="3" fontId="41" fillId="0" borderId="233" xfId="0" applyNumberFormat="1" applyFont="1" applyBorder="1" applyAlignment="1">
      <alignment horizontal="left" vertical="center"/>
    </xf>
    <xf numFmtId="0" fontId="36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6" fillId="0" borderId="191" xfId="0" applyFont="1" applyBorder="1" applyAlignment="1">
      <alignment vertical="center"/>
    </xf>
    <xf numFmtId="0" fontId="36" fillId="0" borderId="155" xfId="0" applyFont="1" applyBorder="1" applyAlignment="1">
      <alignment vertical="center"/>
    </xf>
    <xf numFmtId="0" fontId="36" fillId="0" borderId="231" xfId="0" applyFont="1" applyBorder="1" applyAlignment="1">
      <alignment vertical="center"/>
    </xf>
    <xf numFmtId="3" fontId="36" fillId="0" borderId="156" xfId="0" applyNumberFormat="1" applyFont="1" applyBorder="1" applyAlignment="1">
      <alignment horizontal="left" vertical="center"/>
    </xf>
    <xf numFmtId="0" fontId="61" fillId="0" borderId="0" xfId="0" applyFont="1" applyAlignment="1">
      <alignment vertical="center"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11 ktv. táblák" xfId="92"/>
    <cellStyle name="Normál_9702KV1_2011 ktv. táblák" xfId="93"/>
    <cellStyle name="Normál_Adósságszolgálat 2012 Brigi" xfId="94"/>
    <cellStyle name="Normál_Adósságszolgálat 2012 Brigi-Készfizető Kezesség Vállalás" xfId="95"/>
    <cellStyle name="Normál_Beruh.felú-átadott-átvett" xfId="96"/>
    <cellStyle name="Normál_Brigitől kisebbségek" xfId="97"/>
    <cellStyle name="Normál_Int.tábla köt-ő és önk.fel.-1" xfId="98"/>
    <cellStyle name="Normál_Intézményi előir.dec. tábla" xfId="99"/>
    <cellStyle name="Normál_KTGVET98" xfId="100"/>
    <cellStyle name="Normál_Kuny Domokos ktgvetés  2013.01.16.-3" xfId="101"/>
    <cellStyle name="Normál_Munkafüzet1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&#233;nz&#252;gyi%20Titk&#225;rs&#225;g\Dokumentumok\el&#337;terjeszt&#233;sek\2013\&#193;prilis\Besz&#225;mol&#243;%20janu&#225;r-febru&#225;r\K&#233;sz%20t&#225;bl&#225;k-%20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workbookViewId="0" topLeftCell="A1">
      <selection activeCell="B29" sqref="B29"/>
    </sheetView>
  </sheetViews>
  <sheetFormatPr defaultColWidth="9.00390625" defaultRowHeight="12.75"/>
  <cols>
    <col min="1" max="1" width="6.125" style="8" customWidth="1"/>
    <col min="2" max="2" width="73.25390625" style="8" customWidth="1"/>
    <col min="3" max="3" width="11.375" style="8" customWidth="1"/>
    <col min="4" max="4" width="11.625" style="8" customWidth="1"/>
    <col min="5" max="5" width="12.00390625" style="8" customWidth="1"/>
    <col min="6" max="6" width="6.125" style="8" customWidth="1"/>
    <col min="7" max="7" width="64.375" style="8" customWidth="1"/>
    <col min="8" max="8" width="11.375" style="8" customWidth="1"/>
    <col min="9" max="9" width="11.75390625" style="8" customWidth="1"/>
    <col min="10" max="10" width="12.00390625" style="19" customWidth="1"/>
    <col min="11" max="16384" width="9.125" style="8" customWidth="1"/>
  </cols>
  <sheetData>
    <row r="1" ht="12.75">
      <c r="A1" s="17"/>
    </row>
    <row r="2" spans="1:10" ht="12.75">
      <c r="A2" s="1226" t="s">
        <v>627</v>
      </c>
      <c r="B2" s="1226"/>
      <c r="C2" s="1226"/>
      <c r="D2" s="1226"/>
      <c r="E2" s="1226"/>
      <c r="F2" s="1226"/>
      <c r="G2" s="1226"/>
      <c r="H2" s="1226"/>
      <c r="I2" s="1226"/>
      <c r="J2" s="1226"/>
    </row>
    <row r="3" spans="3:7" ht="13.5" thickBot="1">
      <c r="C3" s="19"/>
      <c r="D3" s="19"/>
      <c r="E3" s="19"/>
      <c r="F3" s="19"/>
      <c r="G3" s="19"/>
    </row>
    <row r="4" spans="1:10" ht="13.5" customHeight="1">
      <c r="A4" s="1233" t="s">
        <v>628</v>
      </c>
      <c r="B4" s="1234"/>
      <c r="C4" s="1234"/>
      <c r="D4" s="1234"/>
      <c r="E4" s="1235"/>
      <c r="F4" s="1236" t="s">
        <v>629</v>
      </c>
      <c r="G4" s="1237"/>
      <c r="H4" s="1237"/>
      <c r="I4" s="1237"/>
      <c r="J4" s="1238"/>
    </row>
    <row r="5" spans="1:10" ht="14.25" customHeight="1" thickBot="1">
      <c r="A5" s="20"/>
      <c r="B5" s="21"/>
      <c r="C5" s="652" t="s">
        <v>539</v>
      </c>
      <c r="D5" s="934" t="s">
        <v>915</v>
      </c>
      <c r="E5" s="640" t="s">
        <v>741</v>
      </c>
      <c r="F5" s="22"/>
      <c r="G5" s="23"/>
      <c r="H5" s="652" t="s">
        <v>540</v>
      </c>
      <c r="I5" s="944" t="s">
        <v>915</v>
      </c>
      <c r="J5" s="657" t="s">
        <v>741</v>
      </c>
    </row>
    <row r="6" spans="1:10" ht="13.5" customHeight="1">
      <c r="A6" s="24" t="s">
        <v>631</v>
      </c>
      <c r="B6" s="25"/>
      <c r="C6" s="991">
        <v>271699</v>
      </c>
      <c r="D6" s="935">
        <v>448541</v>
      </c>
      <c r="E6" s="641">
        <v>479852</v>
      </c>
      <c r="F6" s="26" t="s">
        <v>590</v>
      </c>
      <c r="G6" s="27"/>
      <c r="H6" s="986">
        <v>837643</v>
      </c>
      <c r="I6" s="945">
        <v>912159</v>
      </c>
      <c r="J6" s="658">
        <v>915606</v>
      </c>
    </row>
    <row r="7" spans="1:10" ht="13.5" customHeight="1">
      <c r="A7" s="16"/>
      <c r="B7" s="28"/>
      <c r="C7" s="653"/>
      <c r="D7" s="936"/>
      <c r="E7" s="642"/>
      <c r="F7" s="12"/>
      <c r="G7" s="29"/>
      <c r="H7" s="661"/>
      <c r="I7" s="941"/>
      <c r="J7" s="648"/>
    </row>
    <row r="8" spans="1:10" ht="12.75" customHeight="1">
      <c r="A8" s="16" t="s">
        <v>632</v>
      </c>
      <c r="B8" s="30"/>
      <c r="C8" s="654">
        <f>SUM(C9:C14)</f>
        <v>1773880</v>
      </c>
      <c r="D8" s="937">
        <f>SUM(D9:D14)</f>
        <v>1828108</v>
      </c>
      <c r="E8" s="643">
        <f>SUM(E9:E14)</f>
        <v>1802456</v>
      </c>
      <c r="F8" s="12" t="s">
        <v>633</v>
      </c>
      <c r="G8" s="29"/>
      <c r="H8" s="661">
        <v>222964</v>
      </c>
      <c r="I8" s="941">
        <v>237595</v>
      </c>
      <c r="J8" s="648">
        <v>241241</v>
      </c>
    </row>
    <row r="9" spans="1:10" ht="12.75">
      <c r="A9" s="31"/>
      <c r="B9" s="32" t="s">
        <v>548</v>
      </c>
      <c r="C9" s="4">
        <v>1567000</v>
      </c>
      <c r="D9" s="938">
        <v>1621120</v>
      </c>
      <c r="E9" s="644">
        <v>1589500</v>
      </c>
      <c r="F9" s="15"/>
      <c r="G9" s="29"/>
      <c r="H9" s="29"/>
      <c r="I9" s="938"/>
      <c r="J9" s="646"/>
    </row>
    <row r="10" spans="1:10" ht="13.5" customHeight="1">
      <c r="A10" s="5"/>
      <c r="B10" s="33" t="s">
        <v>634</v>
      </c>
      <c r="C10" s="653">
        <v>115200</v>
      </c>
      <c r="D10" s="936">
        <v>115200</v>
      </c>
      <c r="E10" s="645">
        <v>106200</v>
      </c>
      <c r="F10" s="12" t="s">
        <v>635</v>
      </c>
      <c r="G10" s="29"/>
      <c r="H10" s="661">
        <f>1335278+5000</f>
        <v>1340278</v>
      </c>
      <c r="I10" s="941">
        <v>1534731</v>
      </c>
      <c r="J10" s="648">
        <v>1537660</v>
      </c>
    </row>
    <row r="11" spans="1:10" ht="12.75">
      <c r="A11" s="5"/>
      <c r="B11" s="34" t="s">
        <v>636</v>
      </c>
      <c r="C11" s="653">
        <v>2300</v>
      </c>
      <c r="D11" s="936">
        <v>2300</v>
      </c>
      <c r="E11" s="645">
        <v>2172</v>
      </c>
      <c r="F11" s="15"/>
      <c r="G11" s="29"/>
      <c r="H11" s="29"/>
      <c r="I11" s="938"/>
      <c r="J11" s="646"/>
    </row>
    <row r="12" spans="1:10" ht="12.75">
      <c r="A12" s="3"/>
      <c r="B12" s="34" t="s">
        <v>559</v>
      </c>
      <c r="C12" s="653">
        <v>10000</v>
      </c>
      <c r="D12" s="936">
        <v>10000</v>
      </c>
      <c r="E12" s="645">
        <v>10000</v>
      </c>
      <c r="F12" s="16" t="s">
        <v>637</v>
      </c>
      <c r="G12" s="30"/>
      <c r="H12" s="59">
        <f>SUM(H13:H14)</f>
        <v>576345</v>
      </c>
      <c r="I12" s="946">
        <f>SUM(I13:I14)</f>
        <v>830689</v>
      </c>
      <c r="J12" s="659">
        <f>SUM(J13:J14)</f>
        <v>854810</v>
      </c>
    </row>
    <row r="13" spans="1:10" ht="12.75">
      <c r="A13" s="15"/>
      <c r="B13" s="29" t="s">
        <v>638</v>
      </c>
      <c r="C13" s="4">
        <v>32380</v>
      </c>
      <c r="D13" s="938">
        <v>32488</v>
      </c>
      <c r="E13" s="644">
        <v>38684</v>
      </c>
      <c r="F13" s="15"/>
      <c r="G13" s="29" t="s">
        <v>639</v>
      </c>
      <c r="H13" s="987">
        <v>420631</v>
      </c>
      <c r="I13" s="938">
        <v>653455</v>
      </c>
      <c r="J13" s="646">
        <v>667781</v>
      </c>
    </row>
    <row r="14" spans="1:10" ht="12.75">
      <c r="A14" s="15"/>
      <c r="B14" s="29" t="s">
        <v>561</v>
      </c>
      <c r="C14" s="4">
        <v>47000</v>
      </c>
      <c r="D14" s="938">
        <v>47000</v>
      </c>
      <c r="E14" s="644">
        <v>55900</v>
      </c>
      <c r="F14" s="12"/>
      <c r="G14" s="28" t="s">
        <v>596</v>
      </c>
      <c r="H14" s="988">
        <v>155714</v>
      </c>
      <c r="I14" s="938">
        <v>177234</v>
      </c>
      <c r="J14" s="646">
        <v>187029</v>
      </c>
    </row>
    <row r="15" spans="1:10" ht="12.75">
      <c r="A15" s="15"/>
      <c r="B15" s="29"/>
      <c r="C15" s="4"/>
      <c r="D15" s="938"/>
      <c r="E15" s="646"/>
      <c r="F15" s="15"/>
      <c r="G15" s="29"/>
      <c r="H15" s="29"/>
      <c r="I15" s="938"/>
      <c r="J15" s="646"/>
    </row>
    <row r="16" spans="1:10" ht="14.25" customHeight="1">
      <c r="A16" s="35" t="s">
        <v>640</v>
      </c>
      <c r="B16" s="36"/>
      <c r="C16" s="654">
        <f>SUM(C17:C19)</f>
        <v>855379</v>
      </c>
      <c r="D16" s="937">
        <f>SUM(D17:D19)</f>
        <v>1006242</v>
      </c>
      <c r="E16" s="643">
        <f>SUM(E17:E19)</f>
        <v>1008608</v>
      </c>
      <c r="F16" s="12" t="s">
        <v>641</v>
      </c>
      <c r="G16" s="37"/>
      <c r="H16" s="59">
        <v>2136937</v>
      </c>
      <c r="I16" s="941">
        <v>3324852</v>
      </c>
      <c r="J16" s="648">
        <v>744494</v>
      </c>
    </row>
    <row r="17" spans="1:10" ht="12.75">
      <c r="A17" s="15"/>
      <c r="B17" s="4" t="s">
        <v>563</v>
      </c>
      <c r="C17" s="4">
        <v>778320</v>
      </c>
      <c r="D17" s="938">
        <v>853414</v>
      </c>
      <c r="E17" s="646">
        <v>853677</v>
      </c>
      <c r="F17" s="15"/>
      <c r="G17" s="29"/>
      <c r="H17" s="29"/>
      <c r="I17" s="938"/>
      <c r="J17" s="646"/>
    </row>
    <row r="18" spans="1:10" ht="12.75">
      <c r="A18" s="38"/>
      <c r="B18" s="39" t="s">
        <v>642</v>
      </c>
      <c r="C18" s="4">
        <v>77059</v>
      </c>
      <c r="D18" s="938">
        <v>77059</v>
      </c>
      <c r="E18" s="646">
        <v>85050</v>
      </c>
      <c r="F18" s="12" t="s">
        <v>643</v>
      </c>
      <c r="G18" s="37"/>
      <c r="H18" s="661">
        <v>138549</v>
      </c>
      <c r="I18" s="941">
        <v>180526</v>
      </c>
      <c r="J18" s="648">
        <v>161880</v>
      </c>
    </row>
    <row r="19" spans="1:10" ht="12.75">
      <c r="A19" s="15"/>
      <c r="B19" s="29" t="s">
        <v>96</v>
      </c>
      <c r="C19" s="4"/>
      <c r="D19" s="938">
        <v>75769</v>
      </c>
      <c r="E19" s="646">
        <v>69881</v>
      </c>
      <c r="F19" s="12"/>
      <c r="G19" s="28"/>
      <c r="H19" s="987"/>
      <c r="I19" s="938"/>
      <c r="J19" s="646"/>
    </row>
    <row r="20" spans="1:10" ht="12.75">
      <c r="A20" s="15"/>
      <c r="B20" s="29"/>
      <c r="C20" s="4"/>
      <c r="D20" s="938"/>
      <c r="E20" s="646"/>
      <c r="F20" s="1241" t="s">
        <v>645</v>
      </c>
      <c r="G20" s="1242"/>
      <c r="H20" s="59">
        <v>134081</v>
      </c>
      <c r="I20" s="941">
        <v>82931</v>
      </c>
      <c r="J20" s="648">
        <v>98431</v>
      </c>
    </row>
    <row r="21" spans="1:10" ht="12.75" customHeight="1">
      <c r="A21" s="40" t="s">
        <v>644</v>
      </c>
      <c r="B21" s="41"/>
      <c r="C21" s="654">
        <f>SUM(C22:C24)</f>
        <v>105021</v>
      </c>
      <c r="D21" s="937">
        <f>SUM(D22:D24)</f>
        <v>194823</v>
      </c>
      <c r="E21" s="643">
        <f>SUM(E22:E24)</f>
        <v>222795</v>
      </c>
      <c r="F21" s="12"/>
      <c r="G21" s="37"/>
      <c r="H21" s="661"/>
      <c r="I21" s="938"/>
      <c r="J21" s="646"/>
    </row>
    <row r="22" spans="1:10" ht="12.75">
      <c r="A22" s="42"/>
      <c r="B22" s="43" t="s">
        <v>566</v>
      </c>
      <c r="C22" s="653">
        <v>82410</v>
      </c>
      <c r="D22" s="936">
        <v>154581</v>
      </c>
      <c r="E22" s="642">
        <v>183585</v>
      </c>
      <c r="F22" s="16" t="s">
        <v>646</v>
      </c>
      <c r="G22" s="29"/>
      <c r="H22" s="654">
        <f>SUM(H23:H25)</f>
        <v>159632</v>
      </c>
      <c r="I22" s="937">
        <f>SUM(I23:I25)</f>
        <v>97965</v>
      </c>
      <c r="J22" s="643">
        <f>SUM(J23:J25)</f>
        <v>3936</v>
      </c>
    </row>
    <row r="23" spans="1:10" ht="12.75">
      <c r="A23" s="15"/>
      <c r="B23" s="34" t="s">
        <v>567</v>
      </c>
      <c r="C23" s="4">
        <v>22611</v>
      </c>
      <c r="D23" s="938">
        <v>16879</v>
      </c>
      <c r="E23" s="646">
        <v>13217</v>
      </c>
      <c r="F23" s="15"/>
      <c r="G23" s="29" t="s">
        <v>601</v>
      </c>
      <c r="H23" s="4">
        <v>13000</v>
      </c>
      <c r="I23" s="938">
        <v>2645</v>
      </c>
      <c r="J23" s="646"/>
    </row>
    <row r="24" spans="1:10" ht="12.75">
      <c r="A24" s="15"/>
      <c r="B24" s="29" t="s">
        <v>795</v>
      </c>
      <c r="C24" s="29"/>
      <c r="D24" s="938">
        <v>23363</v>
      </c>
      <c r="E24" s="646">
        <v>25993</v>
      </c>
      <c r="F24" s="15"/>
      <c r="G24" s="29" t="s">
        <v>602</v>
      </c>
      <c r="H24" s="4">
        <v>100000</v>
      </c>
      <c r="I24" s="938">
        <v>36999</v>
      </c>
      <c r="J24" s="646">
        <v>369</v>
      </c>
    </row>
    <row r="25" spans="1:10" ht="12.75">
      <c r="A25" s="15"/>
      <c r="B25" s="29"/>
      <c r="C25" s="29"/>
      <c r="D25" s="939"/>
      <c r="E25" s="647"/>
      <c r="F25" s="15"/>
      <c r="G25" s="28" t="s">
        <v>603</v>
      </c>
      <c r="H25" s="988">
        <v>46632</v>
      </c>
      <c r="I25" s="938">
        <v>58321</v>
      </c>
      <c r="J25" s="646">
        <v>3567</v>
      </c>
    </row>
    <row r="26" spans="1:10" ht="13.5" customHeight="1">
      <c r="A26" s="35" t="s">
        <v>647</v>
      </c>
      <c r="B26" s="30"/>
      <c r="C26" s="654">
        <f>SUM(C27:C33)</f>
        <v>450279</v>
      </c>
      <c r="D26" s="937">
        <f>SUM(D27:D33)</f>
        <v>489276</v>
      </c>
      <c r="E26" s="643">
        <f>SUM(E27:E33)</f>
        <v>88526</v>
      </c>
      <c r="F26" s="15"/>
      <c r="G26" s="28"/>
      <c r="H26" s="988"/>
      <c r="I26" s="938"/>
      <c r="J26" s="646"/>
    </row>
    <row r="27" spans="1:10" ht="12.75">
      <c r="A27" s="15"/>
      <c r="B27" s="29" t="s">
        <v>569</v>
      </c>
      <c r="C27" s="4">
        <v>250</v>
      </c>
      <c r="D27" s="938">
        <v>4935</v>
      </c>
      <c r="E27" s="644">
        <v>4685</v>
      </c>
      <c r="F27" s="16" t="s">
        <v>650</v>
      </c>
      <c r="G27" s="46"/>
      <c r="H27" s="59">
        <f>SUM(H28:H30)</f>
        <v>2330302</v>
      </c>
      <c r="I27" s="946">
        <f>SUM(I28:I30)</f>
        <v>91307</v>
      </c>
      <c r="J27" s="659">
        <f>SUM(J28:J30)</f>
        <v>20367</v>
      </c>
    </row>
    <row r="28" spans="1:10" ht="12.75" customHeight="1">
      <c r="A28" s="3"/>
      <c r="B28" s="44" t="s">
        <v>648</v>
      </c>
      <c r="C28" s="653">
        <v>277977</v>
      </c>
      <c r="D28" s="936">
        <v>277977</v>
      </c>
      <c r="E28" s="645">
        <v>4977</v>
      </c>
      <c r="F28" s="15"/>
      <c r="G28" s="29" t="s">
        <v>650</v>
      </c>
      <c r="H28" s="4">
        <v>50000</v>
      </c>
      <c r="I28" s="938">
        <v>13189</v>
      </c>
      <c r="J28" s="646">
        <v>13189</v>
      </c>
    </row>
    <row r="29" spans="1:10" ht="12.75" customHeight="1">
      <c r="A29" s="15"/>
      <c r="B29" s="45" t="s">
        <v>649</v>
      </c>
      <c r="C29" s="4">
        <v>162972</v>
      </c>
      <c r="D29" s="938">
        <v>162972</v>
      </c>
      <c r="E29" s="644">
        <v>42472</v>
      </c>
      <c r="F29" s="15"/>
      <c r="G29" s="29" t="s">
        <v>412</v>
      </c>
      <c r="H29" s="4"/>
      <c r="I29" s="938">
        <v>78118</v>
      </c>
      <c r="J29" s="646">
        <v>7178</v>
      </c>
    </row>
    <row r="30" spans="1:10" ht="12.75" customHeight="1">
      <c r="A30" s="12"/>
      <c r="B30" s="44" t="s">
        <v>572</v>
      </c>
      <c r="C30" s="4">
        <v>7080</v>
      </c>
      <c r="D30" s="938">
        <v>13080</v>
      </c>
      <c r="E30" s="644">
        <v>13080</v>
      </c>
      <c r="F30" s="15"/>
      <c r="G30" s="29" t="s">
        <v>605</v>
      </c>
      <c r="H30" s="4">
        <v>2280302</v>
      </c>
      <c r="I30" s="938"/>
      <c r="J30" s="646"/>
    </row>
    <row r="31" spans="1:10" ht="12.75" customHeight="1">
      <c r="A31" s="12"/>
      <c r="B31" s="29" t="s">
        <v>651</v>
      </c>
      <c r="C31" s="4">
        <v>2000</v>
      </c>
      <c r="D31" s="938">
        <v>29600</v>
      </c>
      <c r="E31" s="644">
        <v>21600</v>
      </c>
      <c r="F31" s="15"/>
      <c r="G31" s="29"/>
      <c r="H31" s="4"/>
      <c r="I31" s="938"/>
      <c r="J31" s="646"/>
    </row>
    <row r="32" spans="1:10" ht="12.75" customHeight="1">
      <c r="A32" s="15"/>
      <c r="B32" s="29" t="s">
        <v>390</v>
      </c>
      <c r="C32" s="4"/>
      <c r="D32" s="938">
        <v>712</v>
      </c>
      <c r="E32" s="644">
        <v>1712</v>
      </c>
      <c r="F32" s="16" t="s">
        <v>616</v>
      </c>
      <c r="G32" s="29"/>
      <c r="H32" s="654">
        <f>30246-2200</f>
        <v>28046</v>
      </c>
      <c r="I32" s="941">
        <v>28046</v>
      </c>
      <c r="J32" s="648">
        <v>28046</v>
      </c>
    </row>
    <row r="33" spans="1:10" ht="12.75" customHeight="1">
      <c r="A33" s="15"/>
      <c r="B33" s="29"/>
      <c r="C33" s="4"/>
      <c r="D33" s="938"/>
      <c r="E33" s="644"/>
      <c r="F33" s="15"/>
      <c r="G33" s="29"/>
      <c r="H33" s="29"/>
      <c r="I33" s="938"/>
      <c r="J33" s="646"/>
    </row>
    <row r="34" spans="1:10" ht="12.75">
      <c r="A34" s="40" t="s">
        <v>575</v>
      </c>
      <c r="B34" s="41"/>
      <c r="C34" s="655">
        <f>SUM(C35:C36)</f>
        <v>3256122</v>
      </c>
      <c r="D34" s="941">
        <f>SUM(D35:D36)</f>
        <v>1990674</v>
      </c>
      <c r="E34" s="648">
        <f>SUM(E35:E36)</f>
        <v>461454</v>
      </c>
      <c r="F34" s="16" t="s">
        <v>652</v>
      </c>
      <c r="G34" s="28"/>
      <c r="H34" s="59">
        <f>SUM(H35:H36)</f>
        <v>10100</v>
      </c>
      <c r="I34" s="985">
        <f>SUM(I35:I36)</f>
        <v>241545</v>
      </c>
      <c r="J34" s="943">
        <f>SUM(J35:J36)</f>
        <v>241545</v>
      </c>
    </row>
    <row r="35" spans="1:10" ht="12.75" customHeight="1">
      <c r="A35" s="16"/>
      <c r="B35" s="28" t="s">
        <v>97</v>
      </c>
      <c r="C35" s="653">
        <v>0</v>
      </c>
      <c r="D35" s="936">
        <v>1099</v>
      </c>
      <c r="E35" s="642">
        <v>3599</v>
      </c>
      <c r="F35" s="15"/>
      <c r="G35" s="28" t="s">
        <v>653</v>
      </c>
      <c r="H35" s="653">
        <v>5300</v>
      </c>
      <c r="I35" s="938">
        <v>1900</v>
      </c>
      <c r="J35" s="646">
        <v>1900</v>
      </c>
    </row>
    <row r="36" spans="1:10" ht="12.75" customHeight="1">
      <c r="A36" s="3"/>
      <c r="B36" s="34" t="s">
        <v>577</v>
      </c>
      <c r="C36" s="653">
        <f>SUM(C37,C39,C41)</f>
        <v>3256122</v>
      </c>
      <c r="D36" s="936">
        <f>SUM(D37,D39,D41)</f>
        <v>1989575</v>
      </c>
      <c r="E36" s="642">
        <f>SUM(E37,E39,E41)</f>
        <v>457855</v>
      </c>
      <c r="F36" s="15"/>
      <c r="G36" s="28" t="s">
        <v>613</v>
      </c>
      <c r="H36" s="653">
        <v>4800</v>
      </c>
      <c r="I36" s="938">
        <v>239645</v>
      </c>
      <c r="J36" s="646">
        <v>239645</v>
      </c>
    </row>
    <row r="37" spans="1:10" ht="12.75" customHeight="1">
      <c r="A37" s="3"/>
      <c r="B37" s="47" t="s">
        <v>578</v>
      </c>
      <c r="C37" s="656">
        <v>1537265</v>
      </c>
      <c r="D37" s="940">
        <v>1984525</v>
      </c>
      <c r="E37" s="649">
        <v>452805</v>
      </c>
      <c r="F37" s="15"/>
      <c r="G37" s="28"/>
      <c r="H37" s="653"/>
      <c r="I37" s="938"/>
      <c r="J37" s="646"/>
    </row>
    <row r="38" spans="1:10" ht="12.75" customHeight="1">
      <c r="A38" s="3"/>
      <c r="B38" s="47" t="s">
        <v>654</v>
      </c>
      <c r="C38" s="656">
        <v>11084</v>
      </c>
      <c r="D38" s="940">
        <v>11084</v>
      </c>
      <c r="E38" s="649">
        <v>11084</v>
      </c>
      <c r="F38" s="15"/>
      <c r="G38" s="28"/>
      <c r="H38" s="653"/>
      <c r="I38" s="938"/>
      <c r="J38" s="646"/>
    </row>
    <row r="39" spans="1:10" ht="12.75" customHeight="1">
      <c r="A39" s="3"/>
      <c r="B39" s="48" t="s">
        <v>579</v>
      </c>
      <c r="C39" s="656">
        <f>1591726+127081</f>
        <v>1718807</v>
      </c>
      <c r="D39" s="940">
        <v>0</v>
      </c>
      <c r="E39" s="649">
        <v>0</v>
      </c>
      <c r="F39" s="15"/>
      <c r="G39" s="28"/>
      <c r="H39" s="653"/>
      <c r="I39" s="938"/>
      <c r="J39" s="646"/>
    </row>
    <row r="40" spans="1:10" ht="13.5" customHeight="1">
      <c r="A40" s="3"/>
      <c r="B40" s="48" t="s">
        <v>654</v>
      </c>
      <c r="C40" s="656">
        <v>329362</v>
      </c>
      <c r="D40" s="940">
        <v>0</v>
      </c>
      <c r="E40" s="649">
        <v>0</v>
      </c>
      <c r="F40" s="42"/>
      <c r="G40" s="915"/>
      <c r="H40" s="653"/>
      <c r="I40" s="941"/>
      <c r="J40" s="648"/>
    </row>
    <row r="41" spans="1:10" ht="12.75" customHeight="1">
      <c r="A41" s="3"/>
      <c r="B41" s="47" t="s">
        <v>655</v>
      </c>
      <c r="C41" s="656">
        <v>50</v>
      </c>
      <c r="D41" s="940">
        <v>5050</v>
      </c>
      <c r="E41" s="649">
        <v>5050</v>
      </c>
      <c r="F41" s="15"/>
      <c r="G41" s="29"/>
      <c r="H41" s="29"/>
      <c r="I41" s="938"/>
      <c r="J41" s="646"/>
    </row>
    <row r="42" spans="1:10" ht="12.75" customHeight="1">
      <c r="A42" s="3"/>
      <c r="B42" s="47"/>
      <c r="C42" s="656"/>
      <c r="D42" s="940"/>
      <c r="E42" s="649"/>
      <c r="F42" s="15"/>
      <c r="G42" s="29"/>
      <c r="H42" s="29"/>
      <c r="I42" s="938"/>
      <c r="J42" s="646"/>
    </row>
    <row r="43" spans="1:10" ht="12.75" customHeight="1">
      <c r="A43" s="1239" t="s">
        <v>425</v>
      </c>
      <c r="B43" s="1240"/>
      <c r="C43" s="656"/>
      <c r="D43" s="941">
        <v>47464</v>
      </c>
      <c r="E43" s="648">
        <v>47464</v>
      </c>
      <c r="F43" s="1239" t="s">
        <v>425</v>
      </c>
      <c r="G43" s="1240"/>
      <c r="H43" s="653"/>
      <c r="I43" s="941">
        <v>17778</v>
      </c>
      <c r="J43" s="648">
        <v>17778</v>
      </c>
    </row>
    <row r="44" spans="1:10" ht="12.75" customHeight="1">
      <c r="A44" s="15"/>
      <c r="B44" s="29"/>
      <c r="C44" s="29"/>
      <c r="D44" s="939"/>
      <c r="E44" s="647"/>
      <c r="F44" s="15"/>
      <c r="G44" s="29"/>
      <c r="H44" s="29"/>
      <c r="I44" s="938"/>
      <c r="J44" s="646"/>
    </row>
    <row r="45" spans="1:10" ht="12.75" customHeight="1">
      <c r="A45" s="35" t="s">
        <v>581</v>
      </c>
      <c r="B45" s="44"/>
      <c r="C45" s="654">
        <v>109449</v>
      </c>
      <c r="D45" s="937">
        <v>173389</v>
      </c>
      <c r="E45" s="643">
        <v>27931</v>
      </c>
      <c r="F45" s="15"/>
      <c r="G45" s="29"/>
      <c r="H45" s="29"/>
      <c r="I45" s="938"/>
      <c r="J45" s="646"/>
    </row>
    <row r="46" spans="1:10" ht="12.75" customHeight="1">
      <c r="A46" s="15"/>
      <c r="B46" s="29"/>
      <c r="C46" s="29"/>
      <c r="D46" s="939"/>
      <c r="E46" s="647"/>
      <c r="F46" s="15"/>
      <c r="G46" s="29"/>
      <c r="H46" s="4"/>
      <c r="I46" s="938"/>
      <c r="J46" s="646"/>
    </row>
    <row r="47" spans="1:10" s="17" customFormat="1" ht="12.75" customHeight="1">
      <c r="A47" s="16" t="s">
        <v>582</v>
      </c>
      <c r="B47" s="30"/>
      <c r="C47" s="654">
        <v>1507660</v>
      </c>
      <c r="D47" s="937">
        <v>1527375</v>
      </c>
      <c r="E47" s="643">
        <v>1538275</v>
      </c>
      <c r="F47" s="16" t="s">
        <v>656</v>
      </c>
      <c r="G47" s="30"/>
      <c r="H47" s="654">
        <v>1507660</v>
      </c>
      <c r="I47" s="937">
        <v>1527375</v>
      </c>
      <c r="J47" s="643">
        <v>1538275</v>
      </c>
    </row>
    <row r="48" spans="1:10" ht="12.75" customHeight="1">
      <c r="A48" s="15"/>
      <c r="B48" s="29"/>
      <c r="C48" s="29"/>
      <c r="D48" s="939"/>
      <c r="E48" s="647"/>
      <c r="F48" s="15"/>
      <c r="G48" s="29"/>
      <c r="H48" s="4"/>
      <c r="I48" s="938"/>
      <c r="J48" s="646"/>
    </row>
    <row r="49" spans="1:10" ht="12.75" customHeight="1">
      <c r="A49" s="49" t="s">
        <v>657</v>
      </c>
      <c r="B49" s="50"/>
      <c r="C49" s="655">
        <f>SUM(C6,C8,C16,C21,C26,C34,C45,C47)</f>
        <v>8329489</v>
      </c>
      <c r="D49" s="941">
        <f>SUM(D6,D8,D16,D21,D26,D34,D45,D47+D43)</f>
        <v>7705892</v>
      </c>
      <c r="E49" s="650">
        <f>SUM(E6,E8,E16,E21,E26,E34,E45,E47+E43)</f>
        <v>5677361</v>
      </c>
      <c r="F49" s="51" t="s">
        <v>658</v>
      </c>
      <c r="G49" s="52"/>
      <c r="H49" s="661">
        <f>SUM(H6+H8+H10+H12+H16+H18+H20+H22+H27+H32+H34+H43+H47)</f>
        <v>9422537</v>
      </c>
      <c r="I49" s="946">
        <f>SUM(I6+I8+I10+I12+I16+I18+I20+I22+I27+I32+I34+I43+I47)</f>
        <v>9107499</v>
      </c>
      <c r="J49" s="659">
        <f>SUM(J6+J8+J10+J12+J16+J18+J20+J22+J27+J32+J34+J43+J47)</f>
        <v>6404069</v>
      </c>
    </row>
    <row r="50" spans="1:10" ht="12.75" customHeight="1">
      <c r="A50" s="15"/>
      <c r="B50" s="29"/>
      <c r="C50" s="29"/>
      <c r="D50" s="939"/>
      <c r="E50" s="647"/>
      <c r="F50" s="15"/>
      <c r="G50" s="52"/>
      <c r="H50" s="989"/>
      <c r="I50" s="938"/>
      <c r="J50" s="646"/>
    </row>
    <row r="51" spans="1:10" ht="12.75" customHeight="1">
      <c r="A51" s="53" t="s">
        <v>659</v>
      </c>
      <c r="B51" s="41"/>
      <c r="C51" s="654">
        <f>C49-H49</f>
        <v>-1093048</v>
      </c>
      <c r="D51" s="937"/>
      <c r="E51" s="643"/>
      <c r="F51" s="16"/>
      <c r="G51" s="52"/>
      <c r="H51" s="989"/>
      <c r="I51" s="938"/>
      <c r="J51" s="646"/>
    </row>
    <row r="52" spans="1:10" ht="12" customHeight="1">
      <c r="A52" s="54" t="s">
        <v>660</v>
      </c>
      <c r="B52" s="55"/>
      <c r="C52" s="4"/>
      <c r="D52" s="938"/>
      <c r="E52" s="646"/>
      <c r="F52" s="15" t="s">
        <v>661</v>
      </c>
      <c r="G52" s="37"/>
      <c r="H52" s="988">
        <v>123539</v>
      </c>
      <c r="I52" s="938">
        <v>98579</v>
      </c>
      <c r="J52" s="646">
        <v>98579</v>
      </c>
    </row>
    <row r="53" spans="1:10" ht="12.75" customHeight="1">
      <c r="A53" s="18" t="s">
        <v>662</v>
      </c>
      <c r="B53" s="56"/>
      <c r="C53" s="656">
        <v>501869</v>
      </c>
      <c r="D53" s="940">
        <v>825287</v>
      </c>
      <c r="E53" s="649">
        <v>825287</v>
      </c>
      <c r="F53" s="51"/>
      <c r="G53" s="29"/>
      <c r="H53" s="653"/>
      <c r="I53" s="938"/>
      <c r="J53" s="646"/>
    </row>
    <row r="54" spans="1:10" ht="12.75" customHeight="1">
      <c r="A54" s="1227" t="s">
        <v>663</v>
      </c>
      <c r="B54" s="1228"/>
      <c r="C54" s="656">
        <v>714718</v>
      </c>
      <c r="D54" s="940">
        <v>674899</v>
      </c>
      <c r="E54" s="649"/>
      <c r="F54" s="51"/>
      <c r="G54" s="37"/>
      <c r="H54" s="59"/>
      <c r="I54" s="938"/>
      <c r="J54" s="646"/>
    </row>
    <row r="55" spans="1:10" ht="12.75" customHeight="1">
      <c r="A55" s="57"/>
      <c r="B55" s="58"/>
      <c r="C55" s="4"/>
      <c r="D55" s="938"/>
      <c r="E55" s="646"/>
      <c r="F55" s="51"/>
      <c r="G55" s="37"/>
      <c r="H55" s="59"/>
      <c r="I55" s="938"/>
      <c r="J55" s="646"/>
    </row>
    <row r="56" spans="1:10" ht="12.75" customHeight="1">
      <c r="A56" s="1229" t="s">
        <v>664</v>
      </c>
      <c r="B56" s="1230"/>
      <c r="C56" s="655">
        <f>SUM(C53:C54)</f>
        <v>1216587</v>
      </c>
      <c r="D56" s="941">
        <f>SUM(D53:D54)</f>
        <v>1500186</v>
      </c>
      <c r="E56" s="648">
        <f>SUM(E53:E54)</f>
        <v>825287</v>
      </c>
      <c r="F56" s="12" t="s">
        <v>665</v>
      </c>
      <c r="G56" s="59"/>
      <c r="H56" s="654">
        <f>SUM(H52)</f>
        <v>123539</v>
      </c>
      <c r="I56" s="937">
        <f>SUM(I52)</f>
        <v>98579</v>
      </c>
      <c r="J56" s="643">
        <f>SUM(J52)</f>
        <v>98579</v>
      </c>
    </row>
    <row r="57" spans="1:10" ht="12.75" customHeight="1">
      <c r="A57" s="1231"/>
      <c r="B57" s="1232"/>
      <c r="C57" s="653"/>
      <c r="D57" s="936"/>
      <c r="E57" s="642"/>
      <c r="F57" s="12"/>
      <c r="G57" s="29"/>
      <c r="H57" s="29"/>
      <c r="I57" s="938"/>
      <c r="J57" s="646"/>
    </row>
    <row r="58" spans="1:10" ht="12.75" customHeight="1" thickBot="1">
      <c r="A58" s="60" t="s">
        <v>585</v>
      </c>
      <c r="B58" s="61"/>
      <c r="C58" s="61">
        <f>SUM(C49,C56)</f>
        <v>9546076</v>
      </c>
      <c r="D58" s="942">
        <f>SUM(D49+D56)</f>
        <v>9206078</v>
      </c>
      <c r="E58" s="651">
        <f>SUM(E49+E56)</f>
        <v>6502648</v>
      </c>
      <c r="F58" s="62" t="s">
        <v>626</v>
      </c>
      <c r="G58" s="63"/>
      <c r="H58" s="990">
        <f>SUM(H49,H56)</f>
        <v>9546076</v>
      </c>
      <c r="I58" s="947">
        <f>SUM(I49,I56)</f>
        <v>9206078</v>
      </c>
      <c r="J58" s="660">
        <f>SUM(J49,J56)</f>
        <v>6502648</v>
      </c>
    </row>
    <row r="59" ht="15" customHeight="1">
      <c r="I59" s="64"/>
    </row>
    <row r="60" spans="1:9" ht="15" customHeight="1">
      <c r="A60" s="1411" t="s">
        <v>211</v>
      </c>
      <c r="I60" s="64"/>
    </row>
    <row r="61" spans="1:9" ht="15" customHeight="1">
      <c r="A61" s="8" t="s">
        <v>212</v>
      </c>
      <c r="I61" s="64"/>
    </row>
    <row r="62" spans="1:9" ht="15" customHeight="1">
      <c r="A62" s="8" t="s">
        <v>213</v>
      </c>
      <c r="F62" s="14"/>
      <c r="I62" s="64"/>
    </row>
    <row r="63" spans="1:9" ht="15" customHeight="1">
      <c r="A63" s="8" t="s">
        <v>214</v>
      </c>
      <c r="I63" s="64"/>
    </row>
    <row r="64" spans="1:9" ht="15" customHeight="1">
      <c r="A64" s="8" t="s">
        <v>215</v>
      </c>
      <c r="I64" s="64"/>
    </row>
    <row r="65" ht="15" customHeight="1">
      <c r="I65" s="64"/>
    </row>
    <row r="66" ht="15" customHeight="1">
      <c r="I66" s="64"/>
    </row>
    <row r="67" spans="1:9" ht="15" customHeight="1">
      <c r="A67" s="14"/>
      <c r="B67" s="13"/>
      <c r="C67" s="65"/>
      <c r="D67" s="65"/>
      <c r="E67" s="65"/>
      <c r="I67" s="64"/>
    </row>
    <row r="68" ht="15" customHeight="1">
      <c r="I68" s="64"/>
    </row>
    <row r="69" ht="12.75" customHeight="1">
      <c r="I69" s="64"/>
    </row>
  </sheetData>
  <mergeCells count="9">
    <mergeCell ref="A2:J2"/>
    <mergeCell ref="A54:B54"/>
    <mergeCell ref="A56:B56"/>
    <mergeCell ref="A57:B57"/>
    <mergeCell ref="A4:E4"/>
    <mergeCell ref="F4:J4"/>
    <mergeCell ref="A43:B43"/>
    <mergeCell ref="F20:G20"/>
    <mergeCell ref="F43:G43"/>
  </mergeCells>
  <printOptions horizontalCentered="1"/>
  <pageMargins left="0" right="0" top="0.72" bottom="0.37" header="0.47" footer="0"/>
  <pageSetup horizontalDpi="600" verticalDpi="600" orientation="landscape" paperSize="9" scale="63" r:id="rId1"/>
  <headerFooter alignWithMargins="0">
    <oddHeader>&amp;L 1. melléklet a 2/2014.(II.27.) önkormányzati rendelethez
"1. melléklet az 1/2013.(II.01.)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SheetLayoutView="100" workbookViewId="0" topLeftCell="A28">
      <selection activeCell="A50" sqref="A50"/>
    </sheetView>
  </sheetViews>
  <sheetFormatPr defaultColWidth="9.00390625" defaultRowHeight="12.75"/>
  <cols>
    <col min="1" max="1" width="17.875" style="502" customWidth="1"/>
    <col min="2" max="2" width="11.75390625" style="502" customWidth="1"/>
    <col min="3" max="3" width="9.00390625" style="502" customWidth="1"/>
    <col min="4" max="4" width="10.25390625" style="502" customWidth="1"/>
    <col min="5" max="5" width="7.625" style="502" customWidth="1"/>
    <col min="6" max="6" width="11.25390625" style="502" customWidth="1"/>
    <col min="7" max="7" width="9.75390625" style="502" customWidth="1"/>
    <col min="8" max="8" width="11.75390625" style="502" customWidth="1"/>
    <col min="9" max="9" width="7.625" style="502" customWidth="1"/>
    <col min="10" max="10" width="8.875" style="502" customWidth="1"/>
    <col min="11" max="11" width="12.75390625" style="502" customWidth="1"/>
    <col min="12" max="12" width="8.125" style="502" customWidth="1"/>
    <col min="13" max="13" width="6.875" style="502" customWidth="1"/>
    <col min="14" max="15" width="13.75390625" style="502" customWidth="1"/>
    <col min="16" max="17" width="9.125" style="502" hidden="1" customWidth="1"/>
    <col min="18" max="16384" width="9.125" style="502" customWidth="1"/>
  </cols>
  <sheetData>
    <row r="1" spans="1:15" ht="12.75">
      <c r="A1" s="1351"/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</row>
    <row r="2" spans="1:15" ht="12.75">
      <c r="A2" s="1351" t="s">
        <v>757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</row>
    <row r="3" spans="1:15" ht="13.5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2.75" customHeight="1">
      <c r="A4" s="1352" t="s">
        <v>758</v>
      </c>
      <c r="B4" s="1353"/>
      <c r="C4" s="1340" t="s">
        <v>668</v>
      </c>
      <c r="D4" s="1338" t="s">
        <v>759</v>
      </c>
      <c r="E4" s="1339"/>
      <c r="F4" s="1340" t="s">
        <v>720</v>
      </c>
      <c r="G4" s="1338" t="s">
        <v>721</v>
      </c>
      <c r="H4" s="1339"/>
      <c r="I4" s="1338" t="s">
        <v>722</v>
      </c>
      <c r="J4" s="1339"/>
      <c r="K4" s="1340" t="s">
        <v>723</v>
      </c>
      <c r="L4" s="1338" t="s">
        <v>724</v>
      </c>
      <c r="M4" s="1339"/>
      <c r="N4" s="1340" t="s">
        <v>760</v>
      </c>
      <c r="O4" s="1356" t="s">
        <v>725</v>
      </c>
    </row>
    <row r="5" spans="1:15" ht="30" customHeight="1">
      <c r="A5" s="1354"/>
      <c r="B5" s="1355"/>
      <c r="C5" s="1341"/>
      <c r="D5" s="120" t="s">
        <v>761</v>
      </c>
      <c r="E5" s="120" t="s">
        <v>719</v>
      </c>
      <c r="F5" s="1341"/>
      <c r="G5" s="120" t="s">
        <v>729</v>
      </c>
      <c r="H5" s="120" t="s">
        <v>730</v>
      </c>
      <c r="I5" s="120" t="s">
        <v>729</v>
      </c>
      <c r="J5" s="120" t="s">
        <v>730</v>
      </c>
      <c r="K5" s="1341"/>
      <c r="L5" s="120" t="s">
        <v>731</v>
      </c>
      <c r="M5" s="120" t="s">
        <v>732</v>
      </c>
      <c r="N5" s="1341"/>
      <c r="O5" s="1357"/>
    </row>
    <row r="6" spans="1:15" ht="12.75">
      <c r="A6" s="1342" t="s">
        <v>762</v>
      </c>
      <c r="B6" s="503" t="s">
        <v>539</v>
      </c>
      <c r="C6" s="504">
        <f>7666281/1000</f>
        <v>7666.281</v>
      </c>
      <c r="D6" s="504">
        <v>0</v>
      </c>
      <c r="E6" s="504">
        <f>1176627/1000</f>
        <v>1176.627</v>
      </c>
      <c r="F6" s="504"/>
      <c r="G6" s="504">
        <f>500000/1000</f>
        <v>500</v>
      </c>
      <c r="H6" s="504">
        <v>0</v>
      </c>
      <c r="I6" s="504">
        <v>0</v>
      </c>
      <c r="J6" s="504">
        <v>0</v>
      </c>
      <c r="K6" s="504">
        <v>0</v>
      </c>
      <c r="L6" s="504"/>
      <c r="M6" s="504"/>
      <c r="N6" s="504">
        <v>134516</v>
      </c>
      <c r="O6" s="505">
        <f>SUM(C6+F6+G6+H6+I6+J6+K6+L6+M6+N6)</f>
        <v>142682.281</v>
      </c>
    </row>
    <row r="7" spans="1:15" ht="12.75">
      <c r="A7" s="1343"/>
      <c r="B7" s="506" t="s">
        <v>915</v>
      </c>
      <c r="C7" s="507">
        <v>17236</v>
      </c>
      <c r="D7" s="507">
        <v>602</v>
      </c>
      <c r="E7" s="507">
        <v>5676</v>
      </c>
      <c r="F7" s="507"/>
      <c r="G7" s="507">
        <v>3743</v>
      </c>
      <c r="H7" s="507"/>
      <c r="I7" s="507"/>
      <c r="J7" s="507"/>
      <c r="K7" s="507"/>
      <c r="L7" s="507"/>
      <c r="M7" s="507">
        <v>29686</v>
      </c>
      <c r="N7" s="507">
        <v>92533</v>
      </c>
      <c r="O7" s="505">
        <f aca="true" t="shared" si="0" ref="O7:O17">SUM(C7+F7+G7+H7+I7+J7+K7+L7+M7+N7)</f>
        <v>143198</v>
      </c>
    </row>
    <row r="8" spans="1:15" ht="12.75">
      <c r="A8" s="1344"/>
      <c r="B8" s="506" t="s">
        <v>741</v>
      </c>
      <c r="C8" s="507">
        <v>18712</v>
      </c>
      <c r="D8" s="507">
        <v>690</v>
      </c>
      <c r="E8" s="507">
        <v>5945</v>
      </c>
      <c r="F8" s="507"/>
      <c r="G8" s="507"/>
      <c r="H8" s="507"/>
      <c r="I8" s="507">
        <v>3843</v>
      </c>
      <c r="J8" s="507"/>
      <c r="K8" s="507"/>
      <c r="L8" s="507"/>
      <c r="M8" s="507">
        <v>29686</v>
      </c>
      <c r="N8" s="507">
        <v>95063</v>
      </c>
      <c r="O8" s="505">
        <f t="shared" si="0"/>
        <v>147304</v>
      </c>
    </row>
    <row r="9" spans="1:15" ht="12.75">
      <c r="A9" s="1342" t="s">
        <v>763</v>
      </c>
      <c r="B9" s="503" t="s">
        <v>539</v>
      </c>
      <c r="C9" s="504">
        <v>0</v>
      </c>
      <c r="D9" s="504">
        <v>0</v>
      </c>
      <c r="E9" s="504">
        <v>0</v>
      </c>
      <c r="F9" s="504"/>
      <c r="G9" s="504">
        <v>0</v>
      </c>
      <c r="H9" s="504">
        <v>0</v>
      </c>
      <c r="I9" s="504">
        <v>0</v>
      </c>
      <c r="J9" s="504">
        <v>0</v>
      </c>
      <c r="K9" s="504">
        <v>0</v>
      </c>
      <c r="L9" s="504"/>
      <c r="M9" s="504"/>
      <c r="N9" s="504">
        <v>0</v>
      </c>
      <c r="O9" s="505">
        <f t="shared" si="0"/>
        <v>0</v>
      </c>
    </row>
    <row r="10" spans="1:15" ht="12.75">
      <c r="A10" s="1343"/>
      <c r="B10" s="506" t="s">
        <v>915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>
        <v>23367</v>
      </c>
      <c r="O10" s="505">
        <f t="shared" si="0"/>
        <v>23367</v>
      </c>
    </row>
    <row r="11" spans="1:15" ht="12.75">
      <c r="A11" s="1344"/>
      <c r="B11" s="506" t="s">
        <v>741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>
        <v>23367</v>
      </c>
      <c r="O11" s="505">
        <f t="shared" si="0"/>
        <v>23367</v>
      </c>
    </row>
    <row r="12" spans="1:15" ht="12.75">
      <c r="A12" s="1342" t="s">
        <v>764</v>
      </c>
      <c r="B12" s="503" t="s">
        <v>539</v>
      </c>
      <c r="C12" s="504">
        <f>200000/1000</f>
        <v>200</v>
      </c>
      <c r="D12" s="504">
        <v>0</v>
      </c>
      <c r="E12" s="504">
        <f>54000/1000</f>
        <v>54</v>
      </c>
      <c r="F12" s="504"/>
      <c r="G12" s="504">
        <v>0</v>
      </c>
      <c r="H12" s="504">
        <v>0</v>
      </c>
      <c r="I12" s="504">
        <v>0</v>
      </c>
      <c r="J12" s="504">
        <v>0</v>
      </c>
      <c r="K12" s="504">
        <v>0</v>
      </c>
      <c r="L12" s="504"/>
      <c r="M12" s="504"/>
      <c r="N12" s="504">
        <v>0</v>
      </c>
      <c r="O12" s="505">
        <f t="shared" si="0"/>
        <v>200</v>
      </c>
    </row>
    <row r="13" spans="1:15" ht="12.75">
      <c r="A13" s="1343"/>
      <c r="B13" s="506" t="s">
        <v>915</v>
      </c>
      <c r="C13" s="507">
        <v>200</v>
      </c>
      <c r="D13" s="507"/>
      <c r="E13" s="507">
        <v>54</v>
      </c>
      <c r="F13" s="507"/>
      <c r="G13" s="507"/>
      <c r="H13" s="507"/>
      <c r="I13" s="507"/>
      <c r="J13" s="507"/>
      <c r="K13" s="507"/>
      <c r="L13" s="507"/>
      <c r="M13" s="507"/>
      <c r="N13" s="507">
        <v>1751</v>
      </c>
      <c r="O13" s="505">
        <f t="shared" si="0"/>
        <v>1951</v>
      </c>
    </row>
    <row r="14" spans="1:15" ht="12.75">
      <c r="A14" s="1344"/>
      <c r="B14" s="506" t="s">
        <v>741</v>
      </c>
      <c r="C14" s="507">
        <v>200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>
        <v>1751</v>
      </c>
      <c r="O14" s="505">
        <f t="shared" si="0"/>
        <v>1951</v>
      </c>
    </row>
    <row r="15" spans="1:15" ht="12.75">
      <c r="A15" s="1342" t="s">
        <v>765</v>
      </c>
      <c r="B15" s="503" t="s">
        <v>539</v>
      </c>
      <c r="C15" s="504">
        <f>7600000/1000</f>
        <v>7600</v>
      </c>
      <c r="D15" s="504"/>
      <c r="E15" s="504">
        <f>1800000/1000</f>
        <v>1800</v>
      </c>
      <c r="F15" s="504"/>
      <c r="G15" s="504">
        <v>0</v>
      </c>
      <c r="H15" s="504">
        <v>0</v>
      </c>
      <c r="I15" s="504">
        <v>0</v>
      </c>
      <c r="J15" s="504">
        <v>0</v>
      </c>
      <c r="K15" s="504">
        <v>0</v>
      </c>
      <c r="L15" s="504"/>
      <c r="M15" s="504"/>
      <c r="N15" s="504">
        <v>0</v>
      </c>
      <c r="O15" s="505">
        <f t="shared" si="0"/>
        <v>7600</v>
      </c>
    </row>
    <row r="16" spans="1:15" ht="12.75">
      <c r="A16" s="1343"/>
      <c r="B16" s="506" t="s">
        <v>915</v>
      </c>
      <c r="C16" s="507">
        <v>12037</v>
      </c>
      <c r="D16" s="507"/>
      <c r="E16" s="507">
        <v>2743</v>
      </c>
      <c r="F16" s="507"/>
      <c r="G16" s="507"/>
      <c r="H16" s="507"/>
      <c r="I16" s="507"/>
      <c r="J16" s="507"/>
      <c r="K16" s="507"/>
      <c r="L16" s="507"/>
      <c r="M16" s="507"/>
      <c r="N16" s="507">
        <v>18770</v>
      </c>
      <c r="O16" s="505">
        <f t="shared" si="0"/>
        <v>30807</v>
      </c>
    </row>
    <row r="17" spans="1:15" ht="12.75">
      <c r="A17" s="1344"/>
      <c r="B17" s="506" t="s">
        <v>741</v>
      </c>
      <c r="C17" s="507">
        <v>12037</v>
      </c>
      <c r="D17" s="507"/>
      <c r="E17" s="507">
        <v>2743</v>
      </c>
      <c r="F17" s="507"/>
      <c r="G17" s="507"/>
      <c r="H17" s="507"/>
      <c r="I17" s="507"/>
      <c r="J17" s="507"/>
      <c r="K17" s="507"/>
      <c r="L17" s="507"/>
      <c r="M17" s="507"/>
      <c r="N17" s="507">
        <v>18770</v>
      </c>
      <c r="O17" s="505">
        <f t="shared" si="0"/>
        <v>30807</v>
      </c>
    </row>
    <row r="18" spans="1:15" ht="12.75">
      <c r="A18" s="1345" t="s">
        <v>1014</v>
      </c>
      <c r="B18" s="1187" t="s">
        <v>539</v>
      </c>
      <c r="C18" s="1188">
        <f>SUM(C6+C9+C12+C15)</f>
        <v>15466.280999999999</v>
      </c>
      <c r="D18" s="1188">
        <f aca="true" t="shared" si="1" ref="D18:O18">SUM(D6+D9+D12+D15)</f>
        <v>0</v>
      </c>
      <c r="E18" s="1188">
        <f t="shared" si="1"/>
        <v>3030.627</v>
      </c>
      <c r="F18" s="1188">
        <f t="shared" si="1"/>
        <v>0</v>
      </c>
      <c r="G18" s="1188">
        <f t="shared" si="1"/>
        <v>500</v>
      </c>
      <c r="H18" s="1188">
        <f t="shared" si="1"/>
        <v>0</v>
      </c>
      <c r="I18" s="1188">
        <f t="shared" si="1"/>
        <v>0</v>
      </c>
      <c r="J18" s="1188">
        <f t="shared" si="1"/>
        <v>0</v>
      </c>
      <c r="K18" s="1188">
        <f t="shared" si="1"/>
        <v>0</v>
      </c>
      <c r="L18" s="1188">
        <f t="shared" si="1"/>
        <v>0</v>
      </c>
      <c r="M18" s="1188">
        <f t="shared" si="1"/>
        <v>0</v>
      </c>
      <c r="N18" s="1188">
        <f t="shared" si="1"/>
        <v>134516</v>
      </c>
      <c r="O18" s="1189">
        <f t="shared" si="1"/>
        <v>150482.281</v>
      </c>
    </row>
    <row r="19" spans="1:17" ht="12.75">
      <c r="A19" s="1346"/>
      <c r="B19" s="1040" t="s">
        <v>915</v>
      </c>
      <c r="C19" s="835">
        <f>SUM(C7+C10+C13+C16)</f>
        <v>29473</v>
      </c>
      <c r="D19" s="835">
        <f aca="true" t="shared" si="2" ref="D19:O19">SUM(D7+D10+D13+D16)</f>
        <v>602</v>
      </c>
      <c r="E19" s="835">
        <f t="shared" si="2"/>
        <v>8473</v>
      </c>
      <c r="F19" s="835">
        <f t="shared" si="2"/>
        <v>0</v>
      </c>
      <c r="G19" s="835">
        <f t="shared" si="2"/>
        <v>3743</v>
      </c>
      <c r="H19" s="835">
        <f t="shared" si="2"/>
        <v>0</v>
      </c>
      <c r="I19" s="835">
        <f t="shared" si="2"/>
        <v>0</v>
      </c>
      <c r="J19" s="835">
        <f t="shared" si="2"/>
        <v>0</v>
      </c>
      <c r="K19" s="835">
        <f t="shared" si="2"/>
        <v>0</v>
      </c>
      <c r="L19" s="835">
        <f t="shared" si="2"/>
        <v>0</v>
      </c>
      <c r="M19" s="835">
        <f t="shared" si="2"/>
        <v>29686</v>
      </c>
      <c r="N19" s="835">
        <f t="shared" si="2"/>
        <v>136421</v>
      </c>
      <c r="O19" s="836">
        <f t="shared" si="2"/>
        <v>199323</v>
      </c>
      <c r="P19" s="834"/>
      <c r="Q19" s="834"/>
    </row>
    <row r="20" spans="1:15" ht="12.75">
      <c r="A20" s="1347"/>
      <c r="B20" s="1182" t="s">
        <v>741</v>
      </c>
      <c r="C20" s="1183">
        <f>SUM(C8+C11+C14+C17)</f>
        <v>30949</v>
      </c>
      <c r="D20" s="1183">
        <f aca="true" t="shared" si="3" ref="D20:O20">SUM(D8+D11+D14+D17)</f>
        <v>690</v>
      </c>
      <c r="E20" s="1183">
        <f t="shared" si="3"/>
        <v>8688</v>
      </c>
      <c r="F20" s="1183">
        <f t="shared" si="3"/>
        <v>0</v>
      </c>
      <c r="G20" s="1183">
        <f t="shared" si="3"/>
        <v>0</v>
      </c>
      <c r="H20" s="1183">
        <f t="shared" si="3"/>
        <v>0</v>
      </c>
      <c r="I20" s="1183">
        <f t="shared" si="3"/>
        <v>3843</v>
      </c>
      <c r="J20" s="1183">
        <f t="shared" si="3"/>
        <v>0</v>
      </c>
      <c r="K20" s="1183">
        <f t="shared" si="3"/>
        <v>0</v>
      </c>
      <c r="L20" s="1183">
        <f t="shared" si="3"/>
        <v>0</v>
      </c>
      <c r="M20" s="1183">
        <f t="shared" si="3"/>
        <v>29686</v>
      </c>
      <c r="N20" s="1183">
        <f t="shared" si="3"/>
        <v>138951</v>
      </c>
      <c r="O20" s="1184">
        <f t="shared" si="3"/>
        <v>203429</v>
      </c>
    </row>
    <row r="21" spans="1:15" ht="12.75">
      <c r="A21" s="1348" t="s">
        <v>766</v>
      </c>
      <c r="B21" s="1187" t="s">
        <v>539</v>
      </c>
      <c r="C21" s="1185">
        <f>SUM(C18)</f>
        <v>15466.280999999999</v>
      </c>
      <c r="D21" s="1185">
        <f aca="true" t="shared" si="4" ref="D21:O21">SUM(D18)</f>
        <v>0</v>
      </c>
      <c r="E21" s="1185">
        <f t="shared" si="4"/>
        <v>3030.627</v>
      </c>
      <c r="F21" s="1185">
        <f t="shared" si="4"/>
        <v>0</v>
      </c>
      <c r="G21" s="1185">
        <f t="shared" si="4"/>
        <v>500</v>
      </c>
      <c r="H21" s="1185">
        <f t="shared" si="4"/>
        <v>0</v>
      </c>
      <c r="I21" s="1185">
        <f t="shared" si="4"/>
        <v>0</v>
      </c>
      <c r="J21" s="1185">
        <f t="shared" si="4"/>
        <v>0</v>
      </c>
      <c r="K21" s="1185">
        <f t="shared" si="4"/>
        <v>0</v>
      </c>
      <c r="L21" s="1185">
        <f t="shared" si="4"/>
        <v>0</v>
      </c>
      <c r="M21" s="1185">
        <f t="shared" si="4"/>
        <v>0</v>
      </c>
      <c r="N21" s="1185">
        <f t="shared" si="4"/>
        <v>134516</v>
      </c>
      <c r="O21" s="1186">
        <f t="shared" si="4"/>
        <v>150482.281</v>
      </c>
    </row>
    <row r="22" spans="1:15" ht="12.75">
      <c r="A22" s="1349"/>
      <c r="B22" s="1040" t="s">
        <v>915</v>
      </c>
      <c r="C22" s="1185">
        <f>SUM(C19)</f>
        <v>29473</v>
      </c>
      <c r="D22" s="1185">
        <f aca="true" t="shared" si="5" ref="D22:O22">SUM(D19)</f>
        <v>602</v>
      </c>
      <c r="E22" s="1185">
        <f t="shared" si="5"/>
        <v>8473</v>
      </c>
      <c r="F22" s="1185">
        <f t="shared" si="5"/>
        <v>0</v>
      </c>
      <c r="G22" s="1185">
        <f t="shared" si="5"/>
        <v>3743</v>
      </c>
      <c r="H22" s="1185">
        <f t="shared" si="5"/>
        <v>0</v>
      </c>
      <c r="I22" s="1185">
        <f t="shared" si="5"/>
        <v>0</v>
      </c>
      <c r="J22" s="1185">
        <f t="shared" si="5"/>
        <v>0</v>
      </c>
      <c r="K22" s="1185">
        <f t="shared" si="5"/>
        <v>0</v>
      </c>
      <c r="L22" s="1185">
        <f t="shared" si="5"/>
        <v>0</v>
      </c>
      <c r="M22" s="1185">
        <f t="shared" si="5"/>
        <v>29686</v>
      </c>
      <c r="N22" s="1185">
        <f t="shared" si="5"/>
        <v>136421</v>
      </c>
      <c r="O22" s="1186">
        <f t="shared" si="5"/>
        <v>199323</v>
      </c>
    </row>
    <row r="23" spans="1:15" ht="13.5" thickBot="1">
      <c r="A23" s="1350"/>
      <c r="B23" s="1042" t="s">
        <v>741</v>
      </c>
      <c r="C23" s="1060">
        <f>SUM(C20)</f>
        <v>30949</v>
      </c>
      <c r="D23" s="1060">
        <f aca="true" t="shared" si="6" ref="D23:O23">SUM(D20)</f>
        <v>690</v>
      </c>
      <c r="E23" s="1060">
        <f t="shared" si="6"/>
        <v>8688</v>
      </c>
      <c r="F23" s="1060">
        <f t="shared" si="6"/>
        <v>0</v>
      </c>
      <c r="G23" s="1060">
        <f t="shared" si="6"/>
        <v>0</v>
      </c>
      <c r="H23" s="1060">
        <f t="shared" si="6"/>
        <v>0</v>
      </c>
      <c r="I23" s="1060">
        <f t="shared" si="6"/>
        <v>3843</v>
      </c>
      <c r="J23" s="1060">
        <f t="shared" si="6"/>
        <v>0</v>
      </c>
      <c r="K23" s="1060">
        <f t="shared" si="6"/>
        <v>0</v>
      </c>
      <c r="L23" s="1060">
        <f t="shared" si="6"/>
        <v>0</v>
      </c>
      <c r="M23" s="1060">
        <f t="shared" si="6"/>
        <v>29686</v>
      </c>
      <c r="N23" s="1060">
        <f t="shared" si="6"/>
        <v>138951</v>
      </c>
      <c r="O23" s="1061">
        <f t="shared" si="6"/>
        <v>203429</v>
      </c>
    </row>
    <row r="24" spans="1:15" ht="12.75">
      <c r="A24" s="508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</row>
    <row r="25" spans="1:11" ht="18.75" customHeight="1">
      <c r="A25" s="1351" t="s">
        <v>767</v>
      </c>
      <c r="B25" s="1351"/>
      <c r="C25" s="1351"/>
      <c r="D25" s="1351"/>
      <c r="E25" s="1351"/>
      <c r="F25" s="1351"/>
      <c r="G25" s="1351"/>
      <c r="H25" s="1351"/>
      <c r="I25" s="1351"/>
      <c r="J25" s="1351"/>
      <c r="K25" s="1351"/>
    </row>
    <row r="26" spans="1:11" ht="18.75" customHeight="1" thickBot="1">
      <c r="A26" s="119"/>
      <c r="B26" s="1190"/>
      <c r="C26" s="1190"/>
      <c r="D26" s="1190"/>
      <c r="E26" s="1190"/>
      <c r="F26" s="1190"/>
      <c r="G26" s="1190"/>
      <c r="H26" s="1190"/>
      <c r="I26" s="1190"/>
      <c r="J26" s="1190"/>
      <c r="K26" s="1190"/>
    </row>
    <row r="27" spans="1:11" ht="18.75" customHeight="1">
      <c r="A27" s="1352" t="s">
        <v>758</v>
      </c>
      <c r="B27" s="1353"/>
      <c r="C27" s="1335" t="s">
        <v>726</v>
      </c>
      <c r="D27" s="1336"/>
      <c r="E27" s="1336"/>
      <c r="F27" s="1336"/>
      <c r="G27" s="1337"/>
      <c r="H27" s="121"/>
      <c r="I27" s="1335" t="s">
        <v>727</v>
      </c>
      <c r="J27" s="1337"/>
      <c r="K27" s="1356" t="s">
        <v>728</v>
      </c>
    </row>
    <row r="28" spans="1:11" ht="34.5" customHeight="1">
      <c r="A28" s="1354"/>
      <c r="B28" s="1355"/>
      <c r="C28" s="120" t="s">
        <v>667</v>
      </c>
      <c r="D28" s="120" t="s">
        <v>733</v>
      </c>
      <c r="E28" s="120" t="s">
        <v>768</v>
      </c>
      <c r="F28" s="120" t="s">
        <v>769</v>
      </c>
      <c r="G28" s="120" t="s">
        <v>770</v>
      </c>
      <c r="H28" s="120" t="s">
        <v>771</v>
      </c>
      <c r="I28" s="120" t="s">
        <v>691</v>
      </c>
      <c r="J28" s="120" t="s">
        <v>693</v>
      </c>
      <c r="K28" s="1357"/>
    </row>
    <row r="29" spans="1:12" ht="12.75" customHeight="1">
      <c r="A29" s="1342" t="s">
        <v>762</v>
      </c>
      <c r="B29" s="503" t="s">
        <v>539</v>
      </c>
      <c r="C29" s="504">
        <v>56519</v>
      </c>
      <c r="D29" s="504">
        <v>15089</v>
      </c>
      <c r="E29" s="504">
        <v>48195</v>
      </c>
      <c r="F29" s="504">
        <v>0</v>
      </c>
      <c r="G29" s="504">
        <v>0</v>
      </c>
      <c r="H29" s="504">
        <v>0</v>
      </c>
      <c r="I29" s="504">
        <v>1635</v>
      </c>
      <c r="J29" s="504">
        <v>10923</v>
      </c>
      <c r="K29" s="1189">
        <f>SUM(C29:J29)</f>
        <v>132361</v>
      </c>
      <c r="L29" s="509"/>
    </row>
    <row r="30" spans="1:12" ht="12.75" customHeight="1">
      <c r="A30" s="1343"/>
      <c r="B30" s="506" t="s">
        <v>915</v>
      </c>
      <c r="C30" s="507">
        <v>36239</v>
      </c>
      <c r="D30" s="507">
        <v>8854</v>
      </c>
      <c r="E30" s="507">
        <v>64538</v>
      </c>
      <c r="F30" s="507">
        <v>0</v>
      </c>
      <c r="G30" s="507">
        <v>0</v>
      </c>
      <c r="H30" s="507">
        <v>0</v>
      </c>
      <c r="I30" s="507">
        <v>22644</v>
      </c>
      <c r="J30" s="507">
        <v>10923</v>
      </c>
      <c r="K30" s="1189">
        <f aca="true" t="shared" si="7" ref="K30:K46">SUM(C30:J30)</f>
        <v>143198</v>
      </c>
      <c r="L30" s="509"/>
    </row>
    <row r="31" spans="1:12" ht="12.75" customHeight="1">
      <c r="A31" s="1344"/>
      <c r="B31" s="506" t="s">
        <v>741</v>
      </c>
      <c r="C31" s="507">
        <v>36262</v>
      </c>
      <c r="D31" s="507">
        <v>8861</v>
      </c>
      <c r="E31" s="507">
        <v>66114</v>
      </c>
      <c r="F31" s="507">
        <v>0</v>
      </c>
      <c r="G31" s="507">
        <v>0</v>
      </c>
      <c r="H31" s="507">
        <v>0</v>
      </c>
      <c r="I31" s="507">
        <v>22644</v>
      </c>
      <c r="J31" s="507">
        <v>13423</v>
      </c>
      <c r="K31" s="1189">
        <f t="shared" si="7"/>
        <v>147304</v>
      </c>
      <c r="L31" s="509"/>
    </row>
    <row r="32" spans="1:12" ht="12.75" customHeight="1">
      <c r="A32" s="1332" t="s">
        <v>763</v>
      </c>
      <c r="B32" s="503" t="s">
        <v>539</v>
      </c>
      <c r="C32" s="504">
        <v>0</v>
      </c>
      <c r="D32" s="504">
        <v>0</v>
      </c>
      <c r="E32" s="504">
        <v>0</v>
      </c>
      <c r="F32" s="504">
        <v>0</v>
      </c>
      <c r="G32" s="504">
        <v>0</v>
      </c>
      <c r="H32" s="504">
        <v>0</v>
      </c>
      <c r="I32" s="504">
        <v>0</v>
      </c>
      <c r="J32" s="504">
        <v>0</v>
      </c>
      <c r="K32" s="1189">
        <f t="shared" si="7"/>
        <v>0</v>
      </c>
      <c r="L32" s="509"/>
    </row>
    <row r="33" spans="1:12" ht="12.75" customHeight="1">
      <c r="A33" s="1333"/>
      <c r="B33" s="506" t="s">
        <v>915</v>
      </c>
      <c r="C33" s="507">
        <v>18368</v>
      </c>
      <c r="D33" s="507">
        <v>4419</v>
      </c>
      <c r="E33" s="507">
        <v>330</v>
      </c>
      <c r="F33" s="507">
        <v>0</v>
      </c>
      <c r="G33" s="507">
        <v>0</v>
      </c>
      <c r="H33" s="507">
        <v>0</v>
      </c>
      <c r="I33" s="507">
        <v>250</v>
      </c>
      <c r="J33" s="507">
        <v>0</v>
      </c>
      <c r="K33" s="1189">
        <f t="shared" si="7"/>
        <v>23367</v>
      </c>
      <c r="L33" s="509"/>
    </row>
    <row r="34" spans="1:12" ht="12.75" customHeight="1">
      <c r="A34" s="1334"/>
      <c r="B34" s="506" t="s">
        <v>741</v>
      </c>
      <c r="C34" s="507">
        <v>18368</v>
      </c>
      <c r="D34" s="507">
        <v>4419</v>
      </c>
      <c r="E34" s="507">
        <v>330</v>
      </c>
      <c r="F34" s="507">
        <v>0</v>
      </c>
      <c r="G34" s="507">
        <v>0</v>
      </c>
      <c r="H34" s="507">
        <v>0</v>
      </c>
      <c r="I34" s="507">
        <v>250</v>
      </c>
      <c r="J34" s="507">
        <v>0</v>
      </c>
      <c r="K34" s="1189">
        <f t="shared" si="7"/>
        <v>23367</v>
      </c>
      <c r="L34" s="509"/>
    </row>
    <row r="35" spans="1:12" ht="12.75" customHeight="1">
      <c r="A35" s="1332" t="s">
        <v>764</v>
      </c>
      <c r="B35" s="503" t="s">
        <v>539</v>
      </c>
      <c r="C35" s="504">
        <v>1536</v>
      </c>
      <c r="D35" s="504">
        <v>415</v>
      </c>
      <c r="E35" s="504">
        <v>0</v>
      </c>
      <c r="F35" s="504">
        <v>0</v>
      </c>
      <c r="G35" s="504">
        <v>0</v>
      </c>
      <c r="H35" s="504">
        <v>0</v>
      </c>
      <c r="I35" s="504">
        <v>0</v>
      </c>
      <c r="J35" s="504">
        <v>0</v>
      </c>
      <c r="K35" s="1189">
        <f t="shared" si="7"/>
        <v>1951</v>
      </c>
      <c r="L35" s="509"/>
    </row>
    <row r="36" spans="1:12" ht="12.75" customHeight="1">
      <c r="A36" s="1333"/>
      <c r="B36" s="506" t="s">
        <v>915</v>
      </c>
      <c r="C36" s="507">
        <v>1536</v>
      </c>
      <c r="D36" s="507">
        <v>415</v>
      </c>
      <c r="E36" s="507">
        <v>0</v>
      </c>
      <c r="F36" s="507">
        <v>0</v>
      </c>
      <c r="G36" s="507">
        <v>0</v>
      </c>
      <c r="H36" s="507">
        <v>0</v>
      </c>
      <c r="I36" s="507">
        <v>0</v>
      </c>
      <c r="J36" s="507">
        <v>0</v>
      </c>
      <c r="K36" s="1189">
        <f t="shared" si="7"/>
        <v>1951</v>
      </c>
      <c r="L36" s="509"/>
    </row>
    <row r="37" spans="1:12" ht="12.75" customHeight="1">
      <c r="A37" s="1334"/>
      <c r="B37" s="506" t="s">
        <v>741</v>
      </c>
      <c r="C37" s="507">
        <v>1536</v>
      </c>
      <c r="D37" s="507">
        <v>415</v>
      </c>
      <c r="E37" s="507">
        <v>0</v>
      </c>
      <c r="F37" s="507">
        <v>0</v>
      </c>
      <c r="G37" s="507">
        <v>0</v>
      </c>
      <c r="H37" s="507">
        <v>0</v>
      </c>
      <c r="I37" s="507">
        <v>0</v>
      </c>
      <c r="J37" s="507">
        <v>0</v>
      </c>
      <c r="K37" s="1189">
        <f t="shared" si="7"/>
        <v>1951</v>
      </c>
      <c r="L37" s="509"/>
    </row>
    <row r="38" spans="1:12" ht="12.75" customHeight="1">
      <c r="A38" s="1332" t="s">
        <v>765</v>
      </c>
      <c r="B38" s="503" t="s">
        <v>539</v>
      </c>
      <c r="C38" s="504">
        <v>12732</v>
      </c>
      <c r="D38" s="504">
        <v>3438</v>
      </c>
      <c r="E38" s="504">
        <v>0</v>
      </c>
      <c r="F38" s="504">
        <v>0</v>
      </c>
      <c r="G38" s="504">
        <v>0</v>
      </c>
      <c r="H38" s="504">
        <v>0</v>
      </c>
      <c r="I38" s="504">
        <v>0</v>
      </c>
      <c r="J38" s="504">
        <v>0</v>
      </c>
      <c r="K38" s="1189">
        <f t="shared" si="7"/>
        <v>16170</v>
      </c>
      <c r="L38" s="509"/>
    </row>
    <row r="39" spans="1:12" ht="12.75" customHeight="1">
      <c r="A39" s="1333"/>
      <c r="B39" s="506" t="s">
        <v>915</v>
      </c>
      <c r="C39" s="507">
        <v>16732</v>
      </c>
      <c r="D39" s="507">
        <v>3638</v>
      </c>
      <c r="E39" s="507">
        <v>10437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1189">
        <f t="shared" si="7"/>
        <v>30807</v>
      </c>
      <c r="L39" s="509"/>
    </row>
    <row r="40" spans="1:12" ht="12.75" customHeight="1">
      <c r="A40" s="1334"/>
      <c r="B40" s="506" t="s">
        <v>741</v>
      </c>
      <c r="C40" s="507">
        <v>16732</v>
      </c>
      <c r="D40" s="507">
        <v>3638</v>
      </c>
      <c r="E40" s="507">
        <v>10437</v>
      </c>
      <c r="F40" s="507">
        <v>0</v>
      </c>
      <c r="G40" s="507">
        <v>0</v>
      </c>
      <c r="H40" s="507">
        <v>0</v>
      </c>
      <c r="I40" s="507">
        <v>0</v>
      </c>
      <c r="J40" s="507">
        <v>0</v>
      </c>
      <c r="K40" s="1189">
        <f t="shared" si="7"/>
        <v>30807</v>
      </c>
      <c r="L40" s="509"/>
    </row>
    <row r="41" spans="1:12" ht="12.75" customHeight="1">
      <c r="A41" s="1348" t="s">
        <v>1014</v>
      </c>
      <c r="B41" s="1187" t="s">
        <v>539</v>
      </c>
      <c r="C41" s="1192">
        <f aca="true" t="shared" si="8" ref="C41:D43">SUM(C29+C32+C35+C38)</f>
        <v>70787</v>
      </c>
      <c r="D41" s="1192">
        <f t="shared" si="8"/>
        <v>18942</v>
      </c>
      <c r="E41" s="1192">
        <f aca="true" t="shared" si="9" ref="E41:J41">SUM(E29+E32+E35+E38)</f>
        <v>48195</v>
      </c>
      <c r="F41" s="1192">
        <f t="shared" si="9"/>
        <v>0</v>
      </c>
      <c r="G41" s="1192">
        <f t="shared" si="9"/>
        <v>0</v>
      </c>
      <c r="H41" s="1192">
        <f t="shared" si="9"/>
        <v>0</v>
      </c>
      <c r="I41" s="1192">
        <f t="shared" si="9"/>
        <v>1635</v>
      </c>
      <c r="J41" s="1192">
        <f t="shared" si="9"/>
        <v>10923</v>
      </c>
      <c r="K41" s="1189">
        <f t="shared" si="7"/>
        <v>150482</v>
      </c>
      <c r="L41" s="509"/>
    </row>
    <row r="42" spans="1:12" ht="12.75" customHeight="1">
      <c r="A42" s="1361"/>
      <c r="B42" s="1040" t="s">
        <v>915</v>
      </c>
      <c r="C42" s="1192">
        <f t="shared" si="8"/>
        <v>72875</v>
      </c>
      <c r="D42" s="1192">
        <f t="shared" si="8"/>
        <v>17326</v>
      </c>
      <c r="E42" s="1192">
        <f aca="true" t="shared" si="10" ref="E42:J42">SUM(E30+E33+E36+E39)</f>
        <v>75305</v>
      </c>
      <c r="F42" s="1192">
        <f t="shared" si="10"/>
        <v>0</v>
      </c>
      <c r="G42" s="1192">
        <f t="shared" si="10"/>
        <v>0</v>
      </c>
      <c r="H42" s="1192">
        <f t="shared" si="10"/>
        <v>0</v>
      </c>
      <c r="I42" s="1192">
        <f t="shared" si="10"/>
        <v>22894</v>
      </c>
      <c r="J42" s="1192">
        <f t="shared" si="10"/>
        <v>10923</v>
      </c>
      <c r="K42" s="1189">
        <f t="shared" si="7"/>
        <v>199323</v>
      </c>
      <c r="L42" s="509"/>
    </row>
    <row r="43" spans="1:12" ht="12.75" customHeight="1">
      <c r="A43" s="1362"/>
      <c r="B43" s="1182" t="s">
        <v>741</v>
      </c>
      <c r="C43" s="1192">
        <f t="shared" si="8"/>
        <v>72898</v>
      </c>
      <c r="D43" s="1192">
        <f t="shared" si="8"/>
        <v>17333</v>
      </c>
      <c r="E43" s="1192">
        <f aca="true" t="shared" si="11" ref="E43:J43">SUM(E31+E34+E37+E40)</f>
        <v>76881</v>
      </c>
      <c r="F43" s="1192">
        <f t="shared" si="11"/>
        <v>0</v>
      </c>
      <c r="G43" s="1192">
        <f t="shared" si="11"/>
        <v>0</v>
      </c>
      <c r="H43" s="1192">
        <f t="shared" si="11"/>
        <v>0</v>
      </c>
      <c r="I43" s="1192">
        <f t="shared" si="11"/>
        <v>22894</v>
      </c>
      <c r="J43" s="1192">
        <f t="shared" si="11"/>
        <v>13423</v>
      </c>
      <c r="K43" s="1189">
        <f t="shared" si="7"/>
        <v>203429</v>
      </c>
      <c r="L43" s="509"/>
    </row>
    <row r="44" spans="1:12" ht="12.75" customHeight="1">
      <c r="A44" s="1358" t="s">
        <v>766</v>
      </c>
      <c r="B44" s="1187" t="s">
        <v>539</v>
      </c>
      <c r="C44" s="1188">
        <f aca="true" t="shared" si="12" ref="C44:D46">SUM(C29+C32+C35+C38)</f>
        <v>70787</v>
      </c>
      <c r="D44" s="1192">
        <f t="shared" si="12"/>
        <v>18942</v>
      </c>
      <c r="E44" s="1188">
        <f aca="true" t="shared" si="13" ref="E44:J44">SUM(E29+E32+E35+E38)</f>
        <v>48195</v>
      </c>
      <c r="F44" s="1188">
        <f t="shared" si="13"/>
        <v>0</v>
      </c>
      <c r="G44" s="1188">
        <f t="shared" si="13"/>
        <v>0</v>
      </c>
      <c r="H44" s="1188">
        <f t="shared" si="13"/>
        <v>0</v>
      </c>
      <c r="I44" s="1188">
        <f t="shared" si="13"/>
        <v>1635</v>
      </c>
      <c r="J44" s="1188">
        <f t="shared" si="13"/>
        <v>10923</v>
      </c>
      <c r="K44" s="1189">
        <f t="shared" si="7"/>
        <v>150482</v>
      </c>
      <c r="L44" s="509"/>
    </row>
    <row r="45" spans="1:11" ht="12.75">
      <c r="A45" s="1359"/>
      <c r="B45" s="1040" t="s">
        <v>915</v>
      </c>
      <c r="C45" s="1191">
        <f t="shared" si="12"/>
        <v>72875</v>
      </c>
      <c r="D45" s="1192">
        <f t="shared" si="12"/>
        <v>17326</v>
      </c>
      <c r="E45" s="1191">
        <f aca="true" t="shared" si="14" ref="E45:J45">SUM(E30+E33+E36+E39)</f>
        <v>75305</v>
      </c>
      <c r="F45" s="1191">
        <f t="shared" si="14"/>
        <v>0</v>
      </c>
      <c r="G45" s="1191">
        <f t="shared" si="14"/>
        <v>0</v>
      </c>
      <c r="H45" s="1191">
        <f t="shared" si="14"/>
        <v>0</v>
      </c>
      <c r="I45" s="1191">
        <f t="shared" si="14"/>
        <v>22894</v>
      </c>
      <c r="J45" s="1191">
        <f t="shared" si="14"/>
        <v>10923</v>
      </c>
      <c r="K45" s="1189">
        <f t="shared" si="7"/>
        <v>199323</v>
      </c>
    </row>
    <row r="46" spans="1:11" ht="13.5" thickBot="1">
      <c r="A46" s="1360"/>
      <c r="B46" s="1041" t="s">
        <v>741</v>
      </c>
      <c r="C46" s="1060">
        <f t="shared" si="12"/>
        <v>72898</v>
      </c>
      <c r="D46" s="1199">
        <f t="shared" si="12"/>
        <v>17333</v>
      </c>
      <c r="E46" s="1060">
        <f aca="true" t="shared" si="15" ref="E46:J46">SUM(E31+E34+E37+E40)</f>
        <v>76881</v>
      </c>
      <c r="F46" s="1060">
        <f t="shared" si="15"/>
        <v>0</v>
      </c>
      <c r="G46" s="1060">
        <f t="shared" si="15"/>
        <v>0</v>
      </c>
      <c r="H46" s="1060">
        <f t="shared" si="15"/>
        <v>0</v>
      </c>
      <c r="I46" s="1060">
        <f t="shared" si="15"/>
        <v>22894</v>
      </c>
      <c r="J46" s="1060">
        <f t="shared" si="15"/>
        <v>13423</v>
      </c>
      <c r="K46" s="1200">
        <f t="shared" si="7"/>
        <v>203429</v>
      </c>
    </row>
    <row r="48" ht="12.75">
      <c r="A48" s="1411" t="s">
        <v>241</v>
      </c>
    </row>
    <row r="49" ht="12.75">
      <c r="A49" s="8" t="s">
        <v>242</v>
      </c>
    </row>
    <row r="50" ht="12.75">
      <c r="A50" s="8" t="s">
        <v>243</v>
      </c>
    </row>
    <row r="51" ht="12.75">
      <c r="A51" s="8" t="s">
        <v>244</v>
      </c>
    </row>
    <row r="52" ht="12.75">
      <c r="A52" s="8" t="s">
        <v>245</v>
      </c>
    </row>
  </sheetData>
  <sheetProtection/>
  <mergeCells count="29">
    <mergeCell ref="A44:A46"/>
    <mergeCell ref="A9:A11"/>
    <mergeCell ref="A29:A31"/>
    <mergeCell ref="A32:A34"/>
    <mergeCell ref="A35:A37"/>
    <mergeCell ref="A25:K25"/>
    <mergeCell ref="K27:K28"/>
    <mergeCell ref="I27:J27"/>
    <mergeCell ref="A27:B28"/>
    <mergeCell ref="A41:A43"/>
    <mergeCell ref="A1:O1"/>
    <mergeCell ref="A2:O2"/>
    <mergeCell ref="A4:B5"/>
    <mergeCell ref="C4:C5"/>
    <mergeCell ref="D4:E4"/>
    <mergeCell ref="F4:F5"/>
    <mergeCell ref="G4:H4"/>
    <mergeCell ref="O4:O5"/>
    <mergeCell ref="I4:J4"/>
    <mergeCell ref="K4:K5"/>
    <mergeCell ref="A38:A40"/>
    <mergeCell ref="C27:G27"/>
    <mergeCell ref="L4:M4"/>
    <mergeCell ref="N4:N5"/>
    <mergeCell ref="A6:A8"/>
    <mergeCell ref="A18:A20"/>
    <mergeCell ref="A15:A17"/>
    <mergeCell ref="A12:A14"/>
    <mergeCell ref="A21:A23"/>
  </mergeCells>
  <printOptions horizontalCentered="1"/>
  <pageMargins left="0.2362204724409449" right="0.35433070866141736" top="1.13" bottom="0.29" header="0.63" footer="0.37"/>
  <pageSetup horizontalDpi="600" verticalDpi="600" orientation="landscape" paperSize="9" scale="69" r:id="rId1"/>
  <headerFooter alignWithMargins="0">
    <oddHeader>&amp;L7. melléklet a 2/2014.(II.27.) önkormányzati rendelethez
"7. melléklet az 1/2013.(II.01.) önkormányzati rendelethez"</oddHead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2"/>
  <sheetViews>
    <sheetView view="pageBreakPreview" zoomScaleSheetLayoutView="100" workbookViewId="0" topLeftCell="A125">
      <selection activeCell="A146" sqref="A146"/>
    </sheetView>
  </sheetViews>
  <sheetFormatPr defaultColWidth="9.00390625" defaultRowHeight="12.75"/>
  <cols>
    <col min="1" max="1" width="95.375" style="122" customWidth="1"/>
    <col min="2" max="2" width="10.375" style="123" customWidth="1"/>
    <col min="3" max="3" width="12.00390625" style="123" customWidth="1"/>
    <col min="4" max="4" width="12.75390625" style="140" customWidth="1"/>
    <col min="5" max="16384" width="9.125" style="122" customWidth="1"/>
  </cols>
  <sheetData>
    <row r="1" spans="2:3" ht="12.75">
      <c r="B1" s="122"/>
      <c r="C1" s="122"/>
    </row>
    <row r="2" spans="1:4" ht="15.75">
      <c r="A2" s="1363" t="s">
        <v>772</v>
      </c>
      <c r="B2" s="1363"/>
      <c r="C2" s="1363"/>
      <c r="D2" s="1363"/>
    </row>
    <row r="3" spans="1:4" ht="15.75">
      <c r="A3" s="1364" t="s">
        <v>773</v>
      </c>
      <c r="B3" s="1364"/>
      <c r="C3" s="1364"/>
      <c r="D3" s="1364"/>
    </row>
    <row r="4" ht="13.5" thickBot="1"/>
    <row r="5" spans="1:4" s="126" customFormat="1" ht="12.75">
      <c r="A5" s="124" t="s">
        <v>774</v>
      </c>
      <c r="B5" s="125" t="s">
        <v>539</v>
      </c>
      <c r="C5" s="125" t="s">
        <v>915</v>
      </c>
      <c r="D5" s="693" t="s">
        <v>741</v>
      </c>
    </row>
    <row r="6" spans="1:4" ht="12.75">
      <c r="A6" s="127"/>
      <c r="B6" s="128"/>
      <c r="C6" s="128"/>
      <c r="D6" s="694"/>
    </row>
    <row r="7" spans="1:4" ht="12.75">
      <c r="A7" s="129" t="s">
        <v>532</v>
      </c>
      <c r="B7" s="130">
        <f>SUM(B9,B35,B53)</f>
        <v>2129489</v>
      </c>
      <c r="C7" s="130">
        <f>SUM(C9,C35,C53)</f>
        <v>3291917</v>
      </c>
      <c r="D7" s="695">
        <f>SUM(D9,D35,D53)</f>
        <v>709047</v>
      </c>
    </row>
    <row r="8" spans="1:4" ht="12.75">
      <c r="A8" s="127"/>
      <c r="B8" s="128"/>
      <c r="C8" s="128"/>
      <c r="D8" s="694"/>
    </row>
    <row r="9" spans="1:4" ht="12.75">
      <c r="A9" s="129" t="s">
        <v>775</v>
      </c>
      <c r="B9" s="130">
        <f>SUM(B10:B23)</f>
        <v>1975848</v>
      </c>
      <c r="C9" s="130">
        <f>SUM(C10:C33)</f>
        <v>2945075</v>
      </c>
      <c r="D9" s="695">
        <f>SUM(D10:D33)</f>
        <v>415973</v>
      </c>
    </row>
    <row r="10" spans="1:4" s="131" customFormat="1" ht="12.75">
      <c r="A10" s="127" t="s">
        <v>776</v>
      </c>
      <c r="B10" s="128">
        <v>443330</v>
      </c>
      <c r="C10" s="128">
        <f>443330+1691</f>
        <v>445021</v>
      </c>
      <c r="D10" s="694">
        <f>445021-444957</f>
        <v>64</v>
      </c>
    </row>
    <row r="11" spans="1:4" s="131" customFormat="1" ht="25.5">
      <c r="A11" s="132" t="s">
        <v>777</v>
      </c>
      <c r="B11" s="128">
        <v>1400</v>
      </c>
      <c r="C11" s="128">
        <v>0</v>
      </c>
      <c r="D11" s="694">
        <v>0</v>
      </c>
    </row>
    <row r="12" spans="1:4" s="131" customFormat="1" ht="25.5">
      <c r="A12" s="132" t="s">
        <v>778</v>
      </c>
      <c r="B12" s="128">
        <v>404270</v>
      </c>
      <c r="C12" s="128">
        <f>404270-100697-1025</f>
        <v>302548</v>
      </c>
      <c r="D12" s="694">
        <f>302548-245710</f>
        <v>56838</v>
      </c>
    </row>
    <row r="13" spans="1:4" s="131" customFormat="1" ht="12.75">
      <c r="A13" s="127" t="s">
        <v>779</v>
      </c>
      <c r="B13" s="128">
        <v>500000</v>
      </c>
      <c r="C13" s="128">
        <f>500000+88000</f>
        <v>588000</v>
      </c>
      <c r="D13" s="694">
        <v>0</v>
      </c>
    </row>
    <row r="14" spans="1:4" s="131" customFormat="1" ht="12.75">
      <c r="A14" s="127" t="s">
        <v>780</v>
      </c>
      <c r="B14" s="128">
        <v>5341</v>
      </c>
      <c r="C14" s="128">
        <v>5341</v>
      </c>
      <c r="D14" s="694">
        <v>5341</v>
      </c>
    </row>
    <row r="15" spans="1:4" s="131" customFormat="1" ht="12.75">
      <c r="A15" s="127" t="s">
        <v>781</v>
      </c>
      <c r="B15" s="128">
        <v>25000</v>
      </c>
      <c r="C15" s="128">
        <v>0</v>
      </c>
      <c r="D15" s="694">
        <v>0</v>
      </c>
    </row>
    <row r="16" spans="1:4" s="131" customFormat="1" ht="12.75">
      <c r="A16" s="127" t="s">
        <v>782</v>
      </c>
      <c r="B16" s="128">
        <v>5000</v>
      </c>
      <c r="C16" s="128">
        <v>5000</v>
      </c>
      <c r="D16" s="694">
        <v>200</v>
      </c>
    </row>
    <row r="17" spans="1:4" s="131" customFormat="1" ht="12.75">
      <c r="A17" s="127" t="s">
        <v>783</v>
      </c>
      <c r="B17" s="128">
        <v>2000</v>
      </c>
      <c r="C17" s="128">
        <v>895</v>
      </c>
      <c r="D17" s="694">
        <v>895</v>
      </c>
    </row>
    <row r="18" spans="1:4" s="131" customFormat="1" ht="12.75">
      <c r="A18" s="127" t="s">
        <v>784</v>
      </c>
      <c r="B18" s="128">
        <v>15000</v>
      </c>
      <c r="C18" s="128">
        <v>15000</v>
      </c>
      <c r="D18" s="694">
        <v>1000</v>
      </c>
    </row>
    <row r="19" spans="1:4" s="131" customFormat="1" ht="12.75">
      <c r="A19" s="127" t="s">
        <v>785</v>
      </c>
      <c r="B19" s="128">
        <v>81290</v>
      </c>
      <c r="C19" s="128">
        <f>81290+40339</f>
        <v>121629</v>
      </c>
      <c r="D19" s="694">
        <v>0</v>
      </c>
    </row>
    <row r="20" spans="1:4" s="131" customFormat="1" ht="25.5">
      <c r="A20" s="132" t="s">
        <v>786</v>
      </c>
      <c r="B20" s="128">
        <v>456866</v>
      </c>
      <c r="C20" s="128">
        <f>456866-6308</f>
        <v>450558</v>
      </c>
      <c r="D20" s="694">
        <f>450558-146332</f>
        <v>304226</v>
      </c>
    </row>
    <row r="21" spans="1:4" s="131" customFormat="1" ht="12.75">
      <c r="A21" s="127" t="s">
        <v>787</v>
      </c>
      <c r="B21" s="128">
        <v>13925</v>
      </c>
      <c r="C21" s="128">
        <f>13925+7000</f>
        <v>20925</v>
      </c>
      <c r="D21" s="694">
        <f>20925-7000</f>
        <v>13925</v>
      </c>
    </row>
    <row r="22" spans="1:4" s="131" customFormat="1" ht="12.75">
      <c r="A22" s="127" t="s">
        <v>788</v>
      </c>
      <c r="B22" s="128">
        <v>17426</v>
      </c>
      <c r="C22" s="128">
        <f>16981-100+7574+4314+2000+251-500-1500</f>
        <v>29020</v>
      </c>
      <c r="D22" s="694">
        <f>29020-201-11074</f>
        <v>17745</v>
      </c>
    </row>
    <row r="23" spans="1:4" s="131" customFormat="1" ht="12.75">
      <c r="A23" s="127" t="s">
        <v>428</v>
      </c>
      <c r="B23" s="128">
        <v>5000</v>
      </c>
      <c r="C23" s="128">
        <v>147853</v>
      </c>
      <c r="D23" s="694">
        <f>147853-147402</f>
        <v>451</v>
      </c>
    </row>
    <row r="24" spans="1:4" s="131" customFormat="1" ht="25.5">
      <c r="A24" s="132" t="s">
        <v>897</v>
      </c>
      <c r="B24" s="128"/>
      <c r="C24" s="128">
        <f>46350-116-1270</f>
        <v>44964</v>
      </c>
      <c r="D24" s="694">
        <f>44964-41587</f>
        <v>3377</v>
      </c>
    </row>
    <row r="25" spans="1:4" s="131" customFormat="1" ht="12.75">
      <c r="A25" s="127" t="s">
        <v>839</v>
      </c>
      <c r="B25" s="128"/>
      <c r="C25" s="128">
        <v>93750</v>
      </c>
      <c r="D25" s="694">
        <v>0</v>
      </c>
    </row>
    <row r="26" spans="1:4" s="131" customFormat="1" ht="12.75">
      <c r="A26" s="127" t="s">
        <v>834</v>
      </c>
      <c r="B26" s="128"/>
      <c r="C26" s="128">
        <v>185000</v>
      </c>
      <c r="D26" s="694">
        <v>0</v>
      </c>
    </row>
    <row r="27" spans="1:4" s="131" customFormat="1" ht="12.75">
      <c r="A27" s="127" t="s">
        <v>429</v>
      </c>
      <c r="B27" s="128"/>
      <c r="C27" s="128">
        <v>9355</v>
      </c>
      <c r="D27" s="694">
        <f>9355-734</f>
        <v>8621</v>
      </c>
    </row>
    <row r="28" spans="1:4" s="131" customFormat="1" ht="25.5">
      <c r="A28" s="132" t="s">
        <v>68</v>
      </c>
      <c r="B28" s="128"/>
      <c r="C28" s="128">
        <v>3137</v>
      </c>
      <c r="D28" s="694">
        <v>0</v>
      </c>
    </row>
    <row r="29" spans="1:4" s="131" customFormat="1" ht="25.5">
      <c r="A29" s="132" t="s">
        <v>204</v>
      </c>
      <c r="B29" s="128"/>
      <c r="C29" s="128">
        <f>19186+4136+15240+1400+311968</f>
        <v>351930</v>
      </c>
      <c r="D29" s="694">
        <f>351930-348640</f>
        <v>3290</v>
      </c>
    </row>
    <row r="30" spans="1:4" s="131" customFormat="1" ht="12.75">
      <c r="A30" s="132" t="s">
        <v>836</v>
      </c>
      <c r="B30" s="128"/>
      <c r="C30" s="128">
        <v>16000</v>
      </c>
      <c r="D30" s="694">
        <v>0</v>
      </c>
    </row>
    <row r="31" spans="1:4" s="131" customFormat="1" ht="12.75">
      <c r="A31" s="132" t="s">
        <v>838</v>
      </c>
      <c r="B31" s="128"/>
      <c r="C31" s="128">
        <v>6544</v>
      </c>
      <c r="D31" s="694">
        <v>0</v>
      </c>
    </row>
    <row r="32" spans="1:4" s="131" customFormat="1" ht="12.75">
      <c r="A32" s="132" t="s">
        <v>902</v>
      </c>
      <c r="B32" s="128"/>
      <c r="C32" s="128">
        <v>30000</v>
      </c>
      <c r="D32" s="694">
        <v>0</v>
      </c>
    </row>
    <row r="33" spans="1:4" s="131" customFormat="1" ht="25.5">
      <c r="A33" s="132" t="s">
        <v>903</v>
      </c>
      <c r="B33" s="128"/>
      <c r="C33" s="128">
        <v>72605</v>
      </c>
      <c r="D33" s="694">
        <v>0</v>
      </c>
    </row>
    <row r="34" spans="1:4" s="131" customFormat="1" ht="12.75">
      <c r="A34" s="127"/>
      <c r="B34" s="128"/>
      <c r="C34" s="128"/>
      <c r="D34" s="694"/>
    </row>
    <row r="35" spans="1:4" ht="12.75">
      <c r="A35" s="129" t="s">
        <v>789</v>
      </c>
      <c r="B35" s="130">
        <f>SUM(B36:B39)</f>
        <v>11182</v>
      </c>
      <c r="C35" s="130">
        <f>SUM(C36:C51)</f>
        <v>223959</v>
      </c>
      <c r="D35" s="695">
        <f>SUM(D36:D51)</f>
        <v>202017</v>
      </c>
    </row>
    <row r="36" spans="1:4" s="131" customFormat="1" ht="12.75">
      <c r="A36" s="127" t="s">
        <v>790</v>
      </c>
      <c r="B36" s="128">
        <v>2000</v>
      </c>
      <c r="C36" s="128">
        <v>0</v>
      </c>
      <c r="D36" s="694">
        <v>0</v>
      </c>
    </row>
    <row r="37" spans="1:4" s="131" customFormat="1" ht="12.75">
      <c r="A37" s="127" t="s">
        <v>791</v>
      </c>
      <c r="B37" s="128">
        <v>2832</v>
      </c>
      <c r="C37" s="128">
        <f>2832+3525</f>
        <v>6357</v>
      </c>
      <c r="D37" s="694">
        <v>6357</v>
      </c>
    </row>
    <row r="38" spans="1:4" s="131" customFormat="1" ht="12.75">
      <c r="A38" s="127" t="s">
        <v>792</v>
      </c>
      <c r="B38" s="128">
        <v>2159</v>
      </c>
      <c r="C38" s="128">
        <v>2159</v>
      </c>
      <c r="D38" s="694">
        <v>2159</v>
      </c>
    </row>
    <row r="39" spans="1:4" s="131" customFormat="1" ht="25.5">
      <c r="A39" s="132" t="s">
        <v>793</v>
      </c>
      <c r="B39" s="128">
        <v>4191</v>
      </c>
      <c r="C39" s="128">
        <v>4191</v>
      </c>
      <c r="D39" s="694">
        <v>4191</v>
      </c>
    </row>
    <row r="40" spans="1:4" s="131" customFormat="1" ht="12.75">
      <c r="A40" s="127" t="s">
        <v>430</v>
      </c>
      <c r="B40" s="128"/>
      <c r="C40" s="128">
        <v>3000</v>
      </c>
      <c r="D40" s="694">
        <v>3000</v>
      </c>
    </row>
    <row r="41" spans="1:4" s="131" customFormat="1" ht="12.75">
      <c r="A41" s="127" t="s">
        <v>431</v>
      </c>
      <c r="B41" s="128"/>
      <c r="C41" s="128">
        <v>55234</v>
      </c>
      <c r="D41" s="694">
        <v>55234</v>
      </c>
    </row>
    <row r="42" spans="1:4" s="131" customFormat="1" ht="12.75">
      <c r="A42" s="127" t="s">
        <v>432</v>
      </c>
      <c r="B42" s="128"/>
      <c r="C42" s="128">
        <v>14000</v>
      </c>
      <c r="D42" s="694">
        <f>14000+1624</f>
        <v>15624</v>
      </c>
    </row>
    <row r="43" spans="1:4" s="131" customFormat="1" ht="12.75">
      <c r="A43" s="127" t="s">
        <v>433</v>
      </c>
      <c r="B43" s="128"/>
      <c r="C43" s="128">
        <v>1530</v>
      </c>
      <c r="D43" s="694">
        <v>1530</v>
      </c>
    </row>
    <row r="44" spans="1:4" s="131" customFormat="1" ht="12.75">
      <c r="A44" s="127" t="s">
        <v>69</v>
      </c>
      <c r="B44" s="128"/>
      <c r="C44" s="128">
        <v>18700</v>
      </c>
      <c r="D44" s="694">
        <v>18700</v>
      </c>
    </row>
    <row r="45" spans="1:4" s="131" customFormat="1" ht="25.5">
      <c r="A45" s="132" t="s">
        <v>70</v>
      </c>
      <c r="B45" s="128"/>
      <c r="C45" s="128">
        <v>4300</v>
      </c>
      <c r="D45" s="694">
        <v>4300</v>
      </c>
    </row>
    <row r="46" spans="1:4" s="131" customFormat="1" ht="12.75">
      <c r="A46" s="127" t="s">
        <v>71</v>
      </c>
      <c r="B46" s="128"/>
      <c r="C46" s="128">
        <v>5150</v>
      </c>
      <c r="D46" s="694">
        <v>5150</v>
      </c>
    </row>
    <row r="47" spans="1:4" s="131" customFormat="1" ht="12.75">
      <c r="A47" s="127" t="s">
        <v>72</v>
      </c>
      <c r="B47" s="128"/>
      <c r="C47" s="128">
        <v>37024</v>
      </c>
      <c r="D47" s="694">
        <v>37024</v>
      </c>
    </row>
    <row r="48" spans="1:4" s="131" customFormat="1" ht="12.75">
      <c r="A48" s="127" t="s">
        <v>73</v>
      </c>
      <c r="B48" s="128"/>
      <c r="C48" s="128">
        <v>359</v>
      </c>
      <c r="D48" s="694">
        <v>359</v>
      </c>
    </row>
    <row r="49" spans="1:4" s="131" customFormat="1" ht="25.5">
      <c r="A49" s="132" t="s">
        <v>205</v>
      </c>
      <c r="B49" s="128"/>
      <c r="C49" s="128">
        <v>71120</v>
      </c>
      <c r="D49" s="694">
        <f>71120-23566</f>
        <v>47554</v>
      </c>
    </row>
    <row r="50" spans="1:4" s="131" customFormat="1" ht="12.75">
      <c r="A50" s="132" t="s">
        <v>206</v>
      </c>
      <c r="B50" s="128"/>
      <c r="C50" s="128">
        <v>200</v>
      </c>
      <c r="D50" s="694">
        <v>200</v>
      </c>
    </row>
    <row r="51" spans="1:4" s="131" customFormat="1" ht="25.5">
      <c r="A51" s="132" t="s">
        <v>207</v>
      </c>
      <c r="B51" s="128"/>
      <c r="C51" s="128">
        <v>635</v>
      </c>
      <c r="D51" s="694">
        <v>635</v>
      </c>
    </row>
    <row r="52" spans="1:4" s="131" customFormat="1" ht="12.75">
      <c r="A52" s="127"/>
      <c r="B52" s="128"/>
      <c r="C52" s="128"/>
      <c r="D52" s="694"/>
    </row>
    <row r="53" spans="1:4" ht="12.75">
      <c r="A53" s="129" t="s">
        <v>794</v>
      </c>
      <c r="B53" s="130">
        <f>SUM(B54:B79)</f>
        <v>142459</v>
      </c>
      <c r="C53" s="130">
        <f>SUM(C54:C84)</f>
        <v>122883</v>
      </c>
      <c r="D53" s="695">
        <f>SUM(D54:D84)</f>
        <v>91057</v>
      </c>
    </row>
    <row r="54" spans="1:4" s="131" customFormat="1" ht="12.75">
      <c r="A54" s="127" t="s">
        <v>801</v>
      </c>
      <c r="B54" s="128">
        <v>5080</v>
      </c>
      <c r="C54" s="128">
        <f>5080-936</f>
        <v>4144</v>
      </c>
      <c r="D54" s="694">
        <v>4144</v>
      </c>
    </row>
    <row r="55" spans="1:4" s="131" customFormat="1" ht="12.75">
      <c r="A55" s="127" t="s">
        <v>802</v>
      </c>
      <c r="B55" s="128">
        <v>950</v>
      </c>
      <c r="C55" s="128">
        <v>950</v>
      </c>
      <c r="D55" s="694">
        <v>950</v>
      </c>
    </row>
    <row r="56" spans="1:4" s="131" customFormat="1" ht="12.75">
      <c r="A56" s="127" t="s">
        <v>803</v>
      </c>
      <c r="B56" s="128">
        <v>5000</v>
      </c>
      <c r="C56" s="128">
        <f>5000-4314</f>
        <v>686</v>
      </c>
      <c r="D56" s="694">
        <v>686</v>
      </c>
    </row>
    <row r="57" spans="1:4" s="131" customFormat="1" ht="12.75">
      <c r="A57" s="132" t="s">
        <v>804</v>
      </c>
      <c r="B57" s="128">
        <v>1000</v>
      </c>
      <c r="C57" s="128">
        <v>1000</v>
      </c>
      <c r="D57" s="694">
        <v>1000</v>
      </c>
    </row>
    <row r="58" spans="1:4" s="131" customFormat="1" ht="12.75">
      <c r="A58" s="127" t="s">
        <v>805</v>
      </c>
      <c r="B58" s="128">
        <v>5000</v>
      </c>
      <c r="C58" s="128">
        <v>5000</v>
      </c>
      <c r="D58" s="694">
        <v>0</v>
      </c>
    </row>
    <row r="59" spans="1:4" s="131" customFormat="1" ht="12.75">
      <c r="A59" s="127" t="s">
        <v>806</v>
      </c>
      <c r="B59" s="128">
        <v>4000</v>
      </c>
      <c r="C59" s="128">
        <v>4000</v>
      </c>
      <c r="D59" s="694">
        <f>4000-978</f>
        <v>3022</v>
      </c>
    </row>
    <row r="60" spans="1:4" s="131" customFormat="1" ht="12.75">
      <c r="A60" s="127" t="s">
        <v>807</v>
      </c>
      <c r="B60" s="128">
        <v>800</v>
      </c>
      <c r="C60" s="128">
        <v>800</v>
      </c>
      <c r="D60" s="694">
        <f>800+5000+978</f>
        <v>6778</v>
      </c>
    </row>
    <row r="61" spans="1:4" s="131" customFormat="1" ht="12.75">
      <c r="A61" s="127" t="s">
        <v>808</v>
      </c>
      <c r="B61" s="128">
        <v>2000</v>
      </c>
      <c r="C61" s="128">
        <v>2000</v>
      </c>
      <c r="D61" s="694">
        <v>2000</v>
      </c>
    </row>
    <row r="62" spans="1:4" s="131" customFormat="1" ht="12.75">
      <c r="A62" s="127" t="s">
        <v>809</v>
      </c>
      <c r="B62" s="128">
        <v>6350</v>
      </c>
      <c r="C62" s="128">
        <f>3959-355-219</f>
        <v>3385</v>
      </c>
      <c r="D62" s="694">
        <v>3385</v>
      </c>
    </row>
    <row r="63" spans="1:4" s="131" customFormat="1" ht="12.75">
      <c r="A63" s="132" t="s">
        <v>810</v>
      </c>
      <c r="B63" s="128">
        <v>14000</v>
      </c>
      <c r="C63" s="128">
        <f>14000-4136</f>
        <v>9864</v>
      </c>
      <c r="D63" s="694">
        <f>9864+201</f>
        <v>10065</v>
      </c>
    </row>
    <row r="64" spans="1:4" s="131" customFormat="1" ht="12.75">
      <c r="A64" s="132" t="s">
        <v>811</v>
      </c>
      <c r="B64" s="128">
        <v>2880</v>
      </c>
      <c r="C64" s="128">
        <v>2880</v>
      </c>
      <c r="D64" s="694">
        <v>2880</v>
      </c>
    </row>
    <row r="65" spans="1:4" s="131" customFormat="1" ht="12.75">
      <c r="A65" s="132" t="s">
        <v>812</v>
      </c>
      <c r="B65" s="128">
        <v>1440</v>
      </c>
      <c r="C65" s="128">
        <v>1440</v>
      </c>
      <c r="D65" s="694">
        <v>1440</v>
      </c>
    </row>
    <row r="66" spans="1:4" s="131" customFormat="1" ht="12.75">
      <c r="A66" s="132" t="s">
        <v>815</v>
      </c>
      <c r="B66" s="128">
        <v>2500</v>
      </c>
      <c r="C66" s="128">
        <v>2500</v>
      </c>
      <c r="D66" s="694">
        <v>2500</v>
      </c>
    </row>
    <row r="67" spans="1:4" s="131" customFormat="1" ht="12.75">
      <c r="A67" s="132" t="s">
        <v>816</v>
      </c>
      <c r="B67" s="128">
        <v>10000</v>
      </c>
      <c r="C67" s="128">
        <v>10000</v>
      </c>
      <c r="D67" s="694">
        <v>10000</v>
      </c>
    </row>
    <row r="68" spans="1:4" s="131" customFormat="1" ht="12.75">
      <c r="A68" s="132" t="s">
        <v>817</v>
      </c>
      <c r="B68" s="128">
        <v>251</v>
      </c>
      <c r="C68" s="128">
        <v>0</v>
      </c>
      <c r="D68" s="694">
        <v>0</v>
      </c>
    </row>
    <row r="69" spans="1:4" s="131" customFormat="1" ht="12.75">
      <c r="A69" s="127" t="s">
        <v>818</v>
      </c>
      <c r="B69" s="128">
        <v>3000</v>
      </c>
      <c r="C69" s="128">
        <v>3000</v>
      </c>
      <c r="D69" s="694">
        <v>3000</v>
      </c>
    </row>
    <row r="70" spans="1:4" s="131" customFormat="1" ht="12.75">
      <c r="A70" s="127" t="s">
        <v>819</v>
      </c>
      <c r="B70" s="128">
        <v>5000</v>
      </c>
      <c r="C70" s="128">
        <v>5000</v>
      </c>
      <c r="D70" s="694">
        <v>5000</v>
      </c>
    </row>
    <row r="71" spans="1:4" s="131" customFormat="1" ht="12.75">
      <c r="A71" s="127" t="s">
        <v>820</v>
      </c>
      <c r="B71" s="128">
        <v>2500</v>
      </c>
      <c r="C71" s="128">
        <v>2500</v>
      </c>
      <c r="D71" s="694">
        <v>2500</v>
      </c>
    </row>
    <row r="72" spans="1:4" s="131" customFormat="1" ht="12.75">
      <c r="A72" s="127" t="s">
        <v>821</v>
      </c>
      <c r="B72" s="128">
        <v>6350</v>
      </c>
      <c r="C72" s="128">
        <v>6350</v>
      </c>
      <c r="D72" s="694">
        <v>6350</v>
      </c>
    </row>
    <row r="73" spans="1:4" s="131" customFormat="1" ht="12.75">
      <c r="A73" s="127" t="s">
        <v>822</v>
      </c>
      <c r="B73" s="128">
        <v>7610</v>
      </c>
      <c r="C73" s="128">
        <v>7610</v>
      </c>
      <c r="D73" s="694">
        <v>7610</v>
      </c>
    </row>
    <row r="74" spans="1:4" s="131" customFormat="1" ht="12.75">
      <c r="A74" s="127" t="s">
        <v>823</v>
      </c>
      <c r="B74" s="128">
        <v>1000</v>
      </c>
      <c r="C74" s="128">
        <v>0</v>
      </c>
      <c r="D74" s="694">
        <v>0</v>
      </c>
    </row>
    <row r="75" spans="1:4" s="131" customFormat="1" ht="12.75">
      <c r="A75" s="127" t="s">
        <v>824</v>
      </c>
      <c r="B75" s="128">
        <v>1500</v>
      </c>
      <c r="C75" s="128">
        <v>1500</v>
      </c>
      <c r="D75" s="694">
        <v>1500</v>
      </c>
    </row>
    <row r="76" spans="1:4" s="131" customFormat="1" ht="12.75">
      <c r="A76" s="127" t="s">
        <v>825</v>
      </c>
      <c r="B76" s="128">
        <v>20000</v>
      </c>
      <c r="C76" s="128">
        <v>0</v>
      </c>
      <c r="D76" s="694">
        <v>0</v>
      </c>
    </row>
    <row r="77" spans="1:4" s="131" customFormat="1" ht="12.75">
      <c r="A77" s="127" t="s">
        <v>826</v>
      </c>
      <c r="B77" s="128">
        <v>15000</v>
      </c>
      <c r="C77" s="128">
        <v>15000</v>
      </c>
      <c r="D77" s="694">
        <v>0</v>
      </c>
    </row>
    <row r="78" spans="1:4" s="131" customFormat="1" ht="12.75">
      <c r="A78" s="127" t="s">
        <v>827</v>
      </c>
      <c r="B78" s="128">
        <v>4248</v>
      </c>
      <c r="C78" s="128">
        <f>13248+9752</f>
        <v>23000</v>
      </c>
      <c r="D78" s="694">
        <f>23000-9752</f>
        <v>13248</v>
      </c>
    </row>
    <row r="79" spans="1:4" s="131" customFormat="1" ht="12.75">
      <c r="A79" s="127" t="s">
        <v>828</v>
      </c>
      <c r="B79" s="128">
        <v>15000</v>
      </c>
      <c r="C79" s="128">
        <v>1000</v>
      </c>
      <c r="D79" s="694">
        <v>1000</v>
      </c>
    </row>
    <row r="80" spans="1:4" s="131" customFormat="1" ht="12.75">
      <c r="A80" s="127" t="s">
        <v>74</v>
      </c>
      <c r="B80" s="128"/>
      <c r="C80" s="128">
        <v>370</v>
      </c>
      <c r="D80" s="694">
        <v>370</v>
      </c>
    </row>
    <row r="81" spans="1:4" s="131" customFormat="1" ht="12.75">
      <c r="A81" s="132" t="s">
        <v>75</v>
      </c>
      <c r="B81" s="128"/>
      <c r="C81" s="128">
        <v>4</v>
      </c>
      <c r="D81" s="694">
        <v>4</v>
      </c>
    </row>
    <row r="82" spans="1:4" s="131" customFormat="1" ht="12.75">
      <c r="A82" s="132" t="s">
        <v>208</v>
      </c>
      <c r="B82" s="128"/>
      <c r="C82" s="128">
        <v>8900</v>
      </c>
      <c r="D82" s="1057">
        <v>0</v>
      </c>
    </row>
    <row r="83" spans="1:4" s="131" customFormat="1" ht="12.75">
      <c r="A83" s="1056" t="s">
        <v>126</v>
      </c>
      <c r="B83" s="172"/>
      <c r="C83" s="172"/>
      <c r="D83" s="1059">
        <v>255</v>
      </c>
    </row>
    <row r="84" spans="1:4" s="131" customFormat="1" ht="13.5" thickBot="1">
      <c r="A84" s="795" t="s">
        <v>127</v>
      </c>
      <c r="B84" s="796"/>
      <c r="C84" s="796"/>
      <c r="D84" s="1058">
        <v>1370</v>
      </c>
    </row>
    <row r="85" spans="1:4" s="131" customFormat="1" ht="12.75">
      <c r="A85" s="797"/>
      <c r="B85" s="798"/>
      <c r="C85" s="798"/>
      <c r="D85" s="799"/>
    </row>
    <row r="86" spans="1:4" s="126" customFormat="1" ht="12.75">
      <c r="A86" s="129" t="s">
        <v>534</v>
      </c>
      <c r="B86" s="130">
        <f>SUM(B87)</f>
        <v>1000</v>
      </c>
      <c r="C86" s="130">
        <f>SUM(C87)</f>
        <v>390</v>
      </c>
      <c r="D86" s="695">
        <f>SUM(D87)</f>
        <v>390</v>
      </c>
    </row>
    <row r="87" spans="1:4" s="133" customFormat="1" ht="12.75">
      <c r="A87" s="127" t="s">
        <v>824</v>
      </c>
      <c r="B87" s="128">
        <v>1000</v>
      </c>
      <c r="C87" s="128">
        <v>390</v>
      </c>
      <c r="D87" s="694">
        <v>390</v>
      </c>
    </row>
    <row r="88" spans="1:4" s="133" customFormat="1" ht="12.75">
      <c r="A88" s="127"/>
      <c r="B88" s="128"/>
      <c r="C88" s="128"/>
      <c r="D88" s="694"/>
    </row>
    <row r="89" spans="1:4" s="133" customFormat="1" ht="12.75">
      <c r="A89" s="129" t="s">
        <v>535</v>
      </c>
      <c r="B89" s="128"/>
      <c r="C89" s="130">
        <f>SUM(C90:C91)</f>
        <v>5610</v>
      </c>
      <c r="D89" s="695">
        <f>SUM(D90:D91)</f>
        <v>6510</v>
      </c>
    </row>
    <row r="90" spans="1:4" s="133" customFormat="1" ht="12.75">
      <c r="A90" s="127" t="s">
        <v>824</v>
      </c>
      <c r="B90" s="128"/>
      <c r="C90" s="128">
        <f>610+833</f>
        <v>1443</v>
      </c>
      <c r="D90" s="694">
        <f>1443+900</f>
        <v>2343</v>
      </c>
    </row>
    <row r="91" spans="1:4" s="133" customFormat="1" ht="12.75">
      <c r="A91" s="127" t="s">
        <v>434</v>
      </c>
      <c r="B91" s="128"/>
      <c r="C91" s="128">
        <f>5000-833</f>
        <v>4167</v>
      </c>
      <c r="D91" s="694">
        <v>4167</v>
      </c>
    </row>
    <row r="92" spans="1:4" ht="12.75">
      <c r="A92" s="127"/>
      <c r="B92" s="128"/>
      <c r="C92" s="128"/>
      <c r="D92" s="694"/>
    </row>
    <row r="93" spans="1:4" s="126" customFormat="1" ht="12.75">
      <c r="A93" s="129" t="s">
        <v>829</v>
      </c>
      <c r="B93" s="130">
        <f>SUM(B94:B95)</f>
        <v>4813</v>
      </c>
      <c r="C93" s="130">
        <f>SUM(C94:C102)</f>
        <v>4041</v>
      </c>
      <c r="D93" s="695">
        <f>SUM(D94:D102)</f>
        <v>5653</v>
      </c>
    </row>
    <row r="94" spans="1:4" s="133" customFormat="1" ht="12.75">
      <c r="A94" s="127" t="s">
        <v>830</v>
      </c>
      <c r="B94" s="128">
        <v>2100</v>
      </c>
      <c r="C94" s="128">
        <v>2100</v>
      </c>
      <c r="D94" s="694">
        <v>2100</v>
      </c>
    </row>
    <row r="95" spans="1:4" s="133" customFormat="1" ht="12.75">
      <c r="A95" s="127" t="s">
        <v>831</v>
      </c>
      <c r="B95" s="128">
        <v>2713</v>
      </c>
      <c r="C95" s="128">
        <v>0</v>
      </c>
      <c r="D95" s="694">
        <v>0</v>
      </c>
    </row>
    <row r="96" spans="1:4" s="133" customFormat="1" ht="12.75">
      <c r="A96" s="127" t="s">
        <v>435</v>
      </c>
      <c r="B96" s="128"/>
      <c r="C96" s="128">
        <v>285</v>
      </c>
      <c r="D96" s="694">
        <v>285</v>
      </c>
    </row>
    <row r="97" spans="1:4" s="133" customFormat="1" ht="12.75">
      <c r="A97" s="127" t="s">
        <v>76</v>
      </c>
      <c r="B97" s="128"/>
      <c r="C97" s="128">
        <v>0</v>
      </c>
      <c r="D97" s="694">
        <v>0</v>
      </c>
    </row>
    <row r="98" spans="1:4" s="133" customFormat="1" ht="12.75">
      <c r="A98" s="127" t="s">
        <v>1080</v>
      </c>
      <c r="B98" s="128"/>
      <c r="C98" s="128">
        <v>0</v>
      </c>
      <c r="D98" s="694">
        <v>0</v>
      </c>
    </row>
    <row r="99" spans="1:4" s="133" customFormat="1" ht="12.75">
      <c r="A99" s="127" t="s">
        <v>209</v>
      </c>
      <c r="B99" s="128"/>
      <c r="C99" s="128">
        <v>126</v>
      </c>
      <c r="D99" s="694">
        <v>126</v>
      </c>
    </row>
    <row r="100" spans="1:4" s="133" customFormat="1" ht="12.75">
      <c r="A100" s="127" t="s">
        <v>210</v>
      </c>
      <c r="B100" s="128"/>
      <c r="C100" s="128">
        <v>530</v>
      </c>
      <c r="D100" s="694">
        <f>530+1475</f>
        <v>2005</v>
      </c>
    </row>
    <row r="101" spans="1:4" s="133" customFormat="1" ht="12.75">
      <c r="A101" s="127" t="s">
        <v>388</v>
      </c>
      <c r="B101" s="128"/>
      <c r="C101" s="128">
        <v>1000</v>
      </c>
      <c r="D101" s="694">
        <v>1000</v>
      </c>
    </row>
    <row r="102" spans="1:4" s="133" customFormat="1" ht="12.75">
      <c r="A102" s="127" t="s">
        <v>1079</v>
      </c>
      <c r="B102" s="128"/>
      <c r="C102" s="128"/>
      <c r="D102" s="694">
        <v>137</v>
      </c>
    </row>
    <row r="103" spans="1:4" s="126" customFormat="1" ht="12.75">
      <c r="A103" s="129"/>
      <c r="B103" s="130"/>
      <c r="C103" s="130"/>
      <c r="D103" s="695"/>
    </row>
    <row r="104" spans="1:4" s="126" customFormat="1" ht="12.75">
      <c r="A104" s="129" t="s">
        <v>537</v>
      </c>
      <c r="B104" s="130">
        <f>SUM(B105)</f>
        <v>1635</v>
      </c>
      <c r="C104" s="130">
        <f>SUM(C105:C106)</f>
        <v>22894</v>
      </c>
      <c r="D104" s="695">
        <f>SUM(D105:D106)</f>
        <v>22894</v>
      </c>
    </row>
    <row r="105" spans="1:4" s="126" customFormat="1" ht="12.75">
      <c r="A105" s="127" t="s">
        <v>832</v>
      </c>
      <c r="B105" s="128">
        <v>1635</v>
      </c>
      <c r="C105" s="128">
        <f>8788+4106</f>
        <v>12894</v>
      </c>
      <c r="D105" s="694">
        <v>12894</v>
      </c>
    </row>
    <row r="106" spans="1:4" s="126" customFormat="1" ht="12.75">
      <c r="A106" s="127" t="s">
        <v>389</v>
      </c>
      <c r="B106" s="128"/>
      <c r="C106" s="128">
        <v>10000</v>
      </c>
      <c r="D106" s="694">
        <v>10000</v>
      </c>
    </row>
    <row r="107" spans="1:4" s="126" customFormat="1" ht="12.75">
      <c r="A107" s="129"/>
      <c r="B107" s="130"/>
      <c r="C107" s="130"/>
      <c r="D107" s="695"/>
    </row>
    <row r="108" spans="1:4" s="135" customFormat="1" ht="13.5" thickBot="1">
      <c r="A108" s="134" t="s">
        <v>756</v>
      </c>
      <c r="B108" s="692">
        <f>SUM(B7,B86,B93,B104)</f>
        <v>2136937</v>
      </c>
      <c r="C108" s="692">
        <f>SUM(C7,C86,C89,C93,C104)</f>
        <v>3324852</v>
      </c>
      <c r="D108" s="696">
        <f>SUM(D7,D86,D89,D93,D104)</f>
        <v>744494</v>
      </c>
    </row>
    <row r="110" ht="12.75">
      <c r="A110" s="136"/>
    </row>
    <row r="111" spans="1:4" ht="15.75">
      <c r="A111" s="1363" t="s">
        <v>833</v>
      </c>
      <c r="B111" s="1363"/>
      <c r="C111" s="1363"/>
      <c r="D111" s="1363"/>
    </row>
    <row r="112" spans="1:4" ht="15.75">
      <c r="A112" s="1364" t="s">
        <v>773</v>
      </c>
      <c r="B112" s="1364"/>
      <c r="C112" s="1364"/>
      <c r="D112" s="1364"/>
    </row>
    <row r="113" ht="13.5" thickBot="1">
      <c r="A113" s="136"/>
    </row>
    <row r="114" spans="1:4" ht="12.75">
      <c r="A114" s="124" t="s">
        <v>774</v>
      </c>
      <c r="B114" s="125" t="s">
        <v>539</v>
      </c>
      <c r="C114" s="125" t="s">
        <v>915</v>
      </c>
      <c r="D114" s="693" t="s">
        <v>741</v>
      </c>
    </row>
    <row r="115" spans="1:4" ht="12.75">
      <c r="A115" s="127"/>
      <c r="B115" s="128"/>
      <c r="C115" s="128"/>
      <c r="D115" s="694"/>
    </row>
    <row r="116" spans="1:4" ht="12.75">
      <c r="A116" s="129" t="s">
        <v>532</v>
      </c>
      <c r="B116" s="130">
        <f>SUM(B118,B137)</f>
        <v>2250302</v>
      </c>
      <c r="C116" s="130">
        <f>SUM(C118,C137)</f>
        <v>0</v>
      </c>
      <c r="D116" s="695">
        <f>SUM(D118,D137)</f>
        <v>0</v>
      </c>
    </row>
    <row r="117" spans="1:4" s="138" customFormat="1" ht="12.75">
      <c r="A117" s="137"/>
      <c r="B117" s="128"/>
      <c r="C117" s="128"/>
      <c r="D117" s="694"/>
    </row>
    <row r="118" spans="1:4" s="138" customFormat="1" ht="12.75">
      <c r="A118" s="139" t="s">
        <v>775</v>
      </c>
      <c r="B118" s="130">
        <f>SUM(B119:B135)</f>
        <v>2220550</v>
      </c>
      <c r="C118" s="130">
        <f>SUM(C119:C135)</f>
        <v>0</v>
      </c>
      <c r="D118" s="695">
        <f>SUM(D119:D135)</f>
        <v>0</v>
      </c>
    </row>
    <row r="119" spans="1:4" ht="12.75">
      <c r="A119" s="127" t="s">
        <v>834</v>
      </c>
      <c r="B119" s="128">
        <v>185000</v>
      </c>
      <c r="C119" s="128">
        <v>0</v>
      </c>
      <c r="D119" s="694">
        <v>0</v>
      </c>
    </row>
    <row r="120" spans="1:4" ht="12.75">
      <c r="A120" s="132" t="s">
        <v>835</v>
      </c>
      <c r="B120" s="128">
        <v>1102640</v>
      </c>
      <c r="C120" s="128">
        <v>0</v>
      </c>
      <c r="D120" s="694">
        <v>0</v>
      </c>
    </row>
    <row r="121" spans="1:4" ht="12.75">
      <c r="A121" s="127" t="s">
        <v>836</v>
      </c>
      <c r="B121" s="128">
        <v>116000</v>
      </c>
      <c r="C121" s="128">
        <v>0</v>
      </c>
      <c r="D121" s="694">
        <v>0</v>
      </c>
    </row>
    <row r="122" spans="1:4" s="138" customFormat="1" ht="12.75">
      <c r="A122" s="132" t="s">
        <v>838</v>
      </c>
      <c r="B122" s="128">
        <v>65433</v>
      </c>
      <c r="C122" s="128">
        <v>0</v>
      </c>
      <c r="D122" s="694">
        <v>0</v>
      </c>
    </row>
    <row r="123" spans="1:4" ht="12.75">
      <c r="A123" s="127" t="s">
        <v>839</v>
      </c>
      <c r="B123" s="128">
        <v>90625</v>
      </c>
      <c r="C123" s="128">
        <v>0</v>
      </c>
      <c r="D123" s="694">
        <v>0</v>
      </c>
    </row>
    <row r="124" spans="1:4" ht="25.5">
      <c r="A124" s="132" t="s">
        <v>897</v>
      </c>
      <c r="B124" s="128">
        <v>49966</v>
      </c>
      <c r="C124" s="128">
        <f>3616-3616</f>
        <v>0</v>
      </c>
      <c r="D124" s="694">
        <f>3616-3616</f>
        <v>0</v>
      </c>
    </row>
    <row r="125" spans="1:4" ht="12.75">
      <c r="A125" s="132" t="s">
        <v>898</v>
      </c>
      <c r="B125" s="128">
        <v>15000</v>
      </c>
      <c r="C125" s="128">
        <f>15000-15000</f>
        <v>0</v>
      </c>
      <c r="D125" s="694">
        <f>15000-15000</f>
        <v>0</v>
      </c>
    </row>
    <row r="126" spans="1:4" ht="12.75">
      <c r="A126" s="132" t="s">
        <v>899</v>
      </c>
      <c r="B126" s="128">
        <v>44957</v>
      </c>
      <c r="C126" s="128">
        <f>44957-44957</f>
        <v>0</v>
      </c>
      <c r="D126" s="694">
        <f>44957-44957</f>
        <v>0</v>
      </c>
    </row>
    <row r="127" spans="1:4" s="131" customFormat="1" ht="12.75">
      <c r="A127" s="127" t="s">
        <v>900</v>
      </c>
      <c r="B127" s="128">
        <v>138121</v>
      </c>
      <c r="C127" s="128">
        <v>0</v>
      </c>
      <c r="D127" s="694">
        <v>0</v>
      </c>
    </row>
    <row r="128" spans="1:4" ht="12.75">
      <c r="A128" s="132" t="s">
        <v>901</v>
      </c>
      <c r="B128" s="128">
        <v>52290</v>
      </c>
      <c r="C128" s="128">
        <f>52290-52290</f>
        <v>0</v>
      </c>
      <c r="D128" s="694">
        <f>52290-52290</f>
        <v>0</v>
      </c>
    </row>
    <row r="129" spans="1:4" ht="12.75">
      <c r="A129" s="132" t="s">
        <v>776</v>
      </c>
      <c r="B129" s="128">
        <v>115000</v>
      </c>
      <c r="C129" s="128">
        <v>0</v>
      </c>
      <c r="D129" s="694">
        <v>0</v>
      </c>
    </row>
    <row r="130" spans="1:4" s="131" customFormat="1" ht="12.75">
      <c r="A130" s="127" t="s">
        <v>902</v>
      </c>
      <c r="B130" s="128">
        <v>30000</v>
      </c>
      <c r="C130" s="128">
        <v>0</v>
      </c>
      <c r="D130" s="694">
        <v>0</v>
      </c>
    </row>
    <row r="131" spans="1:4" s="131" customFormat="1" ht="25.5">
      <c r="A131" s="132" t="s">
        <v>903</v>
      </c>
      <c r="B131" s="128">
        <v>72605</v>
      </c>
      <c r="C131" s="128">
        <v>0</v>
      </c>
      <c r="D131" s="694">
        <v>0</v>
      </c>
    </row>
    <row r="132" spans="1:4" ht="12.75">
      <c r="A132" s="127" t="s">
        <v>779</v>
      </c>
      <c r="B132" s="128">
        <v>88000</v>
      </c>
      <c r="C132" s="128">
        <v>0</v>
      </c>
      <c r="D132" s="694">
        <v>0</v>
      </c>
    </row>
    <row r="133" spans="1:4" ht="12.75">
      <c r="A133" s="127" t="s">
        <v>785</v>
      </c>
      <c r="B133" s="128">
        <v>40339</v>
      </c>
      <c r="C133" s="128">
        <v>0</v>
      </c>
      <c r="D133" s="694">
        <v>0</v>
      </c>
    </row>
    <row r="134" spans="1:4" ht="12.75">
      <c r="A134" s="127" t="s">
        <v>787</v>
      </c>
      <c r="B134" s="128">
        <v>7000</v>
      </c>
      <c r="C134" s="128">
        <v>0</v>
      </c>
      <c r="D134" s="694">
        <v>0</v>
      </c>
    </row>
    <row r="135" spans="1:4" ht="12.75">
      <c r="A135" s="127" t="s">
        <v>788</v>
      </c>
      <c r="B135" s="128">
        <v>7574</v>
      </c>
      <c r="C135" s="128">
        <v>0</v>
      </c>
      <c r="D135" s="694">
        <v>0</v>
      </c>
    </row>
    <row r="136" spans="1:4" ht="12.75">
      <c r="A136" s="132"/>
      <c r="B136" s="128"/>
      <c r="C136" s="128"/>
      <c r="D136" s="694"/>
    </row>
    <row r="137" spans="1:4" ht="12.75">
      <c r="A137" s="129" t="s">
        <v>794</v>
      </c>
      <c r="B137" s="130">
        <f>SUM(B138:B139)</f>
        <v>29752</v>
      </c>
      <c r="C137" s="130">
        <f>SUM(C138:C139)</f>
        <v>0</v>
      </c>
      <c r="D137" s="695">
        <f>SUM(D138:D139)</f>
        <v>0</v>
      </c>
    </row>
    <row r="138" spans="1:4" s="131" customFormat="1" ht="12.75">
      <c r="A138" s="132" t="s">
        <v>904</v>
      </c>
      <c r="B138" s="128">
        <v>20000</v>
      </c>
      <c r="C138" s="128">
        <v>0</v>
      </c>
      <c r="D138" s="694">
        <v>0</v>
      </c>
    </row>
    <row r="139" spans="1:4" s="131" customFormat="1" ht="12.75">
      <c r="A139" s="132" t="s">
        <v>827</v>
      </c>
      <c r="B139" s="128">
        <v>9752</v>
      </c>
      <c r="C139" s="128">
        <v>0</v>
      </c>
      <c r="D139" s="694">
        <v>0</v>
      </c>
    </row>
    <row r="140" spans="1:4" s="138" customFormat="1" ht="12.75">
      <c r="A140" s="127"/>
      <c r="B140" s="128"/>
      <c r="C140" s="128"/>
      <c r="D140" s="694"/>
    </row>
    <row r="141" spans="1:4" s="135" customFormat="1" ht="13.5" thickBot="1">
      <c r="A141" s="134" t="s">
        <v>756</v>
      </c>
      <c r="B141" s="692">
        <f>SUM(B116)</f>
        <v>2250302</v>
      </c>
      <c r="C141" s="692">
        <f>SUM(C116)</f>
        <v>0</v>
      </c>
      <c r="D141" s="696">
        <f>SUM(D116)</f>
        <v>0</v>
      </c>
    </row>
    <row r="142" spans="2:4" s="138" customFormat="1" ht="12.75">
      <c r="B142" s="140"/>
      <c r="C142" s="140"/>
      <c r="D142" s="140"/>
    </row>
    <row r="143" spans="1:4" s="138" customFormat="1" ht="12.75">
      <c r="A143" s="1411" t="s">
        <v>246</v>
      </c>
      <c r="B143" s="140"/>
      <c r="C143" s="140"/>
      <c r="D143" s="140"/>
    </row>
    <row r="144" spans="1:4" s="138" customFormat="1" ht="12.75">
      <c r="A144" s="8" t="s">
        <v>247</v>
      </c>
      <c r="B144" s="140"/>
      <c r="C144" s="140"/>
      <c r="D144" s="140"/>
    </row>
    <row r="145" spans="1:4" s="138" customFormat="1" ht="12.75">
      <c r="A145" s="8" t="s">
        <v>248</v>
      </c>
      <c r="B145" s="140"/>
      <c r="C145" s="140"/>
      <c r="D145" s="140"/>
    </row>
    <row r="146" spans="1:4" s="138" customFormat="1" ht="12.75">
      <c r="A146" s="8" t="s">
        <v>249</v>
      </c>
      <c r="B146" s="140"/>
      <c r="C146" s="140"/>
      <c r="D146" s="140"/>
    </row>
    <row r="147" spans="1:4" s="138" customFormat="1" ht="12.75">
      <c r="A147" s="8" t="s">
        <v>250</v>
      </c>
      <c r="B147" s="140"/>
      <c r="C147" s="140"/>
      <c r="D147" s="140"/>
    </row>
    <row r="148" spans="2:4" s="138" customFormat="1" ht="12.75">
      <c r="B148" s="140"/>
      <c r="C148" s="140"/>
      <c r="D148" s="140"/>
    </row>
    <row r="149" spans="2:4" s="138" customFormat="1" ht="12.75">
      <c r="B149" s="140"/>
      <c r="C149" s="140"/>
      <c r="D149" s="140"/>
    </row>
    <row r="150" spans="2:4" s="138" customFormat="1" ht="12.75">
      <c r="B150" s="140"/>
      <c r="C150" s="140"/>
      <c r="D150" s="140"/>
    </row>
    <row r="151" spans="2:4" s="138" customFormat="1" ht="12.75">
      <c r="B151" s="140"/>
      <c r="C151" s="140"/>
      <c r="D151" s="140"/>
    </row>
    <row r="152" spans="2:4" s="138" customFormat="1" ht="12.75">
      <c r="B152" s="140"/>
      <c r="C152" s="140"/>
      <c r="D152" s="140"/>
    </row>
    <row r="153" spans="2:4" s="138" customFormat="1" ht="12.75">
      <c r="B153" s="140"/>
      <c r="C153" s="140"/>
      <c r="D153" s="140"/>
    </row>
    <row r="154" spans="2:4" s="138" customFormat="1" ht="12.75">
      <c r="B154" s="140"/>
      <c r="C154" s="140"/>
      <c r="D154" s="140"/>
    </row>
    <row r="155" spans="2:4" s="138" customFormat="1" ht="12.75">
      <c r="B155" s="140"/>
      <c r="C155" s="140"/>
      <c r="D155" s="140"/>
    </row>
    <row r="156" spans="2:4" s="138" customFormat="1" ht="12.75">
      <c r="B156" s="140"/>
      <c r="C156" s="140"/>
      <c r="D156" s="140"/>
    </row>
    <row r="157" spans="2:4" s="138" customFormat="1" ht="12.75">
      <c r="B157" s="140"/>
      <c r="C157" s="140"/>
      <c r="D157" s="140"/>
    </row>
    <row r="158" spans="2:4" s="138" customFormat="1" ht="12.75">
      <c r="B158" s="140"/>
      <c r="C158" s="140"/>
      <c r="D158" s="140"/>
    </row>
    <row r="159" spans="2:4" s="138" customFormat="1" ht="12.75">
      <c r="B159" s="140"/>
      <c r="C159" s="140"/>
      <c r="D159" s="140"/>
    </row>
    <row r="160" spans="2:4" s="138" customFormat="1" ht="12.75">
      <c r="B160" s="140"/>
      <c r="C160" s="140"/>
      <c r="D160" s="140"/>
    </row>
    <row r="161" spans="2:4" s="138" customFormat="1" ht="12.75">
      <c r="B161" s="140"/>
      <c r="C161" s="140"/>
      <c r="D161" s="140"/>
    </row>
    <row r="162" spans="2:4" s="138" customFormat="1" ht="12.75">
      <c r="B162" s="140"/>
      <c r="C162" s="140"/>
      <c r="D162" s="140"/>
    </row>
    <row r="163" spans="2:4" s="138" customFormat="1" ht="12.75">
      <c r="B163" s="140"/>
      <c r="C163" s="140"/>
      <c r="D163" s="140"/>
    </row>
    <row r="164" spans="2:4" s="138" customFormat="1" ht="12.75">
      <c r="B164" s="140"/>
      <c r="C164" s="140"/>
      <c r="D164" s="140"/>
    </row>
    <row r="165" spans="2:4" s="138" customFormat="1" ht="12.75">
      <c r="B165" s="140"/>
      <c r="C165" s="140"/>
      <c r="D165" s="140"/>
    </row>
    <row r="166" spans="2:4" s="138" customFormat="1" ht="12.75">
      <c r="B166" s="140"/>
      <c r="C166" s="140"/>
      <c r="D166" s="140"/>
    </row>
    <row r="167" spans="2:4" s="138" customFormat="1" ht="12.75">
      <c r="B167" s="140"/>
      <c r="C167" s="140"/>
      <c r="D167" s="140"/>
    </row>
    <row r="168" spans="2:4" s="138" customFormat="1" ht="12.75">
      <c r="B168" s="140"/>
      <c r="C168" s="140"/>
      <c r="D168" s="140"/>
    </row>
    <row r="169" spans="2:4" s="138" customFormat="1" ht="12.75">
      <c r="B169" s="140"/>
      <c r="C169" s="140"/>
      <c r="D169" s="140"/>
    </row>
    <row r="170" spans="2:4" s="138" customFormat="1" ht="12.75">
      <c r="B170" s="140"/>
      <c r="C170" s="140"/>
      <c r="D170" s="140"/>
    </row>
    <row r="171" spans="2:4" s="138" customFormat="1" ht="12.75">
      <c r="B171" s="140"/>
      <c r="C171" s="140"/>
      <c r="D171" s="140"/>
    </row>
    <row r="172" spans="2:4" s="138" customFormat="1" ht="12.75">
      <c r="B172" s="140"/>
      <c r="C172" s="140"/>
      <c r="D172" s="140"/>
    </row>
    <row r="173" spans="2:4" s="138" customFormat="1" ht="12.75">
      <c r="B173" s="140"/>
      <c r="C173" s="140"/>
      <c r="D173" s="140"/>
    </row>
    <row r="174" spans="2:4" s="138" customFormat="1" ht="12.75">
      <c r="B174" s="140"/>
      <c r="C174" s="140"/>
      <c r="D174" s="140"/>
    </row>
    <row r="175" spans="2:4" s="138" customFormat="1" ht="12.75">
      <c r="B175" s="140"/>
      <c r="C175" s="140"/>
      <c r="D175" s="140"/>
    </row>
    <row r="176" spans="2:4" s="138" customFormat="1" ht="12.75">
      <c r="B176" s="140"/>
      <c r="C176" s="140"/>
      <c r="D176" s="140"/>
    </row>
    <row r="177" spans="2:4" s="138" customFormat="1" ht="12.75">
      <c r="B177" s="140"/>
      <c r="C177" s="140"/>
      <c r="D177" s="140"/>
    </row>
    <row r="178" spans="2:4" s="138" customFormat="1" ht="12.75">
      <c r="B178" s="140"/>
      <c r="C178" s="140"/>
      <c r="D178" s="140"/>
    </row>
    <row r="179" spans="2:4" s="138" customFormat="1" ht="12.75">
      <c r="B179" s="140"/>
      <c r="C179" s="140"/>
      <c r="D179" s="140"/>
    </row>
    <row r="180" spans="2:4" s="138" customFormat="1" ht="12.75">
      <c r="B180" s="140"/>
      <c r="C180" s="140"/>
      <c r="D180" s="140"/>
    </row>
    <row r="181" spans="2:4" s="138" customFormat="1" ht="12.75">
      <c r="B181" s="140"/>
      <c r="C181" s="140"/>
      <c r="D181" s="140"/>
    </row>
    <row r="182" spans="2:4" s="138" customFormat="1" ht="12.75">
      <c r="B182" s="140"/>
      <c r="C182" s="140"/>
      <c r="D182" s="140"/>
    </row>
    <row r="183" spans="2:4" s="138" customFormat="1" ht="12.75">
      <c r="B183" s="140"/>
      <c r="C183" s="140"/>
      <c r="D183" s="140"/>
    </row>
    <row r="184" spans="2:4" s="138" customFormat="1" ht="12.75">
      <c r="B184" s="140"/>
      <c r="C184" s="140"/>
      <c r="D184" s="140"/>
    </row>
    <row r="185" spans="2:4" s="138" customFormat="1" ht="12.75">
      <c r="B185" s="140"/>
      <c r="C185" s="140"/>
      <c r="D185" s="140"/>
    </row>
    <row r="186" spans="2:4" s="138" customFormat="1" ht="12.75">
      <c r="B186" s="140"/>
      <c r="C186" s="140"/>
      <c r="D186" s="140"/>
    </row>
    <row r="187" spans="2:4" s="138" customFormat="1" ht="12.75">
      <c r="B187" s="140"/>
      <c r="C187" s="140"/>
      <c r="D187" s="140"/>
    </row>
    <row r="188" spans="2:4" s="138" customFormat="1" ht="12.75">
      <c r="B188" s="140"/>
      <c r="C188" s="140"/>
      <c r="D188" s="140"/>
    </row>
    <row r="189" spans="2:4" s="138" customFormat="1" ht="12.75">
      <c r="B189" s="140"/>
      <c r="C189" s="140"/>
      <c r="D189" s="140"/>
    </row>
    <row r="190" spans="2:4" s="138" customFormat="1" ht="12.75">
      <c r="B190" s="140"/>
      <c r="C190" s="140"/>
      <c r="D190" s="140"/>
    </row>
    <row r="191" spans="2:4" s="138" customFormat="1" ht="12.75">
      <c r="B191" s="140"/>
      <c r="C191" s="140"/>
      <c r="D191" s="140"/>
    </row>
    <row r="192" spans="2:4" s="138" customFormat="1" ht="12.75">
      <c r="B192" s="140"/>
      <c r="C192" s="140"/>
      <c r="D192" s="140"/>
    </row>
    <row r="193" spans="2:4" s="138" customFormat="1" ht="12.75">
      <c r="B193" s="140"/>
      <c r="C193" s="140"/>
      <c r="D193" s="140"/>
    </row>
    <row r="194" spans="2:4" s="138" customFormat="1" ht="12.75">
      <c r="B194" s="140"/>
      <c r="C194" s="140"/>
      <c r="D194" s="140"/>
    </row>
    <row r="195" spans="2:4" s="138" customFormat="1" ht="12.75">
      <c r="B195" s="140"/>
      <c r="C195" s="140"/>
      <c r="D195" s="140"/>
    </row>
    <row r="196" spans="2:4" s="138" customFormat="1" ht="12.75">
      <c r="B196" s="140"/>
      <c r="C196" s="140"/>
      <c r="D196" s="140"/>
    </row>
    <row r="197" spans="2:4" s="138" customFormat="1" ht="12.75">
      <c r="B197" s="140"/>
      <c r="C197" s="140"/>
      <c r="D197" s="140"/>
    </row>
    <row r="198" spans="2:4" s="138" customFormat="1" ht="12.75">
      <c r="B198" s="140"/>
      <c r="C198" s="140"/>
      <c r="D198" s="140"/>
    </row>
    <row r="199" spans="2:4" s="138" customFormat="1" ht="12.75">
      <c r="B199" s="140"/>
      <c r="C199" s="140"/>
      <c r="D199" s="140"/>
    </row>
    <row r="200" spans="2:4" s="138" customFormat="1" ht="12.75">
      <c r="B200" s="140"/>
      <c r="C200" s="140"/>
      <c r="D200" s="140"/>
    </row>
    <row r="201" spans="2:4" s="138" customFormat="1" ht="12.75">
      <c r="B201" s="140"/>
      <c r="C201" s="140"/>
      <c r="D201" s="140"/>
    </row>
    <row r="202" spans="2:4" s="138" customFormat="1" ht="12.75">
      <c r="B202" s="140"/>
      <c r="C202" s="140"/>
      <c r="D202" s="140"/>
    </row>
    <row r="203" spans="2:4" s="138" customFormat="1" ht="12.75">
      <c r="B203" s="140"/>
      <c r="C203" s="140"/>
      <c r="D203" s="140"/>
    </row>
    <row r="204" spans="2:4" s="138" customFormat="1" ht="12.75">
      <c r="B204" s="140"/>
      <c r="C204" s="140"/>
      <c r="D204" s="140"/>
    </row>
    <row r="205" spans="2:4" s="138" customFormat="1" ht="12.75">
      <c r="B205" s="140"/>
      <c r="C205" s="140"/>
      <c r="D205" s="140"/>
    </row>
    <row r="206" spans="2:4" s="138" customFormat="1" ht="12.75">
      <c r="B206" s="140"/>
      <c r="C206" s="140"/>
      <c r="D206" s="140"/>
    </row>
    <row r="207" spans="2:4" s="138" customFormat="1" ht="12.75">
      <c r="B207" s="140"/>
      <c r="C207" s="140"/>
      <c r="D207" s="140"/>
    </row>
    <row r="208" spans="2:4" s="138" customFormat="1" ht="12.75">
      <c r="B208" s="140"/>
      <c r="C208" s="140"/>
      <c r="D208" s="140"/>
    </row>
    <row r="209" spans="2:4" s="138" customFormat="1" ht="12.75">
      <c r="B209" s="140"/>
      <c r="C209" s="140"/>
      <c r="D209" s="140"/>
    </row>
    <row r="210" spans="2:4" s="138" customFormat="1" ht="12.75">
      <c r="B210" s="140"/>
      <c r="C210" s="140"/>
      <c r="D210" s="140"/>
    </row>
    <row r="211" spans="2:4" s="138" customFormat="1" ht="12.75">
      <c r="B211" s="140"/>
      <c r="C211" s="140"/>
      <c r="D211" s="140"/>
    </row>
    <row r="212" spans="2:4" s="138" customFormat="1" ht="12.75">
      <c r="B212" s="140"/>
      <c r="C212" s="140"/>
      <c r="D212" s="140"/>
    </row>
    <row r="213" spans="2:4" s="138" customFormat="1" ht="12.75">
      <c r="B213" s="140"/>
      <c r="C213" s="140"/>
      <c r="D213" s="140"/>
    </row>
    <row r="214" spans="2:4" s="138" customFormat="1" ht="12.75">
      <c r="B214" s="140"/>
      <c r="C214" s="140"/>
      <c r="D214" s="140"/>
    </row>
    <row r="215" spans="2:4" s="138" customFormat="1" ht="12.75">
      <c r="B215" s="140"/>
      <c r="C215" s="140"/>
      <c r="D215" s="140"/>
    </row>
    <row r="216" spans="2:4" s="138" customFormat="1" ht="12.75">
      <c r="B216" s="140"/>
      <c r="C216" s="140"/>
      <c r="D216" s="140"/>
    </row>
    <row r="217" spans="2:4" s="138" customFormat="1" ht="12.75">
      <c r="B217" s="140"/>
      <c r="C217" s="140"/>
      <c r="D217" s="140"/>
    </row>
    <row r="218" spans="2:4" s="138" customFormat="1" ht="12.75">
      <c r="B218" s="140"/>
      <c r="C218" s="140"/>
      <c r="D218" s="140"/>
    </row>
    <row r="219" spans="2:4" s="138" customFormat="1" ht="12.75">
      <c r="B219" s="140"/>
      <c r="C219" s="140"/>
      <c r="D219" s="140"/>
    </row>
    <row r="220" spans="2:4" s="138" customFormat="1" ht="12.75">
      <c r="B220" s="140"/>
      <c r="C220" s="140"/>
      <c r="D220" s="140"/>
    </row>
    <row r="221" spans="2:4" s="138" customFormat="1" ht="12.75">
      <c r="B221" s="140"/>
      <c r="C221" s="140"/>
      <c r="D221" s="140"/>
    </row>
    <row r="222" spans="2:4" s="138" customFormat="1" ht="12.75">
      <c r="B222" s="140"/>
      <c r="C222" s="140"/>
      <c r="D222" s="140"/>
    </row>
    <row r="223" spans="2:4" s="138" customFormat="1" ht="12.75">
      <c r="B223" s="140"/>
      <c r="C223" s="140"/>
      <c r="D223" s="140"/>
    </row>
    <row r="224" spans="2:4" s="138" customFormat="1" ht="12.75">
      <c r="B224" s="140"/>
      <c r="C224" s="140"/>
      <c r="D224" s="140"/>
    </row>
    <row r="225" spans="2:4" s="138" customFormat="1" ht="12.75">
      <c r="B225" s="140"/>
      <c r="C225" s="140"/>
      <c r="D225" s="140"/>
    </row>
    <row r="226" spans="2:4" s="138" customFormat="1" ht="12.75">
      <c r="B226" s="140"/>
      <c r="C226" s="140"/>
      <c r="D226" s="140"/>
    </row>
    <row r="227" spans="2:4" s="138" customFormat="1" ht="12.75">
      <c r="B227" s="140"/>
      <c r="C227" s="140"/>
      <c r="D227" s="140"/>
    </row>
    <row r="228" spans="2:4" s="138" customFormat="1" ht="12.75">
      <c r="B228" s="140"/>
      <c r="C228" s="140"/>
      <c r="D228" s="140"/>
    </row>
    <row r="229" spans="2:4" s="138" customFormat="1" ht="12.75">
      <c r="B229" s="140"/>
      <c r="C229" s="140"/>
      <c r="D229" s="140"/>
    </row>
    <row r="230" spans="2:4" s="138" customFormat="1" ht="12.75">
      <c r="B230" s="140"/>
      <c r="C230" s="140"/>
      <c r="D230" s="140"/>
    </row>
    <row r="231" spans="2:4" s="138" customFormat="1" ht="12.75">
      <c r="B231" s="140"/>
      <c r="C231" s="140"/>
      <c r="D231" s="140"/>
    </row>
    <row r="232" spans="2:4" s="138" customFormat="1" ht="12.75">
      <c r="B232" s="140"/>
      <c r="C232" s="140"/>
      <c r="D232" s="140"/>
    </row>
    <row r="233" spans="2:4" s="138" customFormat="1" ht="12.75">
      <c r="B233" s="140"/>
      <c r="C233" s="140"/>
      <c r="D233" s="140"/>
    </row>
    <row r="234" spans="2:4" s="138" customFormat="1" ht="12.75">
      <c r="B234" s="140"/>
      <c r="C234" s="140"/>
      <c r="D234" s="140"/>
    </row>
    <row r="235" spans="2:4" s="138" customFormat="1" ht="12.75">
      <c r="B235" s="140"/>
      <c r="C235" s="140"/>
      <c r="D235" s="140"/>
    </row>
    <row r="236" spans="2:4" s="138" customFormat="1" ht="12.75">
      <c r="B236" s="140"/>
      <c r="C236" s="140"/>
      <c r="D236" s="140"/>
    </row>
    <row r="237" spans="2:4" s="138" customFormat="1" ht="12.75">
      <c r="B237" s="140"/>
      <c r="C237" s="140"/>
      <c r="D237" s="140"/>
    </row>
    <row r="238" spans="2:4" s="138" customFormat="1" ht="12.75">
      <c r="B238" s="140"/>
      <c r="C238" s="140"/>
      <c r="D238" s="140"/>
    </row>
    <row r="239" spans="2:4" s="138" customFormat="1" ht="12.75">
      <c r="B239" s="140"/>
      <c r="C239" s="140"/>
      <c r="D239" s="140"/>
    </row>
    <row r="240" spans="2:4" s="138" customFormat="1" ht="12.75">
      <c r="B240" s="140"/>
      <c r="C240" s="140"/>
      <c r="D240" s="140"/>
    </row>
    <row r="241" spans="2:4" s="138" customFormat="1" ht="12.75">
      <c r="B241" s="140"/>
      <c r="C241" s="140"/>
      <c r="D241" s="140"/>
    </row>
    <row r="242" spans="2:4" s="138" customFormat="1" ht="12.75">
      <c r="B242" s="140"/>
      <c r="C242" s="140"/>
      <c r="D242" s="140"/>
    </row>
    <row r="243" spans="2:4" s="138" customFormat="1" ht="12.75">
      <c r="B243" s="140"/>
      <c r="C243" s="140"/>
      <c r="D243" s="140"/>
    </row>
    <row r="244" spans="2:4" s="138" customFormat="1" ht="12.75">
      <c r="B244" s="140"/>
      <c r="C244" s="140"/>
      <c r="D244" s="140"/>
    </row>
    <row r="245" spans="2:4" s="138" customFormat="1" ht="12.75">
      <c r="B245" s="140"/>
      <c r="C245" s="140"/>
      <c r="D245" s="140"/>
    </row>
    <row r="246" spans="2:4" s="138" customFormat="1" ht="12.75">
      <c r="B246" s="140"/>
      <c r="C246" s="140"/>
      <c r="D246" s="140"/>
    </row>
    <row r="247" spans="2:4" s="138" customFormat="1" ht="12.75">
      <c r="B247" s="140"/>
      <c r="C247" s="140"/>
      <c r="D247" s="140"/>
    </row>
    <row r="248" spans="2:4" s="138" customFormat="1" ht="12.75">
      <c r="B248" s="140"/>
      <c r="C248" s="140"/>
      <c r="D248" s="140"/>
    </row>
    <row r="249" spans="2:4" s="138" customFormat="1" ht="12.75">
      <c r="B249" s="140"/>
      <c r="C249" s="140"/>
      <c r="D249" s="140"/>
    </row>
    <row r="250" spans="2:4" s="138" customFormat="1" ht="12.75">
      <c r="B250" s="140"/>
      <c r="C250" s="140"/>
      <c r="D250" s="140"/>
    </row>
    <row r="251" spans="2:4" s="138" customFormat="1" ht="12.75">
      <c r="B251" s="140"/>
      <c r="C251" s="140"/>
      <c r="D251" s="140"/>
    </row>
    <row r="252" spans="2:4" s="138" customFormat="1" ht="12.75">
      <c r="B252" s="140"/>
      <c r="C252" s="140"/>
      <c r="D252" s="140"/>
    </row>
    <row r="253" spans="2:4" s="138" customFormat="1" ht="12.75">
      <c r="B253" s="140"/>
      <c r="C253" s="140"/>
      <c r="D253" s="140"/>
    </row>
    <row r="254" spans="2:4" s="138" customFormat="1" ht="12.75">
      <c r="B254" s="140"/>
      <c r="C254" s="140"/>
      <c r="D254" s="140"/>
    </row>
    <row r="255" spans="2:4" s="138" customFormat="1" ht="12.75">
      <c r="B255" s="140"/>
      <c r="C255" s="140"/>
      <c r="D255" s="140"/>
    </row>
    <row r="256" spans="2:4" s="138" customFormat="1" ht="12.75">
      <c r="B256" s="140"/>
      <c r="C256" s="140"/>
      <c r="D256" s="140"/>
    </row>
    <row r="257" spans="2:4" s="138" customFormat="1" ht="12.75">
      <c r="B257" s="140"/>
      <c r="C257" s="140"/>
      <c r="D257" s="140"/>
    </row>
    <row r="258" spans="2:4" s="138" customFormat="1" ht="12.75">
      <c r="B258" s="140"/>
      <c r="C258" s="140"/>
      <c r="D258" s="140"/>
    </row>
    <row r="259" spans="2:4" s="138" customFormat="1" ht="12.75">
      <c r="B259" s="140"/>
      <c r="C259" s="140"/>
      <c r="D259" s="140"/>
    </row>
    <row r="260" spans="2:4" s="138" customFormat="1" ht="12.75">
      <c r="B260" s="140"/>
      <c r="C260" s="140"/>
      <c r="D260" s="140"/>
    </row>
    <row r="261" spans="2:4" s="138" customFormat="1" ht="12.75">
      <c r="B261" s="140"/>
      <c r="C261" s="140"/>
      <c r="D261" s="140"/>
    </row>
    <row r="262" spans="2:4" s="138" customFormat="1" ht="12.75">
      <c r="B262" s="140"/>
      <c r="C262" s="140"/>
      <c r="D262" s="140"/>
    </row>
    <row r="263" spans="2:4" s="138" customFormat="1" ht="12.75">
      <c r="B263" s="140"/>
      <c r="C263" s="140"/>
      <c r="D263" s="140"/>
    </row>
    <row r="264" spans="2:4" s="138" customFormat="1" ht="12.75">
      <c r="B264" s="140"/>
      <c r="C264" s="140"/>
      <c r="D264" s="140"/>
    </row>
    <row r="265" spans="2:4" s="138" customFormat="1" ht="12.75">
      <c r="B265" s="140"/>
      <c r="C265" s="140"/>
      <c r="D265" s="140"/>
    </row>
    <row r="266" spans="2:4" s="138" customFormat="1" ht="12.75">
      <c r="B266" s="140"/>
      <c r="C266" s="140"/>
      <c r="D266" s="140"/>
    </row>
    <row r="267" spans="2:4" s="138" customFormat="1" ht="12.75">
      <c r="B267" s="140"/>
      <c r="C267" s="140"/>
      <c r="D267" s="140"/>
    </row>
    <row r="268" spans="2:4" s="138" customFormat="1" ht="12.75">
      <c r="B268" s="140"/>
      <c r="C268" s="140"/>
      <c r="D268" s="140"/>
    </row>
    <row r="269" spans="2:4" s="138" customFormat="1" ht="12.75">
      <c r="B269" s="140"/>
      <c r="C269" s="140"/>
      <c r="D269" s="140"/>
    </row>
    <row r="270" spans="2:4" s="138" customFormat="1" ht="12.75">
      <c r="B270" s="140"/>
      <c r="C270" s="140"/>
      <c r="D270" s="140"/>
    </row>
    <row r="271" spans="2:4" s="138" customFormat="1" ht="12.75">
      <c r="B271" s="140"/>
      <c r="C271" s="140"/>
      <c r="D271" s="140"/>
    </row>
    <row r="272" spans="2:4" s="138" customFormat="1" ht="12.75">
      <c r="B272" s="140"/>
      <c r="C272" s="140"/>
      <c r="D272" s="140"/>
    </row>
  </sheetData>
  <mergeCells count="4">
    <mergeCell ref="A111:D111"/>
    <mergeCell ref="A112:D112"/>
    <mergeCell ref="A3:D3"/>
    <mergeCell ref="A2:D2"/>
  </mergeCells>
  <printOptions horizontalCentered="1"/>
  <pageMargins left="0.5118110236220472" right="0.2755905511811024" top="0.8661417322834646" bottom="0.5905511811023623" header="0.5511811023622047" footer="0"/>
  <pageSetup horizontalDpi="600" verticalDpi="600" orientation="portrait" paperSize="9" scale="62" r:id="rId1"/>
  <headerFooter alignWithMargins="0">
    <oddHeader>&amp;L8. melléklet a 2/2014.(II.27.) önkormányzati rendelethez
"8. melléklet az 1/2013.(II.01.) önkormányzati rendelethez"</oddHeader>
  </headerFooter>
  <rowBreaks count="1" manualBreakCount="1">
    <brk id="84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SheetLayoutView="100" workbookViewId="0" topLeftCell="A64">
      <selection activeCell="A73" sqref="A73"/>
    </sheetView>
  </sheetViews>
  <sheetFormatPr defaultColWidth="9.00390625" defaultRowHeight="12.75"/>
  <cols>
    <col min="1" max="1" width="82.00390625" style="122" customWidth="1"/>
    <col min="2" max="3" width="12.25390625" style="123" customWidth="1"/>
    <col min="4" max="4" width="11.875" style="515" customWidth="1"/>
    <col min="5" max="16384" width="9.125" style="122" customWidth="1"/>
  </cols>
  <sheetData>
    <row r="1" spans="1:3" ht="12.75">
      <c r="A1" s="612"/>
      <c r="B1" s="613"/>
      <c r="C1" s="613"/>
    </row>
    <row r="2" spans="1:4" ht="15.75">
      <c r="A2" s="1365" t="s">
        <v>905</v>
      </c>
      <c r="B2" s="1365"/>
      <c r="C2" s="1365"/>
      <c r="D2" s="1365"/>
    </row>
    <row r="3" spans="1:4" ht="15.75">
      <c r="A3" s="1366" t="s">
        <v>906</v>
      </c>
      <c r="B3" s="1366"/>
      <c r="C3" s="1366"/>
      <c r="D3" s="1366"/>
    </row>
    <row r="4" spans="1:4" ht="13.5" thickBot="1">
      <c r="A4" s="611"/>
      <c r="B4" s="517"/>
      <c r="C4" s="517"/>
      <c r="D4" s="518"/>
    </row>
    <row r="5" spans="1:4" ht="12.75">
      <c r="A5" s="124" t="s">
        <v>774</v>
      </c>
      <c r="B5" s="125" t="s">
        <v>539</v>
      </c>
      <c r="C5" s="125" t="s">
        <v>915</v>
      </c>
      <c r="D5" s="693" t="s">
        <v>741</v>
      </c>
    </row>
    <row r="6" spans="1:4" ht="12.75">
      <c r="A6" s="127"/>
      <c r="B6" s="128"/>
      <c r="C6" s="128"/>
      <c r="D6" s="694"/>
    </row>
    <row r="7" spans="1:4" ht="12.75">
      <c r="A7" s="129" t="s">
        <v>532</v>
      </c>
      <c r="B7" s="130">
        <f>SUM(B9,B24)</f>
        <v>118226</v>
      </c>
      <c r="C7" s="130">
        <f>SUM(C9,C24)</f>
        <v>160203</v>
      </c>
      <c r="D7" s="695">
        <f>SUM(D9,D24)</f>
        <v>137173</v>
      </c>
    </row>
    <row r="8" spans="1:4" ht="12.75">
      <c r="A8" s="127"/>
      <c r="B8" s="128"/>
      <c r="C8" s="128"/>
      <c r="D8" s="694"/>
    </row>
    <row r="9" spans="1:4" s="142" customFormat="1" ht="12.75">
      <c r="A9" s="129" t="s">
        <v>789</v>
      </c>
      <c r="B9" s="130">
        <f>SUM(B10:B15)</f>
        <v>18580</v>
      </c>
      <c r="C9" s="130">
        <f>SUM(C10:C22)</f>
        <v>39962</v>
      </c>
      <c r="D9" s="695">
        <f>SUM(D10:D22)</f>
        <v>39962</v>
      </c>
    </row>
    <row r="10" spans="1:4" ht="12.75">
      <c r="A10" s="127" t="s">
        <v>907</v>
      </c>
      <c r="B10" s="128">
        <v>2480</v>
      </c>
      <c r="C10" s="128">
        <v>2480</v>
      </c>
      <c r="D10" s="694">
        <v>2480</v>
      </c>
    </row>
    <row r="11" spans="1:4" ht="12.75">
      <c r="A11" s="127" t="s">
        <v>908</v>
      </c>
      <c r="B11" s="128">
        <v>1270</v>
      </c>
      <c r="C11" s="128">
        <v>1270</v>
      </c>
      <c r="D11" s="694">
        <v>1270</v>
      </c>
    </row>
    <row r="12" spans="1:4" ht="12.75">
      <c r="A12" s="127" t="s">
        <v>909</v>
      </c>
      <c r="B12" s="128">
        <v>5000</v>
      </c>
      <c r="C12" s="128">
        <v>5000</v>
      </c>
      <c r="D12" s="694">
        <v>5000</v>
      </c>
    </row>
    <row r="13" spans="1:4" ht="12.75">
      <c r="A13" s="127" t="s">
        <v>910</v>
      </c>
      <c r="B13" s="128">
        <v>3302</v>
      </c>
      <c r="C13" s="128">
        <v>3302</v>
      </c>
      <c r="D13" s="694">
        <v>3302</v>
      </c>
    </row>
    <row r="14" spans="1:4" ht="12.75">
      <c r="A14" s="127" t="s">
        <v>911</v>
      </c>
      <c r="B14" s="128">
        <v>432</v>
      </c>
      <c r="C14" s="128">
        <v>432</v>
      </c>
      <c r="D14" s="694">
        <v>432</v>
      </c>
    </row>
    <row r="15" spans="1:4" ht="12.75">
      <c r="A15" s="132" t="s">
        <v>912</v>
      </c>
      <c r="B15" s="128">
        <v>6096</v>
      </c>
      <c r="C15" s="128">
        <v>6096</v>
      </c>
      <c r="D15" s="694">
        <v>6096</v>
      </c>
    </row>
    <row r="16" spans="1:4" ht="12.75">
      <c r="A16" s="132" t="s">
        <v>436</v>
      </c>
      <c r="B16" s="128"/>
      <c r="C16" s="128">
        <f>8000</f>
        <v>8000</v>
      </c>
      <c r="D16" s="694">
        <v>8000</v>
      </c>
    </row>
    <row r="17" spans="1:4" ht="12.75">
      <c r="A17" s="132" t="s">
        <v>438</v>
      </c>
      <c r="B17" s="128"/>
      <c r="C17" s="128">
        <v>900</v>
      </c>
      <c r="D17" s="694">
        <v>900</v>
      </c>
    </row>
    <row r="18" spans="1:4" ht="12.75">
      <c r="A18" s="132" t="s">
        <v>439</v>
      </c>
      <c r="B18" s="128"/>
      <c r="C18" s="128">
        <v>7500</v>
      </c>
      <c r="D18" s="694">
        <v>7500</v>
      </c>
    </row>
    <row r="19" spans="1:4" ht="12.75">
      <c r="A19" s="132" t="s">
        <v>77</v>
      </c>
      <c r="B19" s="128"/>
      <c r="C19" s="128">
        <v>416</v>
      </c>
      <c r="D19" s="694">
        <v>416</v>
      </c>
    </row>
    <row r="20" spans="1:4" ht="12.75">
      <c r="A20" s="132" t="s">
        <v>78</v>
      </c>
      <c r="B20" s="128"/>
      <c r="C20" s="128">
        <v>3609</v>
      </c>
      <c r="D20" s="694">
        <v>3609</v>
      </c>
    </row>
    <row r="21" spans="1:4" ht="12.75">
      <c r="A21" s="132" t="s">
        <v>79</v>
      </c>
      <c r="B21" s="128"/>
      <c r="C21" s="128">
        <v>0</v>
      </c>
      <c r="D21" s="694">
        <v>0</v>
      </c>
    </row>
    <row r="22" spans="1:4" ht="25.5">
      <c r="A22" s="132" t="s">
        <v>80</v>
      </c>
      <c r="B22" s="128"/>
      <c r="C22" s="128">
        <v>957</v>
      </c>
      <c r="D22" s="694">
        <v>957</v>
      </c>
    </row>
    <row r="23" spans="1:4" ht="12.75">
      <c r="A23" s="127"/>
      <c r="B23" s="128"/>
      <c r="C23" s="128"/>
      <c r="D23" s="694"/>
    </row>
    <row r="24" spans="1:4" ht="12.75">
      <c r="A24" s="129" t="s">
        <v>794</v>
      </c>
      <c r="B24" s="130">
        <f>SUM(B25:B44)</f>
        <v>99646</v>
      </c>
      <c r="C24" s="130">
        <f>SUM(C25:C44)</f>
        <v>120241</v>
      </c>
      <c r="D24" s="695">
        <f>SUM(D25:D44)</f>
        <v>97211</v>
      </c>
    </row>
    <row r="25" spans="1:4" ht="12.75">
      <c r="A25" s="127" t="s">
        <v>913</v>
      </c>
      <c r="B25" s="128">
        <v>8990</v>
      </c>
      <c r="C25" s="128">
        <v>9702</v>
      </c>
      <c r="D25" s="694">
        <v>9702</v>
      </c>
    </row>
    <row r="26" spans="1:4" ht="12.75">
      <c r="A26" s="127" t="s">
        <v>922</v>
      </c>
      <c r="B26" s="128">
        <v>8000</v>
      </c>
      <c r="C26" s="128">
        <v>8000</v>
      </c>
      <c r="D26" s="694">
        <v>8000</v>
      </c>
    </row>
    <row r="27" spans="1:4" ht="12.75">
      <c r="A27" s="127" t="s">
        <v>440</v>
      </c>
      <c r="B27" s="128">
        <v>12500</v>
      </c>
      <c r="C27" s="128">
        <v>28050</v>
      </c>
      <c r="D27" s="694">
        <v>28050</v>
      </c>
    </row>
    <row r="28" spans="1:4" ht="12.75">
      <c r="A28" s="127" t="s">
        <v>923</v>
      </c>
      <c r="B28" s="128">
        <v>10000</v>
      </c>
      <c r="C28" s="128">
        <v>9400</v>
      </c>
      <c r="D28" s="694">
        <v>9400</v>
      </c>
    </row>
    <row r="29" spans="1:4" ht="12.75">
      <c r="A29" s="127" t="s">
        <v>924</v>
      </c>
      <c r="B29" s="128">
        <v>10000</v>
      </c>
      <c r="C29" s="128">
        <f>10000-7000</f>
        <v>3000</v>
      </c>
      <c r="D29" s="694">
        <v>3000</v>
      </c>
    </row>
    <row r="30" spans="1:4" ht="12.75">
      <c r="A30" s="127" t="s">
        <v>925</v>
      </c>
      <c r="B30" s="128">
        <v>15240</v>
      </c>
      <c r="C30" s="128">
        <v>0</v>
      </c>
      <c r="D30" s="694">
        <v>0</v>
      </c>
    </row>
    <row r="31" spans="1:4" ht="12.75">
      <c r="A31" s="127" t="s">
        <v>926</v>
      </c>
      <c r="B31" s="128">
        <v>19000</v>
      </c>
      <c r="C31" s="128">
        <v>19000</v>
      </c>
      <c r="D31" s="694">
        <v>19000</v>
      </c>
    </row>
    <row r="32" spans="1:4" ht="12.75">
      <c r="A32" s="127" t="s">
        <v>927</v>
      </c>
      <c r="B32" s="128">
        <v>6000</v>
      </c>
      <c r="C32" s="128">
        <v>6000</v>
      </c>
      <c r="D32" s="694">
        <v>6000</v>
      </c>
    </row>
    <row r="33" spans="1:4" ht="12.75">
      <c r="A33" s="127" t="s">
        <v>928</v>
      </c>
      <c r="B33" s="128">
        <v>3000</v>
      </c>
      <c r="C33" s="128">
        <v>3000</v>
      </c>
      <c r="D33" s="694">
        <v>3000</v>
      </c>
    </row>
    <row r="34" spans="1:4" ht="25.5">
      <c r="A34" s="132" t="s">
        <v>929</v>
      </c>
      <c r="B34" s="128">
        <v>5000</v>
      </c>
      <c r="C34" s="128">
        <v>5000</v>
      </c>
      <c r="D34" s="694">
        <f>5000-1176</f>
        <v>3824</v>
      </c>
    </row>
    <row r="35" spans="1:4" ht="12.75">
      <c r="A35" s="132" t="s">
        <v>930</v>
      </c>
      <c r="B35" s="128">
        <v>1016</v>
      </c>
      <c r="C35" s="128">
        <v>1016</v>
      </c>
      <c r="D35" s="694">
        <v>1016</v>
      </c>
    </row>
    <row r="36" spans="1:4" ht="12.75">
      <c r="A36" s="132" t="s">
        <v>931</v>
      </c>
      <c r="B36" s="128">
        <v>900</v>
      </c>
      <c r="C36" s="128">
        <v>900</v>
      </c>
      <c r="D36" s="694">
        <v>900</v>
      </c>
    </row>
    <row r="37" spans="1:4" ht="12.75">
      <c r="A37" s="132" t="s">
        <v>441</v>
      </c>
      <c r="B37" s="128"/>
      <c r="C37" s="128">
        <v>600</v>
      </c>
      <c r="D37" s="694">
        <v>600</v>
      </c>
    </row>
    <row r="38" spans="1:4" ht="12.75">
      <c r="A38" s="132" t="s">
        <v>392</v>
      </c>
      <c r="B38" s="128"/>
      <c r="C38" s="128">
        <f>2391+219</f>
        <v>2610</v>
      </c>
      <c r="D38" s="694">
        <v>2610</v>
      </c>
    </row>
    <row r="39" spans="1:4" ht="12.75">
      <c r="A39" s="132" t="s">
        <v>81</v>
      </c>
      <c r="B39" s="128"/>
      <c r="C39" s="128">
        <v>445</v>
      </c>
      <c r="D39" s="694">
        <v>445</v>
      </c>
    </row>
    <row r="40" spans="1:4" ht="12.75">
      <c r="A40" s="132" t="s">
        <v>783</v>
      </c>
      <c r="B40" s="128"/>
      <c r="C40" s="128">
        <v>468</v>
      </c>
      <c r="D40" s="694">
        <v>468</v>
      </c>
    </row>
    <row r="41" spans="1:4" ht="12.75">
      <c r="A41" s="132" t="s">
        <v>937</v>
      </c>
      <c r="B41" s="128"/>
      <c r="C41" s="128">
        <v>22000</v>
      </c>
      <c r="D41" s="694">
        <v>0</v>
      </c>
    </row>
    <row r="42" spans="1:4" ht="12.75">
      <c r="A42" s="132" t="s">
        <v>393</v>
      </c>
      <c r="B42" s="128"/>
      <c r="C42" s="128">
        <v>800</v>
      </c>
      <c r="D42" s="694">
        <v>800</v>
      </c>
    </row>
    <row r="43" spans="1:4" ht="12.75">
      <c r="A43" s="132" t="s">
        <v>837</v>
      </c>
      <c r="B43" s="128"/>
      <c r="C43" s="128">
        <v>250</v>
      </c>
      <c r="D43" s="694">
        <v>250</v>
      </c>
    </row>
    <row r="44" spans="1:4" ht="12.75">
      <c r="A44" s="132" t="s">
        <v>125</v>
      </c>
      <c r="B44" s="128"/>
      <c r="C44" s="128"/>
      <c r="D44" s="694">
        <v>146</v>
      </c>
    </row>
    <row r="45" spans="1:4" ht="12.75">
      <c r="A45" s="132"/>
      <c r="B45" s="128"/>
      <c r="C45" s="128"/>
      <c r="D45" s="694"/>
    </row>
    <row r="46" spans="1:4" s="142" customFormat="1" ht="12.75">
      <c r="A46" s="495" t="s">
        <v>535</v>
      </c>
      <c r="B46" s="130"/>
      <c r="C46" s="130">
        <v>0</v>
      </c>
      <c r="D46" s="695">
        <v>0</v>
      </c>
    </row>
    <row r="47" spans="1:4" ht="12.75">
      <c r="A47" s="127"/>
      <c r="B47" s="128"/>
      <c r="C47" s="128"/>
      <c r="D47" s="694"/>
    </row>
    <row r="48" spans="1:4" s="126" customFormat="1" ht="12.75">
      <c r="A48" s="129" t="s">
        <v>829</v>
      </c>
      <c r="B48" s="130">
        <f>SUM(B49:B50)</f>
        <v>9400</v>
      </c>
      <c r="C48" s="130">
        <f>SUM(C49:C50)</f>
        <v>9400</v>
      </c>
      <c r="D48" s="695">
        <f>SUM(D49:D50)</f>
        <v>11284</v>
      </c>
    </row>
    <row r="49" spans="1:4" s="133" customFormat="1" ht="12.75">
      <c r="A49" s="127" t="s">
        <v>932</v>
      </c>
      <c r="B49" s="128">
        <v>4400</v>
      </c>
      <c r="C49" s="128">
        <v>4400</v>
      </c>
      <c r="D49" s="694">
        <f>4400+1063</f>
        <v>5463</v>
      </c>
    </row>
    <row r="50" spans="1:4" s="131" customFormat="1" ht="12.75">
      <c r="A50" s="127" t="s">
        <v>933</v>
      </c>
      <c r="B50" s="128">
        <v>5000</v>
      </c>
      <c r="C50" s="128">
        <v>5000</v>
      </c>
      <c r="D50" s="694">
        <f>5000+821</f>
        <v>5821</v>
      </c>
    </row>
    <row r="51" spans="1:4" ht="12.75">
      <c r="A51" s="127"/>
      <c r="B51" s="128"/>
      <c r="C51" s="128"/>
      <c r="D51" s="694"/>
    </row>
    <row r="52" spans="1:4" ht="12.75">
      <c r="A52" s="129" t="s">
        <v>537</v>
      </c>
      <c r="B52" s="130">
        <f>SUM(B53:B54)</f>
        <v>10923</v>
      </c>
      <c r="C52" s="130">
        <f>SUM(C53:C54)</f>
        <v>10923</v>
      </c>
      <c r="D52" s="695">
        <f>SUM(D53:D54)</f>
        <v>13423</v>
      </c>
    </row>
    <row r="53" spans="1:4" ht="25.5">
      <c r="A53" s="132" t="s">
        <v>934</v>
      </c>
      <c r="B53" s="128">
        <v>4458</v>
      </c>
      <c r="C53" s="128">
        <v>4458</v>
      </c>
      <c r="D53" s="694">
        <v>4458</v>
      </c>
    </row>
    <row r="54" spans="1:4" ht="12.75">
      <c r="A54" s="127" t="s">
        <v>935</v>
      </c>
      <c r="B54" s="128">
        <v>6465</v>
      </c>
      <c r="C54" s="128">
        <v>6465</v>
      </c>
      <c r="D54" s="694">
        <f>6465+2500</f>
        <v>8965</v>
      </c>
    </row>
    <row r="55" spans="1:4" ht="12.75">
      <c r="A55" s="127"/>
      <c r="B55" s="128"/>
      <c r="C55" s="128"/>
      <c r="D55" s="694"/>
    </row>
    <row r="56" spans="1:4" s="135" customFormat="1" ht="13.5" thickBot="1">
      <c r="A56" s="134" t="s">
        <v>756</v>
      </c>
      <c r="B56" s="692">
        <f>SUM(B7,B48,B52)</f>
        <v>138549</v>
      </c>
      <c r="C56" s="692">
        <f>SUM(C52,C48,C46,C7)</f>
        <v>180526</v>
      </c>
      <c r="D56" s="696">
        <f>SUM(D52,D48,D46,D7)</f>
        <v>161880</v>
      </c>
    </row>
    <row r="57" spans="1:4" ht="12.75">
      <c r="A57" s="510"/>
      <c r="B57" s="511"/>
      <c r="C57" s="511"/>
      <c r="D57" s="512"/>
    </row>
    <row r="58" spans="1:3" ht="12.75">
      <c r="A58" s="513"/>
      <c r="B58" s="514"/>
      <c r="C58" s="514"/>
    </row>
    <row r="59" spans="1:3" ht="12.75">
      <c r="A59" s="513"/>
      <c r="B59" s="514"/>
      <c r="C59" s="514"/>
    </row>
    <row r="60" spans="1:4" ht="15.75">
      <c r="A60" s="1365" t="s">
        <v>936</v>
      </c>
      <c r="B60" s="1365"/>
      <c r="C60" s="1365"/>
      <c r="D60" s="1365"/>
    </row>
    <row r="61" spans="1:4" ht="15.75">
      <c r="A61" s="1366" t="s">
        <v>773</v>
      </c>
      <c r="B61" s="1366"/>
      <c r="C61" s="1366"/>
      <c r="D61" s="1366"/>
    </row>
    <row r="62" spans="1:4" ht="13.5" thickBot="1">
      <c r="A62" s="516"/>
      <c r="B62" s="517"/>
      <c r="C62" s="517"/>
      <c r="D62" s="518"/>
    </row>
    <row r="63" spans="1:4" ht="12.75">
      <c r="A63" s="124" t="s">
        <v>774</v>
      </c>
      <c r="B63" s="125" t="s">
        <v>539</v>
      </c>
      <c r="C63" s="125" t="s">
        <v>915</v>
      </c>
      <c r="D63" s="693" t="s">
        <v>741</v>
      </c>
    </row>
    <row r="64" spans="1:4" ht="12.75">
      <c r="A64" s="127"/>
      <c r="B64" s="128"/>
      <c r="C64" s="128"/>
      <c r="D64" s="694"/>
    </row>
    <row r="65" spans="1:4" ht="12.75">
      <c r="A65" s="129" t="s">
        <v>532</v>
      </c>
      <c r="B65" s="130">
        <f>SUM(B67)</f>
        <v>30000</v>
      </c>
      <c r="C65" s="130">
        <f>SUM(C67)</f>
        <v>0</v>
      </c>
      <c r="D65" s="695">
        <f>SUM(D67)</f>
        <v>0</v>
      </c>
    </row>
    <row r="66" spans="1:4" ht="12.75">
      <c r="A66" s="143"/>
      <c r="B66" s="144"/>
      <c r="C66" s="128"/>
      <c r="D66" s="694"/>
    </row>
    <row r="67" spans="1:4" ht="12.75">
      <c r="A67" s="129" t="s">
        <v>794</v>
      </c>
      <c r="B67" s="130">
        <f>SUM(B68:B68)</f>
        <v>30000</v>
      </c>
      <c r="C67" s="130">
        <f>SUM(C68:C68)</f>
        <v>0</v>
      </c>
      <c r="D67" s="695">
        <f>SUM(D68:D68)</f>
        <v>0</v>
      </c>
    </row>
    <row r="68" spans="1:4" ht="12.75">
      <c r="A68" s="127" t="s">
        <v>937</v>
      </c>
      <c r="B68" s="128">
        <v>30000</v>
      </c>
      <c r="C68" s="128">
        <v>0</v>
      </c>
      <c r="D68" s="694">
        <v>0</v>
      </c>
    </row>
    <row r="69" spans="1:4" ht="12.75">
      <c r="A69" s="143"/>
      <c r="B69" s="144"/>
      <c r="C69" s="128"/>
      <c r="D69" s="694"/>
    </row>
    <row r="70" spans="1:4" s="135" customFormat="1" ht="13.5" thickBot="1">
      <c r="A70" s="134" t="s">
        <v>756</v>
      </c>
      <c r="B70" s="692">
        <f>SUM(B65)</f>
        <v>30000</v>
      </c>
      <c r="C70" s="692">
        <f>SUM(C65)</f>
        <v>0</v>
      </c>
      <c r="D70" s="696">
        <f>SUM(D65)</f>
        <v>0</v>
      </c>
    </row>
    <row r="72" ht="12.75">
      <c r="A72" s="1411" t="s">
        <v>251</v>
      </c>
    </row>
    <row r="73" ht="12.75">
      <c r="A73" s="8" t="s">
        <v>252</v>
      </c>
    </row>
    <row r="74" ht="12.75">
      <c r="A74" s="8" t="s">
        <v>253</v>
      </c>
    </row>
    <row r="75" ht="12.75">
      <c r="A75" s="8" t="s">
        <v>254</v>
      </c>
    </row>
    <row r="76" ht="12.75">
      <c r="A76" s="8" t="s">
        <v>255</v>
      </c>
    </row>
  </sheetData>
  <mergeCells count="4">
    <mergeCell ref="A60:D60"/>
    <mergeCell ref="A61:D61"/>
    <mergeCell ref="A3:D3"/>
    <mergeCell ref="A2:D2"/>
  </mergeCells>
  <printOptions horizontalCentered="1"/>
  <pageMargins left="0.4724409448818898" right="0.2362204724409449" top="0.76" bottom="0.4330708661417323" header="0.5118110236220472" footer="0.5118110236220472"/>
  <pageSetup horizontalDpi="600" verticalDpi="600" orientation="portrait" paperSize="9" scale="76" r:id="rId1"/>
  <headerFooter alignWithMargins="0">
    <oddHeader>&amp;L9. melléklet a 2/2014.(II.27.) önkormányzati rendelethez
"9. melléklet az 1/2013.(II.01.) önkormányzati rendelethez"</oddHeader>
  </headerFooter>
  <rowBreaks count="1" manualBreakCount="1">
    <brk id="7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SheetLayoutView="100" workbookViewId="0" topLeftCell="A64">
      <selection activeCell="A89" sqref="A89"/>
    </sheetView>
  </sheetViews>
  <sheetFormatPr defaultColWidth="9.00390625" defaultRowHeight="12.75"/>
  <cols>
    <col min="1" max="1" width="64.25390625" style="0" customWidth="1"/>
    <col min="2" max="2" width="10.75390625" style="0" customWidth="1"/>
    <col min="3" max="3" width="11.375" style="0" customWidth="1"/>
    <col min="4" max="4" width="10.75390625" style="0" customWidth="1"/>
    <col min="5" max="5" width="10.25390625" style="0" customWidth="1"/>
    <col min="6" max="6" width="12.625" style="0" customWidth="1"/>
    <col min="7" max="7" width="13.00390625" style="0" customWidth="1"/>
  </cols>
  <sheetData>
    <row r="1" spans="1:7" ht="12.75" customHeight="1">
      <c r="A1" s="1367" t="s">
        <v>938</v>
      </c>
      <c r="B1" s="1367"/>
      <c r="C1" s="1367"/>
      <c r="D1" s="1367"/>
      <c r="E1" s="1367"/>
      <c r="F1" s="1367"/>
      <c r="G1" s="1367"/>
    </row>
    <row r="2" spans="1:6" ht="12.75">
      <c r="A2" s="1367" t="s">
        <v>939</v>
      </c>
      <c r="B2" s="1367"/>
      <c r="C2" s="1367"/>
      <c r="D2" s="1367"/>
      <c r="E2" s="1367"/>
      <c r="F2" s="1367"/>
    </row>
    <row r="3" spans="1:4" ht="16.5" thickBot="1">
      <c r="A3" s="11"/>
      <c r="B3" s="8"/>
      <c r="C3" s="8"/>
      <c r="D3" s="8"/>
    </row>
    <row r="4" spans="1:7" ht="51">
      <c r="A4" s="7" t="s">
        <v>774</v>
      </c>
      <c r="B4" s="149" t="s">
        <v>540</v>
      </c>
      <c r="C4" s="149" t="s">
        <v>915</v>
      </c>
      <c r="D4" s="149" t="s">
        <v>741</v>
      </c>
      <c r="E4" s="150" t="s">
        <v>940</v>
      </c>
      <c r="F4" s="150" t="s">
        <v>916</v>
      </c>
      <c r="G4" s="837" t="s">
        <v>742</v>
      </c>
    </row>
    <row r="5" spans="1:7" ht="15" customHeight="1">
      <c r="A5" s="154" t="s">
        <v>941</v>
      </c>
      <c r="B5" s="145"/>
      <c r="C5" s="145"/>
      <c r="D5" s="145"/>
      <c r="E5" s="146">
        <v>32000</v>
      </c>
      <c r="F5" s="146">
        <v>32000</v>
      </c>
      <c r="G5" s="697">
        <v>40091</v>
      </c>
    </row>
    <row r="6" spans="1:7" ht="15" customHeight="1">
      <c r="A6" s="155" t="s">
        <v>942</v>
      </c>
      <c r="B6" s="146"/>
      <c r="C6" s="146"/>
      <c r="D6" s="146"/>
      <c r="E6" s="146">
        <v>18000</v>
      </c>
      <c r="F6" s="146">
        <v>18000</v>
      </c>
      <c r="G6" s="697">
        <v>19034</v>
      </c>
    </row>
    <row r="7" spans="1:7" ht="15" customHeight="1">
      <c r="A7" s="155" t="s">
        <v>943</v>
      </c>
      <c r="B7" s="146"/>
      <c r="C7" s="146"/>
      <c r="D7" s="146"/>
      <c r="E7" s="146">
        <v>36</v>
      </c>
      <c r="F7" s="146">
        <v>36</v>
      </c>
      <c r="G7" s="697">
        <v>32</v>
      </c>
    </row>
    <row r="8" spans="1:7" ht="15" customHeight="1">
      <c r="A8" s="155" t="s">
        <v>944</v>
      </c>
      <c r="B8" s="146"/>
      <c r="C8" s="146"/>
      <c r="D8" s="146"/>
      <c r="E8" s="146">
        <v>18000</v>
      </c>
      <c r="F8" s="146">
        <v>18000</v>
      </c>
      <c r="G8" s="697">
        <v>18637</v>
      </c>
    </row>
    <row r="9" spans="1:7" ht="15" customHeight="1">
      <c r="A9" s="155" t="s">
        <v>945</v>
      </c>
      <c r="B9" s="146"/>
      <c r="C9" s="146"/>
      <c r="D9" s="146"/>
      <c r="E9" s="146">
        <v>7200</v>
      </c>
      <c r="F9" s="146">
        <v>7200</v>
      </c>
      <c r="G9" s="697">
        <v>5635</v>
      </c>
    </row>
    <row r="10" spans="1:7" ht="15" customHeight="1">
      <c r="A10" s="155" t="s">
        <v>946</v>
      </c>
      <c r="B10" s="146"/>
      <c r="C10" s="146"/>
      <c r="D10" s="146"/>
      <c r="E10" s="146">
        <v>1523</v>
      </c>
      <c r="F10" s="146">
        <v>1523</v>
      </c>
      <c r="G10" s="697">
        <v>1621</v>
      </c>
    </row>
    <row r="11" spans="1:7" ht="15" customHeight="1">
      <c r="A11" s="155" t="s">
        <v>947</v>
      </c>
      <c r="B11" s="146">
        <v>1700</v>
      </c>
      <c r="C11" s="146">
        <v>700</v>
      </c>
      <c r="D11" s="146">
        <v>1324</v>
      </c>
      <c r="E11" s="146"/>
      <c r="F11" s="146"/>
      <c r="G11" s="697"/>
    </row>
    <row r="12" spans="1:7" ht="15" customHeight="1">
      <c r="A12" s="155" t="s">
        <v>948</v>
      </c>
      <c r="B12" s="146">
        <v>11000</v>
      </c>
      <c r="C12" s="146">
        <v>15900</v>
      </c>
      <c r="D12" s="146">
        <v>14304</v>
      </c>
      <c r="E12" s="146"/>
      <c r="F12" s="146"/>
      <c r="G12" s="697"/>
    </row>
    <row r="13" spans="1:7" ht="15" customHeight="1">
      <c r="A13" s="155" t="s">
        <v>950</v>
      </c>
      <c r="B13" s="146">
        <v>2500</v>
      </c>
      <c r="C13" s="146">
        <v>1500</v>
      </c>
      <c r="D13" s="146">
        <v>1500</v>
      </c>
      <c r="E13" s="146"/>
      <c r="F13" s="146"/>
      <c r="G13" s="697"/>
    </row>
    <row r="14" spans="1:7" ht="15" customHeight="1">
      <c r="A14" s="155" t="s">
        <v>951</v>
      </c>
      <c r="B14" s="146">
        <v>4000</v>
      </c>
      <c r="C14" s="146">
        <v>5300</v>
      </c>
      <c r="D14" s="146">
        <v>5336</v>
      </c>
      <c r="E14" s="146"/>
      <c r="F14" s="146"/>
      <c r="G14" s="697"/>
    </row>
    <row r="15" spans="1:7" ht="15" customHeight="1">
      <c r="A15" s="155" t="s">
        <v>952</v>
      </c>
      <c r="B15" s="146">
        <v>150</v>
      </c>
      <c r="C15" s="146">
        <v>150</v>
      </c>
      <c r="D15" s="146">
        <v>150</v>
      </c>
      <c r="E15" s="146"/>
      <c r="F15" s="146"/>
      <c r="G15" s="697"/>
    </row>
    <row r="16" spans="1:7" ht="15" customHeight="1">
      <c r="A16" s="155" t="s">
        <v>953</v>
      </c>
      <c r="B16" s="146">
        <v>28000</v>
      </c>
      <c r="C16" s="146">
        <v>28706</v>
      </c>
      <c r="D16" s="146">
        <v>28706</v>
      </c>
      <c r="E16" s="146"/>
      <c r="F16" s="146"/>
      <c r="G16" s="697"/>
    </row>
    <row r="17" spans="1:7" ht="15" customHeight="1">
      <c r="A17" s="155" t="s">
        <v>954</v>
      </c>
      <c r="B17" s="146"/>
      <c r="C17" s="146"/>
      <c r="D17" s="146"/>
      <c r="E17" s="146">
        <v>300</v>
      </c>
      <c r="F17" s="146">
        <v>300</v>
      </c>
      <c r="G17" s="697"/>
    </row>
    <row r="18" spans="1:7" s="6" customFormat="1" ht="15" customHeight="1">
      <c r="A18" s="9" t="s">
        <v>956</v>
      </c>
      <c r="B18" s="147">
        <f aca="true" t="shared" si="0" ref="B18:G18">SUM(B5:B17)</f>
        <v>47350</v>
      </c>
      <c r="C18" s="147">
        <f t="shared" si="0"/>
        <v>52256</v>
      </c>
      <c r="D18" s="147">
        <f t="shared" si="0"/>
        <v>51320</v>
      </c>
      <c r="E18" s="147">
        <f t="shared" si="0"/>
        <v>77059</v>
      </c>
      <c r="F18" s="147">
        <f t="shared" si="0"/>
        <v>77059</v>
      </c>
      <c r="G18" s="698">
        <f t="shared" si="0"/>
        <v>85050</v>
      </c>
    </row>
    <row r="19" spans="1:7" ht="15" customHeight="1">
      <c r="A19" s="211"/>
      <c r="B19" s="148"/>
      <c r="C19" s="148"/>
      <c r="D19" s="148"/>
      <c r="E19" s="146"/>
      <c r="F19" s="146"/>
      <c r="G19" s="697"/>
    </row>
    <row r="20" spans="1:7" ht="15" customHeight="1">
      <c r="A20" s="155" t="s">
        <v>957</v>
      </c>
      <c r="B20" s="146">
        <v>4000</v>
      </c>
      <c r="C20" s="146">
        <v>4000</v>
      </c>
      <c r="D20" s="146">
        <v>4000</v>
      </c>
      <c r="E20" s="146"/>
      <c r="F20" s="146"/>
      <c r="G20" s="697"/>
    </row>
    <row r="21" spans="1:7" ht="15" customHeight="1">
      <c r="A21" s="155" t="s">
        <v>958</v>
      </c>
      <c r="B21" s="146">
        <v>2500</v>
      </c>
      <c r="C21" s="146">
        <v>500</v>
      </c>
      <c r="D21" s="146">
        <v>500</v>
      </c>
      <c r="E21" s="146"/>
      <c r="F21" s="146"/>
      <c r="G21" s="697"/>
    </row>
    <row r="22" spans="1:7" ht="15" customHeight="1">
      <c r="A22" s="155" t="s">
        <v>959</v>
      </c>
      <c r="B22" s="146">
        <v>2500</v>
      </c>
      <c r="C22" s="146">
        <v>1600</v>
      </c>
      <c r="D22" s="146">
        <v>1652</v>
      </c>
      <c r="E22" s="146"/>
      <c r="F22" s="146"/>
      <c r="G22" s="697"/>
    </row>
    <row r="23" spans="1:7" ht="15" customHeight="1">
      <c r="A23" s="155" t="s">
        <v>960</v>
      </c>
      <c r="B23" s="146">
        <v>5000</v>
      </c>
      <c r="C23" s="146">
        <v>6000</v>
      </c>
      <c r="D23" s="146">
        <v>6884</v>
      </c>
      <c r="E23" s="146"/>
      <c r="F23" s="146"/>
      <c r="G23" s="697"/>
    </row>
    <row r="24" spans="1:7" s="6" customFormat="1" ht="15" customHeight="1">
      <c r="A24" s="9" t="s">
        <v>961</v>
      </c>
      <c r="B24" s="147">
        <f aca="true" t="shared" si="1" ref="B24:G24">SUM(B20+B21+B22+B23)</f>
        <v>14000</v>
      </c>
      <c r="C24" s="147">
        <f t="shared" si="1"/>
        <v>12100</v>
      </c>
      <c r="D24" s="147">
        <f t="shared" si="1"/>
        <v>13036</v>
      </c>
      <c r="E24" s="147">
        <f t="shared" si="1"/>
        <v>0</v>
      </c>
      <c r="F24" s="147">
        <f t="shared" si="1"/>
        <v>0</v>
      </c>
      <c r="G24" s="698">
        <f t="shared" si="1"/>
        <v>0</v>
      </c>
    </row>
    <row r="25" spans="1:7" ht="15" customHeight="1">
      <c r="A25" s="155"/>
      <c r="B25" s="146"/>
      <c r="C25" s="146"/>
      <c r="D25" s="146"/>
      <c r="E25" s="146"/>
      <c r="F25" s="146"/>
      <c r="G25" s="697"/>
    </row>
    <row r="26" spans="1:7" s="6" customFormat="1" ht="15" customHeight="1" thickBot="1">
      <c r="A26" s="156" t="s">
        <v>964</v>
      </c>
      <c r="B26" s="157">
        <f aca="true" t="shared" si="2" ref="B26:G26">SUM(B18+B24)</f>
        <v>61350</v>
      </c>
      <c r="C26" s="157">
        <f>SUM(C18+C24)</f>
        <v>64356</v>
      </c>
      <c r="D26" s="157">
        <f t="shared" si="2"/>
        <v>64356</v>
      </c>
      <c r="E26" s="157">
        <f t="shared" si="2"/>
        <v>77059</v>
      </c>
      <c r="F26" s="157">
        <f>SUM(F18+F24)</f>
        <v>77059</v>
      </c>
      <c r="G26" s="699">
        <f t="shared" si="2"/>
        <v>85050</v>
      </c>
    </row>
    <row r="27" spans="1:4" ht="12.75">
      <c r="A27" s="8"/>
      <c r="B27" s="8"/>
      <c r="C27" s="8"/>
      <c r="D27" s="8"/>
    </row>
    <row r="29" spans="1:7" ht="12.75" customHeight="1">
      <c r="A29" s="1367" t="s">
        <v>965</v>
      </c>
      <c r="B29" s="1367"/>
      <c r="C29" s="1367"/>
      <c r="D29" s="1367"/>
      <c r="E29" s="1367"/>
      <c r="F29" s="1367"/>
      <c r="G29" s="1367"/>
    </row>
    <row r="30" spans="1:6" ht="12.75">
      <c r="A30" s="1367" t="s">
        <v>939</v>
      </c>
      <c r="B30" s="1367"/>
      <c r="C30" s="1367"/>
      <c r="D30" s="1367"/>
      <c r="E30" s="1367"/>
      <c r="F30" s="1367"/>
    </row>
    <row r="31" spans="1:4" ht="16.5" thickBot="1">
      <c r="A31" s="11"/>
      <c r="B31" s="8"/>
      <c r="C31" s="8"/>
      <c r="D31" s="8"/>
    </row>
    <row r="32" spans="1:7" ht="51">
      <c r="A32" s="7" t="s">
        <v>774</v>
      </c>
      <c r="B32" s="149" t="s">
        <v>540</v>
      </c>
      <c r="C32" s="149" t="s">
        <v>915</v>
      </c>
      <c r="D32" s="149" t="s">
        <v>741</v>
      </c>
      <c r="E32" s="150" t="s">
        <v>940</v>
      </c>
      <c r="F32" s="150" t="s">
        <v>916</v>
      </c>
      <c r="G32" s="837" t="s">
        <v>742</v>
      </c>
    </row>
    <row r="33" spans="1:7" ht="12.75">
      <c r="A33" s="154" t="s">
        <v>941</v>
      </c>
      <c r="B33" s="145">
        <v>40000</v>
      </c>
      <c r="C33" s="145">
        <v>8162</v>
      </c>
      <c r="D33" s="145">
        <v>8162</v>
      </c>
      <c r="E33" s="146"/>
      <c r="F33" s="475"/>
      <c r="G33" s="477"/>
    </row>
    <row r="34" spans="1:7" ht="12.75">
      <c r="A34" s="155" t="s">
        <v>942</v>
      </c>
      <c r="B34" s="146">
        <v>20000</v>
      </c>
      <c r="C34" s="146">
        <v>3442</v>
      </c>
      <c r="D34" s="146">
        <v>3442</v>
      </c>
      <c r="E34" s="146"/>
      <c r="F34" s="475"/>
      <c r="G34" s="477"/>
    </row>
    <row r="35" spans="1:7" ht="12.75">
      <c r="A35" s="155" t="s">
        <v>966</v>
      </c>
      <c r="B35" s="146">
        <v>4000</v>
      </c>
      <c r="C35" s="146">
        <v>566</v>
      </c>
      <c r="D35" s="146">
        <v>566</v>
      </c>
      <c r="E35" s="146"/>
      <c r="F35" s="475"/>
      <c r="G35" s="477"/>
    </row>
    <row r="36" spans="1:7" ht="12.75">
      <c r="A36" s="155" t="s">
        <v>943</v>
      </c>
      <c r="B36" s="146">
        <v>36</v>
      </c>
      <c r="C36" s="146">
        <v>0</v>
      </c>
      <c r="D36" s="146">
        <v>0</v>
      </c>
      <c r="E36" s="146"/>
      <c r="F36" s="475"/>
      <c r="G36" s="477"/>
    </row>
    <row r="37" spans="1:7" ht="12.75">
      <c r="A37" s="155" t="s">
        <v>944</v>
      </c>
      <c r="B37" s="146">
        <v>20000</v>
      </c>
      <c r="C37" s="146">
        <v>3382</v>
      </c>
      <c r="D37" s="146">
        <v>3382</v>
      </c>
      <c r="E37" s="146"/>
      <c r="F37" s="475"/>
      <c r="G37" s="477"/>
    </row>
    <row r="38" spans="1:7" ht="12.75">
      <c r="A38" s="155" t="s">
        <v>967</v>
      </c>
      <c r="B38" s="146">
        <v>8000</v>
      </c>
      <c r="C38" s="146">
        <v>525</v>
      </c>
      <c r="D38" s="146">
        <v>525</v>
      </c>
      <c r="E38" s="146"/>
      <c r="F38" s="475"/>
      <c r="G38" s="477"/>
    </row>
    <row r="39" spans="1:7" ht="12.75">
      <c r="A39" s="155" t="s">
        <v>946</v>
      </c>
      <c r="B39" s="146">
        <v>1901</v>
      </c>
      <c r="C39" s="146">
        <v>2200</v>
      </c>
      <c r="D39" s="146">
        <v>2200</v>
      </c>
      <c r="E39" s="146"/>
      <c r="F39" s="475"/>
      <c r="G39" s="477"/>
    </row>
    <row r="40" spans="1:7" ht="12.75">
      <c r="A40" s="155" t="s">
        <v>968</v>
      </c>
      <c r="B40" s="146">
        <v>127</v>
      </c>
      <c r="C40" s="146">
        <v>0</v>
      </c>
      <c r="D40" s="146">
        <v>0</v>
      </c>
      <c r="E40" s="146"/>
      <c r="F40" s="475"/>
      <c r="G40" s="477"/>
    </row>
    <row r="41" spans="1:7" ht="12.75">
      <c r="A41" s="155" t="s">
        <v>954</v>
      </c>
      <c r="B41" s="146">
        <v>300</v>
      </c>
      <c r="C41" s="146">
        <v>0</v>
      </c>
      <c r="D41" s="146">
        <v>0</v>
      </c>
      <c r="E41" s="146"/>
      <c r="F41" s="475"/>
      <c r="G41" s="477"/>
    </row>
    <row r="42" spans="1:7" ht="13.5" thickBot="1">
      <c r="A42" s="156" t="s">
        <v>956</v>
      </c>
      <c r="B42" s="157">
        <f>SUM(B33:B41)</f>
        <v>94364</v>
      </c>
      <c r="C42" s="157">
        <f>SUM(C33:C41)</f>
        <v>18277</v>
      </c>
      <c r="D42" s="157">
        <f>SUM(D33:D41)</f>
        <v>18277</v>
      </c>
      <c r="E42" s="157">
        <f>SUM(E33:E41)</f>
        <v>0</v>
      </c>
      <c r="F42" s="476">
        <f>SUM(F33:F41)</f>
        <v>0</v>
      </c>
      <c r="G42" s="862">
        <v>0</v>
      </c>
    </row>
    <row r="45" spans="1:7" ht="12.75" customHeight="1">
      <c r="A45" s="1367" t="s">
        <v>969</v>
      </c>
      <c r="B45" s="1367"/>
      <c r="C45" s="1367"/>
      <c r="D45" s="1367"/>
      <c r="E45" s="1367"/>
      <c r="F45" s="1367"/>
      <c r="G45" s="1367"/>
    </row>
    <row r="46" spans="1:6" ht="12.75">
      <c r="A46" s="1367" t="s">
        <v>939</v>
      </c>
      <c r="B46" s="1367"/>
      <c r="C46" s="1367"/>
      <c r="D46" s="1367"/>
      <c r="E46" s="1367"/>
      <c r="F46" s="1367"/>
    </row>
    <row r="47" spans="1:4" ht="16.5" thickBot="1">
      <c r="A47" s="11"/>
      <c r="B47" s="8"/>
      <c r="C47" s="8"/>
      <c r="D47" s="8"/>
    </row>
    <row r="48" spans="1:7" ht="51">
      <c r="A48" s="7" t="s">
        <v>774</v>
      </c>
      <c r="B48" s="149" t="s">
        <v>540</v>
      </c>
      <c r="C48" s="149" t="s">
        <v>915</v>
      </c>
      <c r="D48" s="149" t="s">
        <v>741</v>
      </c>
      <c r="E48" s="150" t="s">
        <v>940</v>
      </c>
      <c r="F48" s="150" t="s">
        <v>916</v>
      </c>
      <c r="G48" s="837" t="s">
        <v>742</v>
      </c>
    </row>
    <row r="49" spans="1:7" ht="12.75">
      <c r="A49" s="151" t="s">
        <v>970</v>
      </c>
      <c r="B49" s="152"/>
      <c r="C49" s="152"/>
      <c r="D49" s="152"/>
      <c r="E49" s="153"/>
      <c r="F49" s="701"/>
      <c r="G49" s="700"/>
    </row>
    <row r="50" spans="1:7" ht="12.75">
      <c r="A50" s="154" t="s">
        <v>941</v>
      </c>
      <c r="B50" s="145">
        <v>0</v>
      </c>
      <c r="C50" s="145">
        <v>37539</v>
      </c>
      <c r="D50" s="145">
        <v>45424</v>
      </c>
      <c r="E50" s="146"/>
      <c r="F50" s="146"/>
      <c r="G50" s="697"/>
    </row>
    <row r="51" spans="1:7" ht="12.75">
      <c r="A51" s="155" t="s">
        <v>942</v>
      </c>
      <c r="B51" s="146">
        <v>0</v>
      </c>
      <c r="C51" s="146">
        <v>14658</v>
      </c>
      <c r="D51" s="146">
        <v>15692</v>
      </c>
      <c r="E51" s="146"/>
      <c r="F51" s="146"/>
      <c r="G51" s="697"/>
    </row>
    <row r="52" spans="1:7" ht="12.75">
      <c r="A52" s="155" t="s">
        <v>966</v>
      </c>
      <c r="B52" s="146">
        <v>0</v>
      </c>
      <c r="C52" s="146">
        <v>2934</v>
      </c>
      <c r="D52" s="146">
        <v>2934</v>
      </c>
      <c r="E52" s="146"/>
      <c r="F52" s="146"/>
      <c r="G52" s="697"/>
    </row>
    <row r="53" spans="1:7" ht="12.75">
      <c r="A53" s="155" t="s">
        <v>943</v>
      </c>
      <c r="B53" s="146">
        <v>0</v>
      </c>
      <c r="C53" s="146">
        <v>36</v>
      </c>
      <c r="D53" s="146">
        <v>36</v>
      </c>
      <c r="E53" s="146"/>
      <c r="F53" s="146"/>
      <c r="G53" s="697"/>
    </row>
    <row r="54" spans="1:7" ht="12.75">
      <c r="A54" s="155" t="s">
        <v>944</v>
      </c>
      <c r="B54" s="146">
        <v>0</v>
      </c>
      <c r="C54" s="146">
        <v>16618</v>
      </c>
      <c r="D54" s="146">
        <v>17255</v>
      </c>
      <c r="E54" s="146"/>
      <c r="F54" s="146"/>
      <c r="G54" s="697"/>
    </row>
    <row r="55" spans="1:7" ht="12.75">
      <c r="A55" s="155" t="s">
        <v>967</v>
      </c>
      <c r="B55" s="146">
        <v>0</v>
      </c>
      <c r="C55" s="146">
        <v>7475</v>
      </c>
      <c r="D55" s="146">
        <v>5910</v>
      </c>
      <c r="E55" s="146"/>
      <c r="F55" s="146"/>
      <c r="G55" s="697"/>
    </row>
    <row r="56" spans="1:7" ht="12.75">
      <c r="A56" s="155" t="s">
        <v>946</v>
      </c>
      <c r="B56" s="146">
        <v>0</v>
      </c>
      <c r="C56" s="146">
        <v>0</v>
      </c>
      <c r="D56" s="146"/>
      <c r="E56" s="146"/>
      <c r="F56" s="146"/>
      <c r="G56" s="697"/>
    </row>
    <row r="57" spans="1:7" ht="12.75">
      <c r="A57" s="155" t="s">
        <v>968</v>
      </c>
      <c r="B57" s="146">
        <v>0</v>
      </c>
      <c r="C57" s="146">
        <v>127</v>
      </c>
      <c r="D57" s="146">
        <v>127</v>
      </c>
      <c r="E57" s="146"/>
      <c r="F57" s="146"/>
      <c r="G57" s="697"/>
    </row>
    <row r="58" spans="1:7" ht="12.75">
      <c r="A58" s="155" t="s">
        <v>954</v>
      </c>
      <c r="B58" s="146">
        <v>0</v>
      </c>
      <c r="C58" s="146">
        <v>300</v>
      </c>
      <c r="D58" s="146">
        <v>300</v>
      </c>
      <c r="E58" s="146"/>
      <c r="F58" s="146"/>
      <c r="G58" s="697"/>
    </row>
    <row r="59" spans="1:7" ht="12.75">
      <c r="A59" s="155" t="s">
        <v>752</v>
      </c>
      <c r="B59" s="146">
        <v>0</v>
      </c>
      <c r="C59" s="146">
        <v>8294</v>
      </c>
      <c r="D59" s="146">
        <v>8294</v>
      </c>
      <c r="E59" s="146"/>
      <c r="F59" s="146"/>
      <c r="G59" s="697"/>
    </row>
    <row r="60" spans="1:7" s="6" customFormat="1" ht="12.75">
      <c r="A60" s="9" t="s">
        <v>971</v>
      </c>
      <c r="B60" s="147">
        <f>SUM(B50:B59)</f>
        <v>0</v>
      </c>
      <c r="C60" s="147">
        <f>SUM(C50:C59)</f>
        <v>87981</v>
      </c>
      <c r="D60" s="147">
        <f>SUM(D50:D59)</f>
        <v>95972</v>
      </c>
      <c r="E60" s="147">
        <f>SUM(E50:E58)</f>
        <v>0</v>
      </c>
      <c r="F60" s="147">
        <f>SUM(F50:F58)</f>
        <v>0</v>
      </c>
      <c r="G60" s="698">
        <f>SUM(G50:G58)</f>
        <v>0</v>
      </c>
    </row>
    <row r="61" spans="1:7" ht="12.75">
      <c r="A61" s="155"/>
      <c r="B61" s="146"/>
      <c r="C61" s="146"/>
      <c r="D61" s="146"/>
      <c r="E61" s="146"/>
      <c r="F61" s="146"/>
      <c r="G61" s="697"/>
    </row>
    <row r="62" spans="1:7" s="6" customFormat="1" ht="12.75">
      <c r="A62" s="9" t="s">
        <v>972</v>
      </c>
      <c r="B62" s="147"/>
      <c r="C62" s="147"/>
      <c r="D62" s="147"/>
      <c r="E62" s="147"/>
      <c r="F62" s="147"/>
      <c r="G62" s="698"/>
    </row>
    <row r="63" spans="1:7" s="2" customFormat="1" ht="12.75">
      <c r="A63" s="155" t="s">
        <v>941</v>
      </c>
      <c r="B63" s="146">
        <v>0</v>
      </c>
      <c r="C63" s="146">
        <v>2702</v>
      </c>
      <c r="D63" s="146">
        <v>2786</v>
      </c>
      <c r="E63" s="146"/>
      <c r="F63" s="146"/>
      <c r="G63" s="697"/>
    </row>
    <row r="64" spans="1:7" s="2" customFormat="1" ht="12.75">
      <c r="A64" s="155" t="s">
        <v>944</v>
      </c>
      <c r="B64" s="146">
        <v>0</v>
      </c>
      <c r="C64" s="146">
        <v>518</v>
      </c>
      <c r="D64" s="146">
        <v>518</v>
      </c>
      <c r="E64" s="146"/>
      <c r="F64" s="146"/>
      <c r="G64" s="697"/>
    </row>
    <row r="65" spans="1:7" s="2" customFormat="1" ht="12.75">
      <c r="A65" s="155" t="s">
        <v>943</v>
      </c>
      <c r="B65" s="146">
        <v>0</v>
      </c>
      <c r="C65" s="146">
        <v>401</v>
      </c>
      <c r="D65" s="146"/>
      <c r="E65" s="146"/>
      <c r="F65" s="146"/>
      <c r="G65" s="697"/>
    </row>
    <row r="66" spans="1:7" s="2" customFormat="1" ht="12.75">
      <c r="A66" s="155" t="s">
        <v>753</v>
      </c>
      <c r="B66" s="146"/>
      <c r="C66" s="146"/>
      <c r="D66" s="146">
        <v>401</v>
      </c>
      <c r="E66" s="146"/>
      <c r="F66" s="146"/>
      <c r="G66" s="697"/>
    </row>
    <row r="67" spans="1:7" s="6" customFormat="1" ht="12.75">
      <c r="A67" s="9" t="s">
        <v>973</v>
      </c>
      <c r="B67" s="147">
        <f>SUM(B63:B66)</f>
        <v>0</v>
      </c>
      <c r="C67" s="147">
        <f>SUM(C63:C66)</f>
        <v>3621</v>
      </c>
      <c r="D67" s="147">
        <f>SUM(D63:D66)</f>
        <v>3705</v>
      </c>
      <c r="E67" s="147">
        <f>SUM(E65)</f>
        <v>0</v>
      </c>
      <c r="F67" s="147">
        <f>SUM(F65)</f>
        <v>0</v>
      </c>
      <c r="G67" s="698">
        <f>SUM(G65)</f>
        <v>0</v>
      </c>
    </row>
    <row r="68" spans="1:7" ht="12.75">
      <c r="A68" s="155"/>
      <c r="B68" s="146"/>
      <c r="C68" s="146"/>
      <c r="D68" s="146"/>
      <c r="E68" s="146"/>
      <c r="F68" s="146"/>
      <c r="G68" s="697"/>
    </row>
    <row r="69" spans="1:7" s="6" customFormat="1" ht="12.75">
      <c r="A69" s="9" t="s">
        <v>974</v>
      </c>
      <c r="B69" s="147"/>
      <c r="C69" s="147"/>
      <c r="D69" s="147"/>
      <c r="E69" s="147"/>
      <c r="F69" s="147"/>
      <c r="G69" s="698"/>
    </row>
    <row r="70" spans="1:7" s="2" customFormat="1" ht="12.75">
      <c r="A70" s="155" t="s">
        <v>941</v>
      </c>
      <c r="B70" s="146">
        <v>0</v>
      </c>
      <c r="C70" s="146">
        <v>1926</v>
      </c>
      <c r="D70" s="146">
        <v>3446</v>
      </c>
      <c r="E70" s="146"/>
      <c r="F70" s="146"/>
      <c r="G70" s="697"/>
    </row>
    <row r="71" spans="1:7" s="2" customFormat="1" ht="12.75">
      <c r="A71" s="155" t="s">
        <v>944</v>
      </c>
      <c r="B71" s="146">
        <v>0</v>
      </c>
      <c r="C71" s="146">
        <v>700</v>
      </c>
      <c r="D71" s="146">
        <v>820</v>
      </c>
      <c r="E71" s="146"/>
      <c r="F71" s="146"/>
      <c r="G71" s="697"/>
    </row>
    <row r="72" spans="1:7" s="2" customFormat="1" ht="12.75">
      <c r="A72" s="155" t="s">
        <v>975</v>
      </c>
      <c r="B72" s="146">
        <v>0</v>
      </c>
      <c r="C72" s="146">
        <v>0</v>
      </c>
      <c r="D72" s="146"/>
      <c r="E72" s="146"/>
      <c r="F72" s="146"/>
      <c r="G72" s="697"/>
    </row>
    <row r="73" spans="1:7" s="2" customFormat="1" ht="12.75">
      <c r="A73" s="155" t="s">
        <v>753</v>
      </c>
      <c r="B73" s="146">
        <v>0</v>
      </c>
      <c r="C73" s="146">
        <v>300</v>
      </c>
      <c r="D73" s="146">
        <v>380</v>
      </c>
      <c r="E73" s="146"/>
      <c r="F73" s="146"/>
      <c r="G73" s="697"/>
    </row>
    <row r="74" spans="1:7" s="6" customFormat="1" ht="12.75">
      <c r="A74" s="9" t="s">
        <v>976</v>
      </c>
      <c r="B74" s="147">
        <f>SUM(B70:B73)</f>
        <v>0</v>
      </c>
      <c r="C74" s="147">
        <f>SUM(C70:C73)</f>
        <v>2926</v>
      </c>
      <c r="D74" s="147">
        <f>SUM(D70:D73)</f>
        <v>4646</v>
      </c>
      <c r="E74" s="147">
        <f>SUM(E72)</f>
        <v>0</v>
      </c>
      <c r="F74" s="147">
        <f>SUM(F72)</f>
        <v>0</v>
      </c>
      <c r="G74" s="698">
        <f>SUM(G72)</f>
        <v>0</v>
      </c>
    </row>
    <row r="75" spans="1:7" ht="12.75">
      <c r="A75" s="155"/>
      <c r="B75" s="146"/>
      <c r="C75" s="146"/>
      <c r="D75" s="146"/>
      <c r="E75" s="146"/>
      <c r="F75" s="146"/>
      <c r="G75" s="697"/>
    </row>
    <row r="76" spans="1:7" s="6" customFormat="1" ht="12.75">
      <c r="A76" s="9" t="s">
        <v>977</v>
      </c>
      <c r="B76" s="147"/>
      <c r="C76" s="147"/>
      <c r="D76" s="147"/>
      <c r="E76" s="147"/>
      <c r="F76" s="147"/>
      <c r="G76" s="698"/>
    </row>
    <row r="77" spans="1:7" s="2" customFormat="1" ht="12.75">
      <c r="A77" s="155" t="s">
        <v>941</v>
      </c>
      <c r="B77" s="146">
        <v>0</v>
      </c>
      <c r="C77" s="146">
        <v>0</v>
      </c>
      <c r="D77" s="146"/>
      <c r="E77" s="146"/>
      <c r="F77" s="146"/>
      <c r="G77" s="697"/>
    </row>
    <row r="78" spans="1:7" s="2" customFormat="1" ht="12.75">
      <c r="A78" s="155" t="s">
        <v>944</v>
      </c>
      <c r="B78" s="146">
        <v>0</v>
      </c>
      <c r="C78" s="146">
        <v>0</v>
      </c>
      <c r="D78" s="146"/>
      <c r="E78" s="146"/>
      <c r="F78" s="146"/>
      <c r="G78" s="697"/>
    </row>
    <row r="79" spans="1:7" s="2" customFormat="1" ht="12.75">
      <c r="A79" s="155" t="s">
        <v>753</v>
      </c>
      <c r="B79" s="146">
        <v>0</v>
      </c>
      <c r="C79" s="146">
        <v>73</v>
      </c>
      <c r="D79" s="146">
        <v>73</v>
      </c>
      <c r="E79" s="146"/>
      <c r="F79" s="146"/>
      <c r="G79" s="697"/>
    </row>
    <row r="80" spans="1:7" s="6" customFormat="1" ht="12.75">
      <c r="A80" s="9" t="s">
        <v>978</v>
      </c>
      <c r="B80" s="147">
        <f>SUM(B77:B79)</f>
        <v>0</v>
      </c>
      <c r="C80" s="147">
        <f>SUM(C77:C79)</f>
        <v>73</v>
      </c>
      <c r="D80" s="147">
        <f>SUM(D77:D79)</f>
        <v>73</v>
      </c>
      <c r="E80" s="147">
        <f>SUM(E78)</f>
        <v>0</v>
      </c>
      <c r="F80" s="147">
        <f>SUM(F78)</f>
        <v>0</v>
      </c>
      <c r="G80" s="698">
        <f>SUM(G78)</f>
        <v>0</v>
      </c>
    </row>
    <row r="81" spans="1:7" ht="12.75">
      <c r="A81" s="155"/>
      <c r="B81" s="146"/>
      <c r="C81" s="146"/>
      <c r="D81" s="146"/>
      <c r="E81" s="146"/>
      <c r="F81" s="146"/>
      <c r="G81" s="697"/>
    </row>
    <row r="82" spans="1:7" ht="13.5" thickBot="1">
      <c r="A82" s="156" t="s">
        <v>956</v>
      </c>
      <c r="B82" s="157">
        <f aca="true" t="shared" si="3" ref="B82:G82">SUM(B60,B67,B74,B80)</f>
        <v>0</v>
      </c>
      <c r="C82" s="157">
        <f>SUM(C60,C67,C74,C80)</f>
        <v>94601</v>
      </c>
      <c r="D82" s="157">
        <f t="shared" si="3"/>
        <v>104396</v>
      </c>
      <c r="E82" s="157">
        <f t="shared" si="3"/>
        <v>0</v>
      </c>
      <c r="F82" s="157">
        <f>SUM(F60,F67,F74,F80)</f>
        <v>0</v>
      </c>
      <c r="G82" s="699">
        <f t="shared" si="3"/>
        <v>0</v>
      </c>
    </row>
    <row r="84" ht="12.75">
      <c r="A84" s="1411" t="s">
        <v>256</v>
      </c>
    </row>
    <row r="85" ht="12.75">
      <c r="A85" s="8" t="s">
        <v>257</v>
      </c>
    </row>
    <row r="86" ht="12.75">
      <c r="A86" s="8" t="s">
        <v>258</v>
      </c>
    </row>
    <row r="87" ht="12.75">
      <c r="A87" s="8" t="s">
        <v>259</v>
      </c>
    </row>
    <row r="88" ht="12.75">
      <c r="A88" s="8" t="s">
        <v>260</v>
      </c>
    </row>
  </sheetData>
  <mergeCells count="6">
    <mergeCell ref="A1:G1"/>
    <mergeCell ref="A46:F46"/>
    <mergeCell ref="A2:F2"/>
    <mergeCell ref="A30:F30"/>
    <mergeCell ref="A45:G45"/>
    <mergeCell ref="A29:G29"/>
  </mergeCells>
  <printOptions horizontalCentered="1"/>
  <pageMargins left="0.7874015748031497" right="0.7874015748031497" top="0.63" bottom="0.31496062992125984" header="0.33" footer="0.1968503937007874"/>
  <pageSetup horizontalDpi="600" verticalDpi="600" orientation="portrait" paperSize="9" scale="61" r:id="rId1"/>
  <headerFooter alignWithMargins="0">
    <oddHeader>&amp;L10. melléklet a 2/2014.(II.27.) önkormányzati rendelethez
"10. melléklet az 1/2013.(II.01.) önkormányzati rendelethez"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133"/>
  <sheetViews>
    <sheetView view="pageBreakPreview" zoomScaleSheetLayoutView="100" workbookViewId="0" topLeftCell="A101">
      <selection activeCell="A128" sqref="A128"/>
    </sheetView>
  </sheetViews>
  <sheetFormatPr defaultColWidth="9.00390625" defaultRowHeight="12.75"/>
  <cols>
    <col min="1" max="1" width="95.75390625" style="122" customWidth="1"/>
    <col min="2" max="2" width="10.125" style="123" customWidth="1"/>
    <col min="3" max="3" width="11.375" style="123" customWidth="1"/>
    <col min="4" max="4" width="11.75390625" style="488" customWidth="1"/>
    <col min="5" max="16384" width="9.125" style="122" customWidth="1"/>
  </cols>
  <sheetData>
    <row r="2" spans="1:4" ht="12.75">
      <c r="A2" s="1368" t="s">
        <v>979</v>
      </c>
      <c r="B2" s="1368"/>
      <c r="C2" s="1368"/>
      <c r="D2" s="1368"/>
    </row>
    <row r="3" spans="1:3" ht="12" customHeight="1" thickBot="1">
      <c r="A3" s="158"/>
      <c r="B3" s="159"/>
      <c r="C3" s="159"/>
    </row>
    <row r="4" spans="1:4" ht="12.75" customHeight="1">
      <c r="A4" s="160" t="s">
        <v>980</v>
      </c>
      <c r="B4" s="161" t="s">
        <v>540</v>
      </c>
      <c r="C4" s="702" t="s">
        <v>915</v>
      </c>
      <c r="D4" s="1043" t="s">
        <v>741</v>
      </c>
    </row>
    <row r="5" spans="1:4" ht="12.75">
      <c r="A5" s="127" t="s">
        <v>981</v>
      </c>
      <c r="B5" s="128">
        <v>133382</v>
      </c>
      <c r="C5" s="703">
        <v>133382</v>
      </c>
      <c r="D5" s="1044">
        <v>133382</v>
      </c>
    </row>
    <row r="6" spans="1:4" ht="12.75">
      <c r="A6" s="127" t="s">
        <v>982</v>
      </c>
      <c r="B6" s="128">
        <v>66104</v>
      </c>
      <c r="C6" s="703">
        <v>79004</v>
      </c>
      <c r="D6" s="1044">
        <v>79004</v>
      </c>
    </row>
    <row r="7" spans="1:4" ht="12.75">
      <c r="A7" s="127" t="s">
        <v>962</v>
      </c>
      <c r="B7" s="128">
        <v>5000</v>
      </c>
      <c r="C7" s="703">
        <v>4250</v>
      </c>
      <c r="D7" s="1044">
        <v>4250</v>
      </c>
    </row>
    <row r="8" spans="1:4" ht="12.75">
      <c r="A8" s="127" t="s">
        <v>963</v>
      </c>
      <c r="B8" s="128">
        <v>3000</v>
      </c>
      <c r="C8" s="703">
        <v>2400</v>
      </c>
      <c r="D8" s="1044">
        <v>2400</v>
      </c>
    </row>
    <row r="9" spans="1:4" ht="12.75" customHeight="1">
      <c r="A9" s="132" t="s">
        <v>1056</v>
      </c>
      <c r="B9" s="128">
        <v>3500</v>
      </c>
      <c r="C9" s="703">
        <v>3309</v>
      </c>
      <c r="D9" s="1044">
        <v>3185</v>
      </c>
    </row>
    <row r="10" spans="1:4" ht="12.75">
      <c r="A10" s="127" t="s">
        <v>984</v>
      </c>
      <c r="B10" s="128">
        <v>7000</v>
      </c>
      <c r="C10" s="703">
        <v>7000</v>
      </c>
      <c r="D10" s="1044">
        <v>7000</v>
      </c>
    </row>
    <row r="11" spans="1:4" ht="12.75">
      <c r="A11" s="127" t="s">
        <v>985</v>
      </c>
      <c r="B11" s="128">
        <v>12000</v>
      </c>
      <c r="C11" s="703">
        <v>13104</v>
      </c>
      <c r="D11" s="1044">
        <v>13104</v>
      </c>
    </row>
    <row r="12" spans="1:4" ht="12.75">
      <c r="A12" s="127" t="s">
        <v>986</v>
      </c>
      <c r="B12" s="128">
        <f>61000</f>
        <v>61000</v>
      </c>
      <c r="C12" s="703">
        <v>61000</v>
      </c>
      <c r="D12" s="1044">
        <v>61000</v>
      </c>
    </row>
    <row r="13" spans="1:4" ht="12.75">
      <c r="A13" s="127" t="s">
        <v>987</v>
      </c>
      <c r="B13" s="128">
        <v>700</v>
      </c>
      <c r="C13" s="703">
        <v>700</v>
      </c>
      <c r="D13" s="1044">
        <v>300</v>
      </c>
    </row>
    <row r="14" spans="1:4" ht="12.75">
      <c r="A14" s="127" t="s">
        <v>988</v>
      </c>
      <c r="B14" s="128">
        <v>4000</v>
      </c>
      <c r="C14" s="703">
        <v>4000</v>
      </c>
      <c r="D14" s="1044">
        <v>4000</v>
      </c>
    </row>
    <row r="15" spans="1:4" ht="12.75">
      <c r="A15" s="127" t="s">
        <v>989</v>
      </c>
      <c r="B15" s="128">
        <v>38400</v>
      </c>
      <c r="C15" s="703">
        <v>38400</v>
      </c>
      <c r="D15" s="1064">
        <v>38400</v>
      </c>
    </row>
    <row r="16" spans="1:4" ht="12.75">
      <c r="A16" s="127" t="s">
        <v>990</v>
      </c>
      <c r="B16" s="128">
        <v>2000</v>
      </c>
      <c r="C16" s="703">
        <v>3000</v>
      </c>
      <c r="D16" s="1064">
        <v>3000</v>
      </c>
    </row>
    <row r="17" spans="1:4" ht="12.75">
      <c r="A17" s="127" t="s">
        <v>991</v>
      </c>
      <c r="B17" s="128">
        <v>1000</v>
      </c>
      <c r="C17" s="703">
        <v>1000</v>
      </c>
      <c r="D17" s="1064">
        <v>1000</v>
      </c>
    </row>
    <row r="18" spans="1:4" ht="12.75">
      <c r="A18" s="127" t="s">
        <v>992</v>
      </c>
      <c r="B18" s="128">
        <v>1500</v>
      </c>
      <c r="C18" s="703">
        <v>1500</v>
      </c>
      <c r="D18" s="1064">
        <v>1500</v>
      </c>
    </row>
    <row r="19" spans="1:4" ht="12.75">
      <c r="A19" s="127" t="s">
        <v>993</v>
      </c>
      <c r="B19" s="128">
        <v>500</v>
      </c>
      <c r="C19" s="703">
        <v>500</v>
      </c>
      <c r="D19" s="1064">
        <v>500</v>
      </c>
    </row>
    <row r="20" spans="1:4" ht="12.75">
      <c r="A20" s="127" t="s">
        <v>994</v>
      </c>
      <c r="B20" s="128">
        <v>1000</v>
      </c>
      <c r="C20" s="703">
        <v>1000</v>
      </c>
      <c r="D20" s="1064">
        <v>1000</v>
      </c>
    </row>
    <row r="21" spans="1:4" ht="12.75">
      <c r="A21" s="127" t="s">
        <v>995</v>
      </c>
      <c r="B21" s="128">
        <v>80</v>
      </c>
      <c r="C21" s="703">
        <v>80</v>
      </c>
      <c r="D21" s="1064">
        <v>80</v>
      </c>
    </row>
    <row r="22" spans="1:4" ht="12.75">
      <c r="A22" s="127" t="s">
        <v>996</v>
      </c>
      <c r="B22" s="128">
        <v>12000</v>
      </c>
      <c r="C22" s="703">
        <v>12000</v>
      </c>
      <c r="D22" s="1064">
        <v>12000</v>
      </c>
    </row>
    <row r="23" spans="1:4" ht="12.75">
      <c r="A23" s="127" t="s">
        <v>103</v>
      </c>
      <c r="B23" s="128"/>
      <c r="C23" s="703">
        <v>5890</v>
      </c>
      <c r="D23" s="1044">
        <v>5889</v>
      </c>
    </row>
    <row r="24" spans="1:4" ht="12.75">
      <c r="A24" s="127" t="s">
        <v>507</v>
      </c>
      <c r="B24" s="128"/>
      <c r="C24" s="703">
        <v>159</v>
      </c>
      <c r="D24" s="1064">
        <v>159</v>
      </c>
    </row>
    <row r="25" spans="1:4" ht="12.75">
      <c r="A25" s="127" t="s">
        <v>997</v>
      </c>
      <c r="B25" s="128">
        <v>3000</v>
      </c>
      <c r="C25" s="703">
        <v>3500</v>
      </c>
      <c r="D25" s="1064">
        <v>3500</v>
      </c>
    </row>
    <row r="26" spans="1:4" ht="12.75">
      <c r="A26" s="127" t="s">
        <v>998</v>
      </c>
      <c r="B26" s="128">
        <v>2400</v>
      </c>
      <c r="C26" s="703">
        <v>2400</v>
      </c>
      <c r="D26" s="1064">
        <v>2400</v>
      </c>
    </row>
    <row r="27" spans="1:4" ht="12.75">
      <c r="A27" s="127" t="s">
        <v>999</v>
      </c>
      <c r="B27" s="128">
        <v>15000</v>
      </c>
      <c r="C27" s="703">
        <v>15000</v>
      </c>
      <c r="D27" s="1064">
        <v>15000</v>
      </c>
    </row>
    <row r="28" spans="1:4" ht="12.75">
      <c r="A28" s="127" t="s">
        <v>1000</v>
      </c>
      <c r="B28" s="128">
        <v>8824</v>
      </c>
      <c r="C28" s="703">
        <v>7576</v>
      </c>
      <c r="D28" s="1064">
        <v>7576</v>
      </c>
    </row>
    <row r="29" spans="1:4" ht="12.75">
      <c r="A29" s="127" t="s">
        <v>1001</v>
      </c>
      <c r="B29" s="128">
        <v>7552</v>
      </c>
      <c r="C29" s="703">
        <v>7552</v>
      </c>
      <c r="D29" s="1064">
        <v>7552</v>
      </c>
    </row>
    <row r="30" spans="1:4" ht="12.75">
      <c r="A30" s="127" t="s">
        <v>1002</v>
      </c>
      <c r="B30" s="128">
        <v>5530</v>
      </c>
      <c r="C30" s="703">
        <v>5530</v>
      </c>
      <c r="D30" s="1064">
        <v>5530</v>
      </c>
    </row>
    <row r="31" spans="1:4" ht="12.75">
      <c r="A31" s="127" t="s">
        <v>1003</v>
      </c>
      <c r="B31" s="128">
        <v>2100</v>
      </c>
      <c r="C31" s="703">
        <v>2100</v>
      </c>
      <c r="D31" s="1064">
        <v>2577</v>
      </c>
    </row>
    <row r="32" spans="1:4" ht="12.75">
      <c r="A32" s="127" t="s">
        <v>1004</v>
      </c>
      <c r="B32" s="128">
        <v>4000</v>
      </c>
      <c r="C32" s="703">
        <v>4000</v>
      </c>
      <c r="D32" s="1064">
        <v>4000</v>
      </c>
    </row>
    <row r="33" spans="1:4" ht="25.5">
      <c r="A33" s="132" t="s">
        <v>104</v>
      </c>
      <c r="B33" s="128"/>
      <c r="C33" s="703">
        <v>1500</v>
      </c>
      <c r="D33" s="1064">
        <v>1500</v>
      </c>
    </row>
    <row r="34" spans="1:4" ht="12.75">
      <c r="A34" s="127" t="s">
        <v>105</v>
      </c>
      <c r="B34" s="128"/>
      <c r="C34" s="703">
        <v>1500</v>
      </c>
      <c r="D34" s="1064">
        <v>1500</v>
      </c>
    </row>
    <row r="35" spans="1:4" ht="12.75">
      <c r="A35" s="127" t="s">
        <v>1005</v>
      </c>
      <c r="B35" s="128">
        <v>1000</v>
      </c>
      <c r="C35" s="703">
        <v>1000</v>
      </c>
      <c r="D35" s="1064">
        <v>1000</v>
      </c>
    </row>
    <row r="36" spans="1:4" ht="12.75">
      <c r="A36" s="127" t="s">
        <v>1006</v>
      </c>
      <c r="B36" s="128">
        <v>320</v>
      </c>
      <c r="C36" s="703">
        <v>320</v>
      </c>
      <c r="D36" s="1064">
        <v>320</v>
      </c>
    </row>
    <row r="37" spans="1:4" ht="12.75">
      <c r="A37" s="127" t="s">
        <v>1007</v>
      </c>
      <c r="B37" s="128">
        <v>1000</v>
      </c>
      <c r="C37" s="703">
        <v>1000</v>
      </c>
      <c r="D37" s="1064">
        <v>1000</v>
      </c>
    </row>
    <row r="38" spans="1:4" ht="12.75">
      <c r="A38" s="127" t="s">
        <v>1008</v>
      </c>
      <c r="B38" s="128">
        <v>300</v>
      </c>
      <c r="C38" s="703">
        <v>300</v>
      </c>
      <c r="D38" s="1064">
        <v>300</v>
      </c>
    </row>
    <row r="39" spans="1:4" ht="12.75">
      <c r="A39" s="127" t="s">
        <v>1009</v>
      </c>
      <c r="B39" s="128">
        <v>200</v>
      </c>
      <c r="C39" s="703">
        <v>200</v>
      </c>
      <c r="D39" s="1064">
        <v>200</v>
      </c>
    </row>
    <row r="40" spans="1:4" ht="12.75">
      <c r="A40" s="127" t="s">
        <v>1010</v>
      </c>
      <c r="B40" s="128">
        <v>500</v>
      </c>
      <c r="C40" s="703">
        <v>500</v>
      </c>
      <c r="D40" s="1064">
        <v>500</v>
      </c>
    </row>
    <row r="41" spans="1:4" ht="12.75">
      <c r="A41" s="127" t="s">
        <v>1011</v>
      </c>
      <c r="B41" s="128">
        <v>500</v>
      </c>
      <c r="C41" s="703">
        <v>500</v>
      </c>
      <c r="D41" s="1064">
        <v>500</v>
      </c>
    </row>
    <row r="42" spans="1:4" ht="12.75">
      <c r="A42" s="127" t="s">
        <v>1012</v>
      </c>
      <c r="B42" s="128">
        <v>500</v>
      </c>
      <c r="C42" s="703">
        <v>500</v>
      </c>
      <c r="D42" s="1064">
        <v>500</v>
      </c>
    </row>
    <row r="43" spans="1:4" ht="12.75">
      <c r="A43" s="127" t="s">
        <v>1013</v>
      </c>
      <c r="B43" s="128">
        <v>2000</v>
      </c>
      <c r="C43" s="703">
        <v>2000</v>
      </c>
      <c r="D43" s="1064">
        <v>2000</v>
      </c>
    </row>
    <row r="44" spans="1:4" ht="12.75">
      <c r="A44" s="127" t="s">
        <v>411</v>
      </c>
      <c r="B44" s="128"/>
      <c r="C44" s="703">
        <v>4746</v>
      </c>
      <c r="D44" s="1064">
        <v>4746</v>
      </c>
    </row>
    <row r="45" spans="1:4" ht="12.75">
      <c r="A45" s="127" t="s">
        <v>100</v>
      </c>
      <c r="B45" s="128"/>
      <c r="C45" s="703">
        <v>32000</v>
      </c>
      <c r="D45" s="1064">
        <v>32000</v>
      </c>
    </row>
    <row r="46" spans="1:4" ht="12.75">
      <c r="A46" s="127" t="s">
        <v>413</v>
      </c>
      <c r="B46" s="128"/>
      <c r="C46" s="703">
        <v>840</v>
      </c>
      <c r="D46" s="1064">
        <v>840</v>
      </c>
    </row>
    <row r="47" spans="1:4" ht="12.75">
      <c r="A47" s="171" t="s">
        <v>101</v>
      </c>
      <c r="B47" s="172"/>
      <c r="C47" s="703">
        <v>1237</v>
      </c>
      <c r="D47" s="1064">
        <v>1237</v>
      </c>
    </row>
    <row r="48" spans="1:4" ht="12.75">
      <c r="A48" s="171" t="s">
        <v>102</v>
      </c>
      <c r="B48" s="172"/>
      <c r="C48" s="703">
        <v>1500</v>
      </c>
      <c r="D48" s="1064">
        <v>1500</v>
      </c>
    </row>
    <row r="49" spans="1:4" ht="12.75">
      <c r="A49" s="171" t="s">
        <v>107</v>
      </c>
      <c r="B49" s="172"/>
      <c r="C49" s="703">
        <v>500</v>
      </c>
      <c r="D49" s="1064">
        <v>500</v>
      </c>
    </row>
    <row r="50" spans="1:4" ht="12.75">
      <c r="A50" s="171" t="s">
        <v>497</v>
      </c>
      <c r="B50" s="172"/>
      <c r="C50" s="703">
        <v>350</v>
      </c>
      <c r="D50" s="1064">
        <v>350</v>
      </c>
    </row>
    <row r="51" spans="1:4" ht="12.75">
      <c r="A51" s="171" t="s">
        <v>498</v>
      </c>
      <c r="B51" s="172"/>
      <c r="C51" s="703">
        <v>100</v>
      </c>
      <c r="D51" s="1064">
        <v>100</v>
      </c>
    </row>
    <row r="52" spans="1:4" ht="12.75">
      <c r="A52" s="171" t="s">
        <v>499</v>
      </c>
      <c r="B52" s="172"/>
      <c r="C52" s="703">
        <v>100</v>
      </c>
      <c r="D52" s="1064">
        <v>100</v>
      </c>
    </row>
    <row r="53" spans="1:4" ht="12.75">
      <c r="A53" s="171" t="s">
        <v>500</v>
      </c>
      <c r="B53" s="172"/>
      <c r="C53" s="703">
        <v>140</v>
      </c>
      <c r="D53" s="1064">
        <v>140</v>
      </c>
    </row>
    <row r="54" spans="1:4" ht="12.75">
      <c r="A54" s="171" t="s">
        <v>501</v>
      </c>
      <c r="B54" s="172"/>
      <c r="C54" s="703">
        <v>110</v>
      </c>
      <c r="D54" s="1064">
        <v>110</v>
      </c>
    </row>
    <row r="55" spans="1:4" ht="12.75">
      <c r="A55" s="171" t="s">
        <v>502</v>
      </c>
      <c r="B55" s="172"/>
      <c r="C55" s="703">
        <v>193</v>
      </c>
      <c r="D55" s="1064">
        <v>193</v>
      </c>
    </row>
    <row r="56" spans="1:4" ht="12.75">
      <c r="A56" s="171" t="s">
        <v>1052</v>
      </c>
      <c r="B56" s="172"/>
      <c r="C56" s="703"/>
      <c r="D56" s="1044">
        <v>400</v>
      </c>
    </row>
    <row r="57" spans="1:4" ht="12.75">
      <c r="A57" s="171" t="s">
        <v>1053</v>
      </c>
      <c r="B57" s="172"/>
      <c r="C57" s="703"/>
      <c r="D57" s="1044">
        <v>204</v>
      </c>
    </row>
    <row r="58" spans="1:4" ht="12.75">
      <c r="A58" s="127" t="s">
        <v>414</v>
      </c>
      <c r="B58" s="128"/>
      <c r="C58" s="703"/>
      <c r="D58" s="1044"/>
    </row>
    <row r="59" spans="1:4" ht="12.75">
      <c r="A59" s="487" t="s">
        <v>415</v>
      </c>
      <c r="B59" s="128"/>
      <c r="C59" s="703">
        <v>50</v>
      </c>
      <c r="D59" s="1064">
        <v>50</v>
      </c>
    </row>
    <row r="60" spans="1:4" ht="12.75">
      <c r="A60" s="487" t="s">
        <v>416</v>
      </c>
      <c r="B60" s="128"/>
      <c r="C60" s="703">
        <v>500</v>
      </c>
      <c r="D60" s="1064">
        <v>500</v>
      </c>
    </row>
    <row r="61" spans="1:4" ht="12.75">
      <c r="A61" s="800" t="s">
        <v>112</v>
      </c>
      <c r="B61" s="128"/>
      <c r="C61" s="703">
        <v>100</v>
      </c>
      <c r="D61" s="1064">
        <v>100</v>
      </c>
    </row>
    <row r="62" spans="1:4" ht="12.75">
      <c r="A62" s="746" t="s">
        <v>111</v>
      </c>
      <c r="B62" s="128"/>
      <c r="C62" s="703">
        <v>50</v>
      </c>
      <c r="D62" s="1064">
        <v>50</v>
      </c>
    </row>
    <row r="63" spans="1:4" ht="13.5" customHeight="1">
      <c r="A63" s="747" t="s">
        <v>113</v>
      </c>
      <c r="B63" s="128"/>
      <c r="C63" s="703">
        <v>100</v>
      </c>
      <c r="D63" s="1064">
        <v>100</v>
      </c>
    </row>
    <row r="64" spans="1:4" ht="12" customHeight="1">
      <c r="A64" s="747" t="s">
        <v>114</v>
      </c>
      <c r="B64" s="128"/>
      <c r="C64" s="703">
        <v>250</v>
      </c>
      <c r="D64" s="1064">
        <v>250</v>
      </c>
    </row>
    <row r="65" spans="1:4" ht="12.75">
      <c r="A65" s="746" t="s">
        <v>116</v>
      </c>
      <c r="B65" s="128"/>
      <c r="C65" s="703">
        <v>100</v>
      </c>
      <c r="D65" s="1064">
        <v>100</v>
      </c>
    </row>
    <row r="66" spans="1:4" ht="12.75">
      <c r="A66" s="746" t="s">
        <v>117</v>
      </c>
      <c r="B66" s="128"/>
      <c r="C66" s="703">
        <v>1000</v>
      </c>
      <c r="D66" s="1064">
        <v>1000</v>
      </c>
    </row>
    <row r="67" spans="1:4" ht="12.75">
      <c r="A67" s="746" t="s">
        <v>118</v>
      </c>
      <c r="B67" s="128"/>
      <c r="C67" s="703">
        <v>250</v>
      </c>
      <c r="D67" s="1064">
        <v>250</v>
      </c>
    </row>
    <row r="68" spans="1:4" ht="12.75">
      <c r="A68" s="746" t="s">
        <v>109</v>
      </c>
      <c r="B68" s="128"/>
      <c r="C68" s="703">
        <v>100</v>
      </c>
      <c r="D68" s="1064">
        <v>100</v>
      </c>
    </row>
    <row r="69" spans="1:4" ht="12.75">
      <c r="A69" s="746" t="s">
        <v>110</v>
      </c>
      <c r="B69" s="128"/>
      <c r="C69" s="703">
        <v>50</v>
      </c>
      <c r="D69" s="1064">
        <v>50</v>
      </c>
    </row>
    <row r="70" spans="1:4" ht="12.75">
      <c r="A70" s="746" t="s">
        <v>503</v>
      </c>
      <c r="B70" s="128"/>
      <c r="C70" s="703">
        <v>100</v>
      </c>
      <c r="D70" s="1064">
        <v>100</v>
      </c>
    </row>
    <row r="71" spans="1:4" ht="12.75">
      <c r="A71" s="746" t="s">
        <v>504</v>
      </c>
      <c r="B71" s="128"/>
      <c r="C71" s="703">
        <v>250</v>
      </c>
      <c r="D71" s="1064">
        <v>250</v>
      </c>
    </row>
    <row r="72" spans="1:4" ht="12.75">
      <c r="A72" s="746" t="s">
        <v>505</v>
      </c>
      <c r="B72" s="128"/>
      <c r="C72" s="703">
        <v>150</v>
      </c>
      <c r="D72" s="1064">
        <v>150</v>
      </c>
    </row>
    <row r="73" spans="1:4" ht="12.75">
      <c r="A73" s="746" t="s">
        <v>506</v>
      </c>
      <c r="B73" s="128"/>
      <c r="C73" s="703">
        <v>250</v>
      </c>
      <c r="D73" s="1064">
        <v>250</v>
      </c>
    </row>
    <row r="74" spans="1:4" ht="12.75">
      <c r="A74" s="1062" t="s">
        <v>1054</v>
      </c>
      <c r="B74" s="172"/>
      <c r="C74" s="704"/>
      <c r="D74" s="1045">
        <v>531</v>
      </c>
    </row>
    <row r="75" spans="1:4" ht="12.75">
      <c r="A75" s="171" t="s">
        <v>108</v>
      </c>
      <c r="B75" s="172"/>
      <c r="C75" s="704">
        <v>165799</v>
      </c>
      <c r="D75" s="1045">
        <v>166689</v>
      </c>
    </row>
    <row r="76" spans="1:4" s="164" customFormat="1" ht="13.5">
      <c r="A76" s="162" t="s">
        <v>1014</v>
      </c>
      <c r="B76" s="163">
        <f>SUM(B5:B75)</f>
        <v>406892</v>
      </c>
      <c r="C76" s="163">
        <f>SUM(C5:C75)</f>
        <v>639571</v>
      </c>
      <c r="D76" s="1046">
        <f>SUM(D5:D75)</f>
        <v>641548</v>
      </c>
    </row>
    <row r="77" spans="1:4" ht="12.75">
      <c r="A77" s="127"/>
      <c r="B77" s="128"/>
      <c r="C77" s="703"/>
      <c r="D77" s="1044"/>
    </row>
    <row r="78" spans="1:4" ht="12.75" customHeight="1">
      <c r="A78" s="165" t="s">
        <v>1015</v>
      </c>
      <c r="B78" s="166"/>
      <c r="C78" s="703"/>
      <c r="D78" s="1044"/>
    </row>
    <row r="79" spans="1:4" ht="12.75">
      <c r="A79" s="127" t="s">
        <v>1016</v>
      </c>
      <c r="B79" s="128">
        <v>6000</v>
      </c>
      <c r="C79" s="703">
        <v>2300</v>
      </c>
      <c r="D79" s="1064">
        <v>2300</v>
      </c>
    </row>
    <row r="80" spans="1:4" ht="12.75">
      <c r="A80" s="127" t="s">
        <v>1017</v>
      </c>
      <c r="B80" s="128">
        <v>34053</v>
      </c>
      <c r="C80" s="703">
        <v>34053</v>
      </c>
      <c r="D80" s="1064">
        <v>34053</v>
      </c>
    </row>
    <row r="81" spans="1:4" ht="12.75">
      <c r="A81" s="127" t="s">
        <v>1018</v>
      </c>
      <c r="B81" s="128">
        <v>739</v>
      </c>
      <c r="C81" s="703">
        <v>739</v>
      </c>
      <c r="D81" s="1064">
        <v>739</v>
      </c>
    </row>
    <row r="82" spans="1:4" ht="12.75">
      <c r="A82" s="127" t="s">
        <v>1019</v>
      </c>
      <c r="B82" s="128">
        <v>2314</v>
      </c>
      <c r="C82" s="703">
        <v>2314</v>
      </c>
      <c r="D82" s="1064">
        <v>2314</v>
      </c>
    </row>
    <row r="83" spans="1:4" ht="12.75">
      <c r="A83" s="127" t="s">
        <v>1020</v>
      </c>
      <c r="B83" s="128">
        <v>3500</v>
      </c>
      <c r="C83" s="703">
        <v>3500</v>
      </c>
      <c r="D83" s="1064">
        <v>3500</v>
      </c>
    </row>
    <row r="84" spans="1:4" ht="12.75">
      <c r="A84" s="127" t="s">
        <v>1021</v>
      </c>
      <c r="B84" s="128">
        <v>12000</v>
      </c>
      <c r="C84" s="703">
        <v>12000</v>
      </c>
      <c r="D84" s="1064">
        <v>12000</v>
      </c>
    </row>
    <row r="85" spans="1:4" ht="12.75">
      <c r="A85" s="127" t="s">
        <v>1022</v>
      </c>
      <c r="B85" s="128">
        <v>3975</v>
      </c>
      <c r="C85" s="703">
        <v>3975</v>
      </c>
      <c r="D85" s="1064">
        <v>3975</v>
      </c>
    </row>
    <row r="86" spans="1:4" ht="12.75">
      <c r="A86" s="127" t="s">
        <v>1023</v>
      </c>
      <c r="B86" s="128">
        <v>4500</v>
      </c>
      <c r="C86" s="703">
        <v>4500</v>
      </c>
      <c r="D86" s="1064">
        <v>4500</v>
      </c>
    </row>
    <row r="87" spans="1:4" ht="12.75" customHeight="1">
      <c r="A87" s="132" t="s">
        <v>1024</v>
      </c>
      <c r="B87" s="128">
        <v>2000</v>
      </c>
      <c r="C87" s="703">
        <v>2000</v>
      </c>
      <c r="D87" s="1064">
        <v>2000</v>
      </c>
    </row>
    <row r="88" spans="1:4" ht="12.75">
      <c r="A88" s="132" t="s">
        <v>1025</v>
      </c>
      <c r="B88" s="128">
        <v>65000</v>
      </c>
      <c r="C88" s="703">
        <v>0</v>
      </c>
      <c r="D88" s="1064">
        <v>0</v>
      </c>
    </row>
    <row r="89" spans="1:4" ht="12.75">
      <c r="A89" s="132" t="s">
        <v>417</v>
      </c>
      <c r="B89" s="128"/>
      <c r="C89" s="703">
        <v>22</v>
      </c>
      <c r="D89" s="1064">
        <v>22</v>
      </c>
    </row>
    <row r="90" spans="1:4" ht="12.75">
      <c r="A90" s="132" t="s">
        <v>106</v>
      </c>
      <c r="B90" s="128"/>
      <c r="C90" s="703">
        <v>3500</v>
      </c>
      <c r="D90" s="1064">
        <v>3500</v>
      </c>
    </row>
    <row r="91" spans="1:4" ht="12.75">
      <c r="A91" s="132" t="s">
        <v>136</v>
      </c>
      <c r="B91" s="128"/>
      <c r="C91" s="703">
        <v>5984</v>
      </c>
      <c r="D91" s="1064">
        <v>5984</v>
      </c>
    </row>
    <row r="92" spans="1:4" ht="12.75">
      <c r="A92" s="132" t="s">
        <v>137</v>
      </c>
      <c r="B92" s="128"/>
      <c r="C92" s="703">
        <v>2600</v>
      </c>
      <c r="D92" s="1064">
        <v>2600</v>
      </c>
    </row>
    <row r="93" spans="1:4" ht="12.75">
      <c r="A93" s="132" t="s">
        <v>437</v>
      </c>
      <c r="B93" s="128"/>
      <c r="C93" s="703">
        <v>5444</v>
      </c>
      <c r="D93" s="1064">
        <v>5444</v>
      </c>
    </row>
    <row r="94" spans="1:4" ht="12.75">
      <c r="A94" s="132" t="s">
        <v>1055</v>
      </c>
      <c r="B94" s="128"/>
      <c r="C94" s="1063"/>
      <c r="D94" s="1044">
        <v>15500</v>
      </c>
    </row>
    <row r="95" spans="1:4" s="164" customFormat="1" ht="13.5">
      <c r="A95" s="162" t="s">
        <v>1014</v>
      </c>
      <c r="B95" s="1065">
        <f>SUM(B79:B94)</f>
        <v>134081</v>
      </c>
      <c r="C95" s="1065">
        <f>SUM(C79:C94)</f>
        <v>82931</v>
      </c>
      <c r="D95" s="1066">
        <f>SUM(D79:D94)</f>
        <v>98431</v>
      </c>
    </row>
    <row r="96" spans="1:4" s="133" customFormat="1" ht="12.75">
      <c r="A96" s="171"/>
      <c r="B96" s="172"/>
      <c r="C96" s="704"/>
      <c r="D96" s="1045"/>
    </row>
    <row r="97" spans="1:4" s="126" customFormat="1" ht="13.5" thickBot="1">
      <c r="A97" s="167" t="s">
        <v>689</v>
      </c>
      <c r="B97" s="168">
        <f>SUM(B76+B95)</f>
        <v>540973</v>
      </c>
      <c r="C97" s="168">
        <f>SUM(C76+C95)</f>
        <v>722502</v>
      </c>
      <c r="D97" s="708">
        <f>SUM(D76+D95)</f>
        <v>739979</v>
      </c>
    </row>
    <row r="99" spans="1:4" ht="26.25" customHeight="1">
      <c r="A99" s="1369" t="s">
        <v>1026</v>
      </c>
      <c r="B99" s="1369"/>
      <c r="C99" s="1369"/>
      <c r="D99" s="1369"/>
    </row>
    <row r="100" ht="13.5" thickBot="1"/>
    <row r="101" spans="1:4" s="126" customFormat="1" ht="12.75">
      <c r="A101" s="124" t="s">
        <v>980</v>
      </c>
      <c r="B101" s="161" t="s">
        <v>540</v>
      </c>
      <c r="C101" s="702" t="s">
        <v>915</v>
      </c>
      <c r="D101" s="1043" t="s">
        <v>741</v>
      </c>
    </row>
    <row r="102" spans="1:4" s="126" customFormat="1" ht="12.75">
      <c r="A102" s="169"/>
      <c r="B102" s="170"/>
      <c r="C102" s="705"/>
      <c r="D102" s="1047"/>
    </row>
    <row r="103" spans="1:4" ht="12.75">
      <c r="A103" s="127" t="s">
        <v>1027</v>
      </c>
      <c r="B103" s="128">
        <v>13739</v>
      </c>
      <c r="C103" s="703"/>
      <c r="D103" s="1044"/>
    </row>
    <row r="104" spans="1:4" ht="12.75">
      <c r="A104" s="171" t="s">
        <v>1028</v>
      </c>
      <c r="B104" s="172"/>
      <c r="C104" s="703">
        <v>5349</v>
      </c>
      <c r="D104" s="1044">
        <v>5349</v>
      </c>
    </row>
    <row r="105" spans="1:4" s="175" customFormat="1" ht="14.25" thickBot="1">
      <c r="A105" s="173" t="s">
        <v>538</v>
      </c>
      <c r="B105" s="174">
        <f>SUM(B103)</f>
        <v>13739</v>
      </c>
      <c r="C105" s="174">
        <f>SUM(C103:C104)</f>
        <v>5349</v>
      </c>
      <c r="D105" s="1048">
        <f>SUM(D103:D104)</f>
        <v>5349</v>
      </c>
    </row>
    <row r="106" ht="12.75">
      <c r="A106" s="136"/>
    </row>
    <row r="107" ht="12.75">
      <c r="A107" s="136"/>
    </row>
    <row r="108" spans="1:4" ht="26.25" customHeight="1">
      <c r="A108" s="1369" t="s">
        <v>1029</v>
      </c>
      <c r="B108" s="1369"/>
      <c r="C108" s="1369"/>
      <c r="D108" s="1369"/>
    </row>
    <row r="109" ht="13.5" thickBot="1">
      <c r="A109" s="136"/>
    </row>
    <row r="110" spans="1:4" s="126" customFormat="1" ht="12.75">
      <c r="A110" s="124" t="s">
        <v>980</v>
      </c>
      <c r="B110" s="161" t="s">
        <v>540</v>
      </c>
      <c r="C110" s="702" t="s">
        <v>915</v>
      </c>
      <c r="D110" s="1043" t="s">
        <v>741</v>
      </c>
    </row>
    <row r="111" spans="1:4" s="126" customFormat="1" ht="12.75">
      <c r="A111" s="129"/>
      <c r="B111" s="176"/>
      <c r="C111" s="705"/>
      <c r="D111" s="1047"/>
    </row>
    <row r="112" spans="1:4" ht="12.75">
      <c r="A112" s="127" t="s">
        <v>1027</v>
      </c>
      <c r="B112" s="128">
        <v>0</v>
      </c>
      <c r="C112" s="703">
        <v>7769</v>
      </c>
      <c r="D112" s="1044">
        <v>7769</v>
      </c>
    </row>
    <row r="113" spans="1:4" s="175" customFormat="1" ht="14.25" thickBot="1">
      <c r="A113" s="173" t="s">
        <v>538</v>
      </c>
      <c r="B113" s="174">
        <f>SUM(B112)</f>
        <v>0</v>
      </c>
      <c r="C113" s="174">
        <f>SUM(C112)</f>
        <v>7769</v>
      </c>
      <c r="D113" s="1048">
        <f>SUM(D112)</f>
        <v>7769</v>
      </c>
    </row>
    <row r="114" ht="12.75">
      <c r="A114" s="136"/>
    </row>
    <row r="115" ht="12.75">
      <c r="A115" s="136"/>
    </row>
    <row r="116" ht="12.75">
      <c r="A116" s="136"/>
    </row>
    <row r="117" spans="1:4" ht="12.75">
      <c r="A117" s="1369" t="s">
        <v>418</v>
      </c>
      <c r="B117" s="1369"/>
      <c r="C117" s="1369"/>
      <c r="D117" s="1369"/>
    </row>
    <row r="118" ht="13.5" thickBot="1">
      <c r="A118" s="136"/>
    </row>
    <row r="119" spans="1:4" ht="12.75">
      <c r="A119" s="124" t="s">
        <v>980</v>
      </c>
      <c r="B119" s="161" t="s">
        <v>540</v>
      </c>
      <c r="C119" s="702" t="s">
        <v>915</v>
      </c>
      <c r="D119" s="1043" t="s">
        <v>741</v>
      </c>
    </row>
    <row r="120" spans="1:4" ht="12.75">
      <c r="A120" s="129"/>
      <c r="B120" s="176"/>
      <c r="C120" s="705"/>
      <c r="D120" s="1047"/>
    </row>
    <row r="121" spans="1:4" ht="12.75">
      <c r="A121" s="127" t="s">
        <v>983</v>
      </c>
      <c r="B121" s="128">
        <v>0</v>
      </c>
      <c r="C121" s="703">
        <v>102</v>
      </c>
      <c r="D121" s="1044">
        <v>102</v>
      </c>
    </row>
    <row r="122" spans="1:4" ht="12.75">
      <c r="A122" s="171" t="s">
        <v>622</v>
      </c>
      <c r="B122" s="172"/>
      <c r="C122" s="704"/>
      <c r="D122" s="1045">
        <v>652</v>
      </c>
    </row>
    <row r="123" spans="1:4" ht="14.25" thickBot="1">
      <c r="A123" s="173" t="s">
        <v>538</v>
      </c>
      <c r="B123" s="174">
        <f>SUM(B121:B122)</f>
        <v>0</v>
      </c>
      <c r="C123" s="174">
        <f>SUM(C121:C122)</f>
        <v>102</v>
      </c>
      <c r="D123" s="1048">
        <f>SUM(D121:D122)</f>
        <v>754</v>
      </c>
    </row>
    <row r="124" ht="12.75">
      <c r="A124" s="136"/>
    </row>
    <row r="125" ht="12.75">
      <c r="A125" s="1411" t="s">
        <v>261</v>
      </c>
    </row>
    <row r="126" ht="12.75">
      <c r="A126" s="8" t="s">
        <v>262</v>
      </c>
    </row>
    <row r="127" ht="12.75">
      <c r="A127" s="8" t="s">
        <v>263</v>
      </c>
    </row>
    <row r="128" ht="12.75">
      <c r="A128" s="8" t="s">
        <v>264</v>
      </c>
    </row>
    <row r="129" ht="12.75">
      <c r="A129" s="8" t="s">
        <v>265</v>
      </c>
    </row>
    <row r="130" ht="12.75">
      <c r="A130" s="136"/>
    </row>
    <row r="131" ht="12.75">
      <c r="A131" s="177"/>
    </row>
    <row r="133" ht="12.75">
      <c r="A133" s="178"/>
    </row>
  </sheetData>
  <mergeCells count="4">
    <mergeCell ref="A2:D2"/>
    <mergeCell ref="A99:D99"/>
    <mergeCell ref="A108:D108"/>
    <mergeCell ref="A117:D117"/>
  </mergeCells>
  <printOptions horizontalCentered="1"/>
  <pageMargins left="0.35433070866141736" right="0.31496062992125984" top="0.45" bottom="0.25" header="0.22" footer="0.21"/>
  <pageSetup horizontalDpi="600" verticalDpi="600" orientation="portrait" paperSize="9" scale="65" r:id="rId1"/>
  <headerFooter alignWithMargins="0">
    <oddHeader>&amp;L11. melléklet a 2/2014.(II.27.) önkormányzati rendelethez
"11. melléklet az 1/2013.(II.01.) önkormányzati rendelethez"</oddHeader>
  </headerFooter>
  <rowBreaks count="1" manualBreakCount="1">
    <brk id="97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SheetLayoutView="100" workbookViewId="0" topLeftCell="A89">
      <selection activeCell="A135" sqref="A135"/>
    </sheetView>
  </sheetViews>
  <sheetFormatPr defaultColWidth="9.00390625" defaultRowHeight="12.75"/>
  <cols>
    <col min="1" max="1" width="80.75390625" style="122" customWidth="1"/>
    <col min="2" max="3" width="11.875" style="123" customWidth="1"/>
    <col min="4" max="4" width="11.375" style="141" customWidth="1"/>
    <col min="5" max="16384" width="9.125" style="122" customWidth="1"/>
  </cols>
  <sheetData>
    <row r="1" spans="1:3" ht="12.75">
      <c r="A1" s="179"/>
      <c r="B1" s="159"/>
      <c r="C1" s="159"/>
    </row>
    <row r="2" spans="1:4" ht="12.75">
      <c r="A2" s="1371" t="s">
        <v>1030</v>
      </c>
      <c r="B2" s="1371"/>
      <c r="C2" s="1371"/>
      <c r="D2" s="1371"/>
    </row>
    <row r="3" spans="1:4" ht="12.75">
      <c r="A3" s="1371" t="s">
        <v>1031</v>
      </c>
      <c r="B3" s="1371"/>
      <c r="C3" s="1371"/>
      <c r="D3" s="1371"/>
    </row>
    <row r="4" spans="1:4" ht="12.75">
      <c r="A4" s="1370" t="s">
        <v>1032</v>
      </c>
      <c r="B4" s="1370"/>
      <c r="C4" s="1370"/>
      <c r="D4" s="1370"/>
    </row>
    <row r="5" spans="1:3" ht="13.5" thickBot="1">
      <c r="A5" s="180"/>
      <c r="B5" s="181"/>
      <c r="C5" s="181"/>
    </row>
    <row r="6" spans="1:4" ht="12.75">
      <c r="A6" s="182" t="s">
        <v>774</v>
      </c>
      <c r="B6" s="183" t="s">
        <v>539</v>
      </c>
      <c r="C6" s="709" t="s">
        <v>915</v>
      </c>
      <c r="D6" s="706" t="s">
        <v>741</v>
      </c>
    </row>
    <row r="7" spans="1:4" ht="12.75">
      <c r="A7" s="184"/>
      <c r="B7" s="166"/>
      <c r="C7" s="710"/>
      <c r="D7" s="707"/>
    </row>
    <row r="8" spans="1:4" ht="12.75">
      <c r="A8" s="129" t="s">
        <v>566</v>
      </c>
      <c r="B8" s="128"/>
      <c r="C8" s="710"/>
      <c r="D8" s="707"/>
    </row>
    <row r="9" spans="1:4" ht="12.75">
      <c r="A9" s="127" t="s">
        <v>1033</v>
      </c>
      <c r="B9" s="128">
        <v>40380</v>
      </c>
      <c r="C9" s="703">
        <v>31011</v>
      </c>
      <c r="D9" s="1044">
        <v>31011</v>
      </c>
    </row>
    <row r="10" spans="1:4" ht="12.75">
      <c r="A10" s="127" t="s">
        <v>1034</v>
      </c>
      <c r="B10" s="128">
        <v>1000</v>
      </c>
      <c r="C10" s="703">
        <v>0</v>
      </c>
      <c r="D10" s="1044"/>
    </row>
    <row r="11" spans="1:4" ht="12.75">
      <c r="A11" s="127" t="s">
        <v>1035</v>
      </c>
      <c r="B11" s="128">
        <v>3900</v>
      </c>
      <c r="C11" s="703">
        <v>0</v>
      </c>
      <c r="D11" s="1044"/>
    </row>
    <row r="12" spans="1:4" ht="12.75">
      <c r="A12" s="127" t="s">
        <v>1064</v>
      </c>
      <c r="B12" s="128">
        <v>2100</v>
      </c>
      <c r="C12" s="703">
        <v>2100</v>
      </c>
      <c r="D12" s="1044">
        <v>2100</v>
      </c>
    </row>
    <row r="13" spans="1:4" ht="12.75">
      <c r="A13" s="127" t="s">
        <v>1036</v>
      </c>
      <c r="B13" s="128">
        <v>2470</v>
      </c>
      <c r="C13" s="703">
        <v>2470</v>
      </c>
      <c r="D13" s="1044">
        <v>2470</v>
      </c>
    </row>
    <row r="14" spans="1:4" ht="12.75">
      <c r="A14" s="127" t="s">
        <v>1037</v>
      </c>
      <c r="B14" s="128">
        <v>14560</v>
      </c>
      <c r="C14" s="703">
        <v>14560</v>
      </c>
      <c r="D14" s="1044">
        <v>14560</v>
      </c>
    </row>
    <row r="15" spans="1:4" ht="12.75">
      <c r="A15" s="127" t="s">
        <v>1038</v>
      </c>
      <c r="B15" s="128">
        <v>8000</v>
      </c>
      <c r="C15" s="703">
        <v>8000</v>
      </c>
      <c r="D15" s="1044">
        <v>8000</v>
      </c>
    </row>
    <row r="16" spans="1:4" ht="12.75">
      <c r="A16" s="127" t="s">
        <v>419</v>
      </c>
      <c r="B16" s="128"/>
      <c r="C16" s="703">
        <v>998</v>
      </c>
      <c r="D16" s="1044">
        <v>998</v>
      </c>
    </row>
    <row r="17" spans="1:4" ht="12.75">
      <c r="A17" s="127" t="s">
        <v>420</v>
      </c>
      <c r="B17" s="128"/>
      <c r="C17" s="703">
        <v>1565</v>
      </c>
      <c r="D17" s="1044">
        <v>1565</v>
      </c>
    </row>
    <row r="18" spans="1:4" ht="12.75">
      <c r="A18" s="127" t="s">
        <v>1065</v>
      </c>
      <c r="B18" s="128"/>
      <c r="C18" s="703">
        <v>3062</v>
      </c>
      <c r="D18" s="1044">
        <v>3062</v>
      </c>
    </row>
    <row r="19" spans="1:4" ht="12.75">
      <c r="A19" s="127" t="s">
        <v>203</v>
      </c>
      <c r="B19" s="128"/>
      <c r="C19" s="703">
        <v>20316</v>
      </c>
      <c r="D19" s="1044">
        <v>20316</v>
      </c>
    </row>
    <row r="20" spans="1:4" ht="12.75">
      <c r="A20" s="127" t="s">
        <v>1057</v>
      </c>
      <c r="B20" s="128"/>
      <c r="C20" s="703"/>
      <c r="D20" s="1044">
        <v>311</v>
      </c>
    </row>
    <row r="21" spans="1:4" ht="12.75">
      <c r="A21" s="127" t="s">
        <v>1058</v>
      </c>
      <c r="B21" s="128"/>
      <c r="C21" s="703"/>
      <c r="D21" s="1044">
        <v>12844</v>
      </c>
    </row>
    <row r="22" spans="1:4" s="126" customFormat="1" ht="12.75">
      <c r="A22" s="129" t="s">
        <v>1014</v>
      </c>
      <c r="B22" s="130">
        <f>SUM(B9:B19)</f>
        <v>72410</v>
      </c>
      <c r="C22" s="705">
        <f>SUM(C9:C19)</f>
        <v>84082</v>
      </c>
      <c r="D22" s="1047">
        <f>SUM(D9:D21)</f>
        <v>97237</v>
      </c>
    </row>
    <row r="23" spans="1:4" ht="12.75">
      <c r="A23" s="127"/>
      <c r="B23" s="128"/>
      <c r="C23" s="703"/>
      <c r="D23" s="1044"/>
    </row>
    <row r="24" spans="1:4" ht="12.75">
      <c r="A24" s="129" t="s">
        <v>1039</v>
      </c>
      <c r="B24" s="128"/>
      <c r="C24" s="703"/>
      <c r="D24" s="1044"/>
    </row>
    <row r="25" spans="1:4" ht="12.75">
      <c r="A25" s="127" t="s">
        <v>776</v>
      </c>
      <c r="B25" s="128">
        <v>175037</v>
      </c>
      <c r="C25" s="703">
        <v>175037</v>
      </c>
      <c r="D25" s="1044">
        <v>11309</v>
      </c>
    </row>
    <row r="26" spans="1:4" ht="12.75">
      <c r="A26" s="127" t="s">
        <v>1040</v>
      </c>
      <c r="B26" s="128">
        <v>4075</v>
      </c>
      <c r="C26" s="703">
        <v>4075</v>
      </c>
      <c r="D26" s="1044">
        <v>4075</v>
      </c>
    </row>
    <row r="27" spans="1:4" ht="25.5">
      <c r="A27" s="132" t="s">
        <v>778</v>
      </c>
      <c r="B27" s="128">
        <v>293165</v>
      </c>
      <c r="C27" s="703">
        <v>293165</v>
      </c>
      <c r="D27" s="1044">
        <v>47455</v>
      </c>
    </row>
    <row r="28" spans="1:4" ht="27.75" customHeight="1">
      <c r="A28" s="132" t="s">
        <v>1041</v>
      </c>
      <c r="B28" s="128">
        <v>869</v>
      </c>
      <c r="C28" s="703">
        <v>869</v>
      </c>
      <c r="D28" s="1044">
        <v>869</v>
      </c>
    </row>
    <row r="29" spans="1:4" ht="25.5">
      <c r="A29" s="132" t="s">
        <v>1042</v>
      </c>
      <c r="B29" s="128">
        <v>500000</v>
      </c>
      <c r="C29" s="703">
        <v>500000</v>
      </c>
      <c r="D29" s="1044"/>
    </row>
    <row r="30" spans="1:4" ht="12.75">
      <c r="A30" s="132" t="s">
        <v>1043</v>
      </c>
      <c r="B30" s="128">
        <v>9345</v>
      </c>
      <c r="C30" s="703">
        <v>9345</v>
      </c>
      <c r="D30" s="1044">
        <v>9345</v>
      </c>
    </row>
    <row r="31" spans="1:4" ht="12.75" customHeight="1">
      <c r="A31" s="132" t="s">
        <v>780</v>
      </c>
      <c r="B31" s="128">
        <v>9122</v>
      </c>
      <c r="C31" s="703">
        <v>9122</v>
      </c>
      <c r="D31" s="1044">
        <v>9122</v>
      </c>
    </row>
    <row r="32" spans="1:4" ht="12.75">
      <c r="A32" s="132" t="s">
        <v>781</v>
      </c>
      <c r="B32" s="128">
        <v>20000</v>
      </c>
      <c r="C32" s="703">
        <v>0</v>
      </c>
      <c r="D32" s="1044"/>
    </row>
    <row r="33" spans="1:4" ht="12.75">
      <c r="A33" s="132" t="s">
        <v>782</v>
      </c>
      <c r="B33" s="128">
        <v>2000</v>
      </c>
      <c r="C33" s="703">
        <v>2000</v>
      </c>
      <c r="D33" s="1044">
        <v>2000</v>
      </c>
    </row>
    <row r="34" spans="1:4" ht="12.75">
      <c r="A34" s="132" t="s">
        <v>783</v>
      </c>
      <c r="B34" s="128">
        <v>1000</v>
      </c>
      <c r="C34" s="703">
        <v>1000</v>
      </c>
      <c r="D34" s="1044">
        <v>1000</v>
      </c>
    </row>
    <row r="35" spans="1:4" ht="12.75">
      <c r="A35" s="132" t="s">
        <v>785</v>
      </c>
      <c r="B35" s="128">
        <v>81290</v>
      </c>
      <c r="C35" s="703">
        <v>81290</v>
      </c>
      <c r="D35" s="1044"/>
    </row>
    <row r="36" spans="1:4" ht="25.5">
      <c r="A36" s="132" t="s">
        <v>786</v>
      </c>
      <c r="B36" s="128">
        <v>435222</v>
      </c>
      <c r="C36" s="703">
        <v>435222</v>
      </c>
      <c r="D36" s="1044">
        <v>301656</v>
      </c>
    </row>
    <row r="37" spans="1:4" ht="25.5">
      <c r="A37" s="132" t="s">
        <v>1044</v>
      </c>
      <c r="B37" s="128">
        <v>6140</v>
      </c>
      <c r="C37" s="703">
        <v>6140</v>
      </c>
      <c r="D37" s="1044">
        <v>6140</v>
      </c>
    </row>
    <row r="38" spans="1:4" ht="12.75">
      <c r="A38" s="132" t="s">
        <v>421</v>
      </c>
      <c r="B38" s="128"/>
      <c r="C38" s="703">
        <v>117402</v>
      </c>
      <c r="D38" s="1044"/>
    </row>
    <row r="39" spans="1:4" ht="12.75">
      <c r="A39" s="132" t="s">
        <v>422</v>
      </c>
      <c r="B39" s="128"/>
      <c r="C39" s="703">
        <v>90625</v>
      </c>
      <c r="D39" s="1044"/>
    </row>
    <row r="40" spans="1:4" ht="12.75">
      <c r="A40" s="132" t="s">
        <v>423</v>
      </c>
      <c r="B40" s="128"/>
      <c r="C40" s="703">
        <v>185000</v>
      </c>
      <c r="D40" s="1044"/>
    </row>
    <row r="41" spans="1:4" ht="25.5">
      <c r="A41" s="132" t="s">
        <v>897</v>
      </c>
      <c r="B41" s="128"/>
      <c r="C41" s="703">
        <v>46350</v>
      </c>
      <c r="D41" s="1044">
        <v>34763</v>
      </c>
    </row>
    <row r="42" spans="1:4" ht="12.75">
      <c r="A42" s="132" t="s">
        <v>1066</v>
      </c>
      <c r="B42" s="128"/>
      <c r="C42" s="703">
        <v>8412</v>
      </c>
      <c r="D42" s="1044">
        <v>8412</v>
      </c>
    </row>
    <row r="43" spans="1:4" ht="12.75">
      <c r="A43" s="132" t="s">
        <v>201</v>
      </c>
      <c r="B43" s="128"/>
      <c r="C43" s="703">
        <v>19186</v>
      </c>
      <c r="D43" s="1044">
        <v>16374</v>
      </c>
    </row>
    <row r="44" spans="1:4" s="126" customFormat="1" ht="12.75">
      <c r="A44" s="129" t="s">
        <v>1014</v>
      </c>
      <c r="B44" s="130">
        <f>SUM(B25:B43)</f>
        <v>1537265</v>
      </c>
      <c r="C44" s="130">
        <f>SUM(C25:C43)</f>
        <v>1984240</v>
      </c>
      <c r="D44" s="695">
        <f>SUM(D25:D43)</f>
        <v>452520</v>
      </c>
    </row>
    <row r="45" spans="1:4" ht="12.75">
      <c r="A45" s="127"/>
      <c r="B45" s="128"/>
      <c r="C45" s="703"/>
      <c r="D45" s="1044"/>
    </row>
    <row r="46" spans="1:4" ht="12.75">
      <c r="A46" s="129" t="s">
        <v>1045</v>
      </c>
      <c r="B46" s="128"/>
      <c r="C46" s="703"/>
      <c r="D46" s="1044"/>
    </row>
    <row r="47" spans="1:4" ht="12.75">
      <c r="A47" s="127" t="s">
        <v>1046</v>
      </c>
      <c r="B47" s="128">
        <v>2600</v>
      </c>
      <c r="C47" s="703">
        <v>2600</v>
      </c>
      <c r="D47" s="1044">
        <v>2600</v>
      </c>
    </row>
    <row r="48" spans="1:4" ht="12.75">
      <c r="A48" s="132" t="s">
        <v>1047</v>
      </c>
      <c r="B48" s="128">
        <v>1200</v>
      </c>
      <c r="C48" s="703">
        <v>1200</v>
      </c>
      <c r="D48" s="1044">
        <v>1200</v>
      </c>
    </row>
    <row r="49" spans="1:4" ht="12.75">
      <c r="A49" s="132" t="s">
        <v>1067</v>
      </c>
      <c r="B49" s="128"/>
      <c r="C49" s="703">
        <v>0</v>
      </c>
      <c r="D49" s="1044">
        <v>0</v>
      </c>
    </row>
    <row r="50" spans="1:4" ht="12.75">
      <c r="A50" s="132" t="s">
        <v>1068</v>
      </c>
      <c r="B50" s="128"/>
      <c r="C50" s="703">
        <v>2291</v>
      </c>
      <c r="D50" s="1044">
        <v>2291</v>
      </c>
    </row>
    <row r="51" spans="1:4" ht="12.75">
      <c r="A51" s="127" t="s">
        <v>1035</v>
      </c>
      <c r="B51" s="128"/>
      <c r="C51" s="703">
        <v>3900</v>
      </c>
      <c r="D51" s="1044">
        <v>3900</v>
      </c>
    </row>
    <row r="52" spans="1:4" ht="12.75">
      <c r="A52" s="132" t="s">
        <v>202</v>
      </c>
      <c r="B52" s="128"/>
      <c r="C52" s="703">
        <v>1505</v>
      </c>
      <c r="D52" s="1044">
        <v>1505</v>
      </c>
    </row>
    <row r="53" spans="1:4" s="126" customFormat="1" ht="12.75">
      <c r="A53" s="129" t="s">
        <v>1014</v>
      </c>
      <c r="B53" s="130">
        <f>SUM(B47:B52)</f>
        <v>3800</v>
      </c>
      <c r="C53" s="130">
        <f>SUM(C47:C52)</f>
        <v>11496</v>
      </c>
      <c r="D53" s="695">
        <f>SUM(D47:D52)</f>
        <v>11496</v>
      </c>
    </row>
    <row r="54" spans="1:4" ht="12.75">
      <c r="A54" s="127"/>
      <c r="B54" s="128"/>
      <c r="C54" s="703"/>
      <c r="D54" s="1044"/>
    </row>
    <row r="55" spans="1:4" ht="12.75">
      <c r="A55" s="129" t="s">
        <v>1048</v>
      </c>
      <c r="B55" s="128"/>
      <c r="C55" s="703"/>
      <c r="D55" s="1044"/>
    </row>
    <row r="56" spans="1:4" s="131" customFormat="1" ht="12.75">
      <c r="A56" s="127" t="s">
        <v>1049</v>
      </c>
      <c r="B56" s="128">
        <v>50</v>
      </c>
      <c r="C56" s="703">
        <v>50</v>
      </c>
      <c r="D56" s="1044">
        <v>50</v>
      </c>
    </row>
    <row r="57" spans="1:4" s="131" customFormat="1" ht="12.75">
      <c r="A57" s="127" t="s">
        <v>1069</v>
      </c>
      <c r="B57" s="128"/>
      <c r="C57" s="703">
        <v>5000</v>
      </c>
      <c r="D57" s="1044">
        <v>5000</v>
      </c>
    </row>
    <row r="58" spans="1:4" s="126" customFormat="1" ht="12.75">
      <c r="A58" s="129" t="s">
        <v>1014</v>
      </c>
      <c r="B58" s="130">
        <f>SUM(B56:B56)</f>
        <v>50</v>
      </c>
      <c r="C58" s="705">
        <f>SUM(C56:C57)</f>
        <v>5050</v>
      </c>
      <c r="D58" s="1047">
        <f>SUM(D56:D57)</f>
        <v>5050</v>
      </c>
    </row>
    <row r="59" spans="1:4" ht="12.75">
      <c r="A59" s="127"/>
      <c r="B59" s="703"/>
      <c r="C59" s="703"/>
      <c r="D59" s="1044"/>
    </row>
    <row r="60" spans="1:4" ht="13.5" thickBot="1">
      <c r="A60" s="134" t="s">
        <v>689</v>
      </c>
      <c r="B60" s="692">
        <f>SUM(B22,B44,B53,B58)</f>
        <v>1613525</v>
      </c>
      <c r="C60" s="692">
        <f>SUM(C58+C53+C44+C22)</f>
        <v>2084868</v>
      </c>
      <c r="D60" s="696">
        <f>SUM(D58+D53+D44+D22)</f>
        <v>566303</v>
      </c>
    </row>
    <row r="62" spans="1:3" ht="12.75">
      <c r="A62" s="179"/>
      <c r="B62" s="159"/>
      <c r="C62" s="159"/>
    </row>
    <row r="63" spans="1:4" ht="12.75">
      <c r="A63" s="1371" t="s">
        <v>1030</v>
      </c>
      <c r="B63" s="1371"/>
      <c r="C63" s="1371"/>
      <c r="D63" s="1371"/>
    </row>
    <row r="64" spans="1:4" ht="12.75">
      <c r="A64" s="1371" t="s">
        <v>1050</v>
      </c>
      <c r="B64" s="1371"/>
      <c r="C64" s="1371"/>
      <c r="D64" s="1371"/>
    </row>
    <row r="65" spans="1:4" ht="12.75">
      <c r="A65" s="1370" t="s">
        <v>1032</v>
      </c>
      <c r="B65" s="1370"/>
      <c r="C65" s="1370"/>
      <c r="D65" s="1370"/>
    </row>
    <row r="66" ht="13.5" thickBot="1">
      <c r="A66" s="136"/>
    </row>
    <row r="67" spans="1:4" ht="12.75">
      <c r="A67" s="182" t="s">
        <v>774</v>
      </c>
      <c r="B67" s="183" t="s">
        <v>539</v>
      </c>
      <c r="C67" s="709" t="s">
        <v>915</v>
      </c>
      <c r="D67" s="706" t="s">
        <v>741</v>
      </c>
    </row>
    <row r="68" spans="1:4" ht="12.75">
      <c r="A68" s="185"/>
      <c r="B68" s="144"/>
      <c r="C68" s="710"/>
      <c r="D68" s="707"/>
    </row>
    <row r="69" spans="1:4" ht="12.75">
      <c r="A69" s="129" t="s">
        <v>1039</v>
      </c>
      <c r="B69" s="144"/>
      <c r="C69" s="710"/>
      <c r="D69" s="707"/>
    </row>
    <row r="70" spans="1:4" ht="12.75">
      <c r="A70" s="127" t="s">
        <v>834</v>
      </c>
      <c r="B70" s="128">
        <v>185000</v>
      </c>
      <c r="C70" s="710"/>
      <c r="D70" s="707"/>
    </row>
    <row r="71" spans="1:4" ht="12.75">
      <c r="A71" s="127" t="s">
        <v>835</v>
      </c>
      <c r="B71" s="128">
        <v>675316</v>
      </c>
      <c r="C71" s="128"/>
      <c r="D71" s="694"/>
    </row>
    <row r="72" spans="1:4" ht="25.5">
      <c r="A72" s="132" t="s">
        <v>1044</v>
      </c>
      <c r="B72" s="128">
        <v>115356</v>
      </c>
      <c r="C72" s="128"/>
      <c r="D72" s="694"/>
    </row>
    <row r="73" spans="1:4" ht="12.75" customHeight="1">
      <c r="A73" s="132" t="s">
        <v>836</v>
      </c>
      <c r="B73" s="128">
        <v>100000</v>
      </c>
      <c r="C73" s="128"/>
      <c r="D73" s="694"/>
    </row>
    <row r="74" spans="1:4" ht="12.75" customHeight="1">
      <c r="A74" s="132" t="s">
        <v>838</v>
      </c>
      <c r="B74" s="128">
        <v>58889</v>
      </c>
      <c r="C74" s="128"/>
      <c r="D74" s="694"/>
    </row>
    <row r="75" spans="1:4" ht="12.75" customHeight="1">
      <c r="A75" s="132" t="s">
        <v>839</v>
      </c>
      <c r="B75" s="128">
        <v>90625</v>
      </c>
      <c r="C75" s="710"/>
      <c r="D75" s="707"/>
    </row>
    <row r="76" spans="1:4" ht="25.5">
      <c r="A76" s="132" t="s">
        <v>897</v>
      </c>
      <c r="B76" s="128">
        <v>49966</v>
      </c>
      <c r="C76" s="710"/>
      <c r="D76" s="707"/>
    </row>
    <row r="77" spans="1:4" ht="12.75" customHeight="1">
      <c r="A77" s="132" t="s">
        <v>898</v>
      </c>
      <c r="B77" s="128">
        <v>15000</v>
      </c>
      <c r="C77" s="128"/>
      <c r="D77" s="694"/>
    </row>
    <row r="78" spans="1:4" ht="12.75">
      <c r="A78" s="132" t="s">
        <v>899</v>
      </c>
      <c r="B78" s="128">
        <v>44957</v>
      </c>
      <c r="C78" s="128"/>
      <c r="D78" s="694"/>
    </row>
    <row r="79" spans="1:4" ht="12.75">
      <c r="A79" s="132" t="s">
        <v>900</v>
      </c>
      <c r="B79" s="128">
        <v>117402</v>
      </c>
      <c r="C79" s="710"/>
      <c r="D79" s="707"/>
    </row>
    <row r="80" spans="1:4" ht="12.75">
      <c r="A80" s="127" t="s">
        <v>901</v>
      </c>
      <c r="B80" s="128">
        <v>52290</v>
      </c>
      <c r="C80" s="128"/>
      <c r="D80" s="694"/>
    </row>
    <row r="81" spans="1:4" ht="12.75">
      <c r="A81" s="127" t="s">
        <v>1040</v>
      </c>
      <c r="B81" s="128">
        <v>113309</v>
      </c>
      <c r="C81" s="128"/>
      <c r="D81" s="694"/>
    </row>
    <row r="82" spans="1:4" ht="24.75" customHeight="1">
      <c r="A82" s="132" t="s">
        <v>1041</v>
      </c>
      <c r="B82" s="128">
        <v>100697</v>
      </c>
      <c r="C82" s="128"/>
      <c r="D82" s="694"/>
    </row>
    <row r="83" spans="1:4" s="126" customFormat="1" ht="13.5" thickBot="1">
      <c r="A83" s="167" t="s">
        <v>1014</v>
      </c>
      <c r="B83" s="168">
        <f>SUM(B70:B82)</f>
        <v>1718807</v>
      </c>
      <c r="C83" s="168">
        <f>SUM(C70:C82)</f>
        <v>0</v>
      </c>
      <c r="D83" s="708">
        <f>SUM(D70:D82)</f>
        <v>0</v>
      </c>
    </row>
    <row r="84" ht="12.75">
      <c r="A84" s="136"/>
    </row>
    <row r="85" ht="12.75">
      <c r="A85" s="136"/>
    </row>
    <row r="86" spans="1:4" ht="12.75">
      <c r="A86" s="1371" t="s">
        <v>534</v>
      </c>
      <c r="B86" s="1371"/>
      <c r="C86" s="1371"/>
      <c r="D86" s="1371"/>
    </row>
    <row r="87" spans="1:4" ht="12.75">
      <c r="A87" s="1371" t="s">
        <v>1031</v>
      </c>
      <c r="B87" s="1371"/>
      <c r="C87" s="1371"/>
      <c r="D87" s="1371"/>
    </row>
    <row r="88" spans="1:4" ht="12.75">
      <c r="A88" s="1370" t="s">
        <v>1032</v>
      </c>
      <c r="B88" s="1370"/>
      <c r="C88" s="1370"/>
      <c r="D88" s="1370"/>
    </row>
    <row r="89" spans="1:3" ht="13.5" thickBot="1">
      <c r="A89" s="180"/>
      <c r="B89" s="181"/>
      <c r="C89" s="181"/>
    </row>
    <row r="90" spans="1:4" ht="12.75">
      <c r="A90" s="182" t="s">
        <v>774</v>
      </c>
      <c r="B90" s="183" t="s">
        <v>539</v>
      </c>
      <c r="C90" s="709" t="s">
        <v>915</v>
      </c>
      <c r="D90" s="706" t="s">
        <v>741</v>
      </c>
    </row>
    <row r="91" spans="1:4" ht="12.75">
      <c r="A91" s="184"/>
      <c r="B91" s="166"/>
      <c r="C91" s="710"/>
      <c r="D91" s="707"/>
    </row>
    <row r="92" spans="1:4" ht="12.75">
      <c r="A92" s="129" t="s">
        <v>566</v>
      </c>
      <c r="B92" s="128"/>
      <c r="C92" s="710"/>
      <c r="D92" s="707"/>
    </row>
    <row r="93" spans="1:4" ht="12.75">
      <c r="A93" s="127" t="s">
        <v>1059</v>
      </c>
      <c r="B93" s="128">
        <v>8431</v>
      </c>
      <c r="C93" s="710"/>
      <c r="D93" s="707"/>
    </row>
    <row r="94" spans="1:4" ht="12.75">
      <c r="A94" s="171"/>
      <c r="B94" s="172"/>
      <c r="C94" s="710"/>
      <c r="D94" s="707"/>
    </row>
    <row r="95" spans="1:4" s="126" customFormat="1" ht="13.5" thickBot="1">
      <c r="A95" s="167" t="s">
        <v>1014</v>
      </c>
      <c r="B95" s="168">
        <f>SUM(B93:B93)</f>
        <v>8431</v>
      </c>
      <c r="C95" s="1050">
        <v>0</v>
      </c>
      <c r="D95" s="1049">
        <v>0</v>
      </c>
    </row>
    <row r="96" ht="12.75">
      <c r="A96" s="136"/>
    </row>
    <row r="97" spans="1:4" ht="12.75">
      <c r="A97" s="1371" t="s">
        <v>535</v>
      </c>
      <c r="B97" s="1371"/>
      <c r="C97" s="1371"/>
      <c r="D97" s="1371"/>
    </row>
    <row r="98" spans="1:4" ht="12.75">
      <c r="A98" s="1371" t="s">
        <v>1031</v>
      </c>
      <c r="B98" s="1371"/>
      <c r="C98" s="1371"/>
      <c r="D98" s="1371"/>
    </row>
    <row r="99" spans="1:4" ht="12.75">
      <c r="A99" s="1370" t="s">
        <v>1032</v>
      </c>
      <c r="B99" s="1370"/>
      <c r="C99" s="1370"/>
      <c r="D99" s="1370"/>
    </row>
    <row r="100" spans="1:3" ht="13.5" thickBot="1">
      <c r="A100" s="180"/>
      <c r="B100" s="181"/>
      <c r="C100" s="181"/>
    </row>
    <row r="101" spans="1:4" ht="12.75">
      <c r="A101" s="182" t="s">
        <v>774</v>
      </c>
      <c r="B101" s="183" t="s">
        <v>539</v>
      </c>
      <c r="C101" s="709" t="s">
        <v>915</v>
      </c>
      <c r="D101" s="706" t="s">
        <v>741</v>
      </c>
    </row>
    <row r="102" spans="1:4" ht="12.75">
      <c r="A102" s="129" t="s">
        <v>566</v>
      </c>
      <c r="B102" s="128"/>
      <c r="C102" s="710"/>
      <c r="D102" s="707"/>
    </row>
    <row r="103" spans="1:4" ht="12.75" customHeight="1">
      <c r="A103" s="129"/>
      <c r="B103" s="128"/>
      <c r="C103" s="710"/>
      <c r="D103" s="707"/>
    </row>
    <row r="104" spans="1:4" ht="13.5">
      <c r="A104" s="162" t="s">
        <v>1060</v>
      </c>
      <c r="B104" s="128"/>
      <c r="C104" s="710"/>
      <c r="D104" s="707"/>
    </row>
    <row r="105" spans="1:4" ht="12.75">
      <c r="A105" s="127" t="s">
        <v>1059</v>
      </c>
      <c r="B105" s="128">
        <v>0</v>
      </c>
      <c r="C105" s="703">
        <v>5000</v>
      </c>
      <c r="D105" s="1044">
        <v>5000</v>
      </c>
    </row>
    <row r="106" spans="1:4" ht="12.75">
      <c r="A106" s="127" t="s">
        <v>1061</v>
      </c>
      <c r="B106" s="128"/>
      <c r="C106" s="128">
        <v>5349</v>
      </c>
      <c r="D106" s="694">
        <v>5349</v>
      </c>
    </row>
    <row r="107" spans="1:4" ht="12.75">
      <c r="A107" s="127" t="s">
        <v>1070</v>
      </c>
      <c r="B107" s="128"/>
      <c r="C107" s="128">
        <v>518</v>
      </c>
      <c r="D107" s="694">
        <v>518</v>
      </c>
    </row>
    <row r="108" spans="1:4" ht="12.75">
      <c r="A108" s="127" t="s">
        <v>203</v>
      </c>
      <c r="B108" s="128"/>
      <c r="C108" s="128">
        <v>2730</v>
      </c>
      <c r="D108" s="694">
        <v>2730</v>
      </c>
    </row>
    <row r="109" spans="1:4" ht="12.75">
      <c r="A109" s="127" t="s">
        <v>751</v>
      </c>
      <c r="B109" s="128"/>
      <c r="C109" s="128">
        <v>305</v>
      </c>
      <c r="D109" s="694">
        <v>305</v>
      </c>
    </row>
    <row r="110" spans="1:4" ht="12.75">
      <c r="A110" s="127" t="s">
        <v>623</v>
      </c>
      <c r="B110" s="128"/>
      <c r="C110" s="128"/>
      <c r="D110" s="694">
        <v>652</v>
      </c>
    </row>
    <row r="111" spans="1:4" s="175" customFormat="1" ht="13.5">
      <c r="A111" s="162" t="s">
        <v>971</v>
      </c>
      <c r="B111" s="163">
        <f>SUM(B105:B109)</f>
        <v>0</v>
      </c>
      <c r="C111" s="163">
        <f>SUM(C105:C109)</f>
        <v>13902</v>
      </c>
      <c r="D111" s="1046">
        <f>SUM(D105:D110)</f>
        <v>14554</v>
      </c>
    </row>
    <row r="112" spans="1:4" ht="12.75" customHeight="1">
      <c r="A112" s="127"/>
      <c r="B112" s="128"/>
      <c r="C112" s="710"/>
      <c r="D112" s="707"/>
    </row>
    <row r="113" spans="1:4" s="175" customFormat="1" ht="13.5">
      <c r="A113" s="162" t="s">
        <v>1062</v>
      </c>
      <c r="B113" s="163"/>
      <c r="C113" s="711"/>
      <c r="D113" s="1051"/>
    </row>
    <row r="114" spans="1:4" s="131" customFormat="1" ht="12.75">
      <c r="A114" s="127" t="s">
        <v>1063</v>
      </c>
      <c r="B114" s="128"/>
      <c r="C114" s="128">
        <v>2633</v>
      </c>
      <c r="D114" s="694">
        <v>2633</v>
      </c>
    </row>
    <row r="115" spans="1:4" s="131" customFormat="1" ht="12.75">
      <c r="A115" s="127" t="s">
        <v>1074</v>
      </c>
      <c r="B115" s="128"/>
      <c r="C115" s="128">
        <v>494</v>
      </c>
      <c r="D115" s="694">
        <v>0</v>
      </c>
    </row>
    <row r="116" spans="1:4" s="131" customFormat="1" ht="12.75">
      <c r="A116" s="127" t="s">
        <v>1075</v>
      </c>
      <c r="B116" s="128"/>
      <c r="C116" s="128">
        <v>13056</v>
      </c>
      <c r="D116" s="694">
        <v>13056</v>
      </c>
    </row>
    <row r="117" spans="1:4" s="175" customFormat="1" ht="13.5">
      <c r="A117" s="162" t="s">
        <v>976</v>
      </c>
      <c r="B117" s="163">
        <f>SUM(B115)</f>
        <v>0</v>
      </c>
      <c r="C117" s="163">
        <f>SUM(C114:C116)</f>
        <v>16183</v>
      </c>
      <c r="D117" s="1046">
        <f>SUM(D114:D116)</f>
        <v>15689</v>
      </c>
    </row>
    <row r="118" spans="1:4" ht="12.75" customHeight="1">
      <c r="A118" s="127"/>
      <c r="B118" s="128"/>
      <c r="C118" s="710"/>
      <c r="D118" s="707"/>
    </row>
    <row r="119" spans="1:4" s="175" customFormat="1" ht="13.5">
      <c r="A119" s="162" t="s">
        <v>977</v>
      </c>
      <c r="B119" s="163"/>
      <c r="C119" s="711"/>
      <c r="D119" s="1051"/>
    </row>
    <row r="120" spans="1:4" ht="12.75">
      <c r="A120" s="127" t="s">
        <v>1063</v>
      </c>
      <c r="B120" s="128"/>
      <c r="C120" s="128">
        <v>196</v>
      </c>
      <c r="D120" s="694">
        <v>196</v>
      </c>
    </row>
    <row r="121" spans="1:4" ht="12.75">
      <c r="A121" s="127" t="s">
        <v>1075</v>
      </c>
      <c r="B121" s="128"/>
      <c r="C121" s="128">
        <v>4169</v>
      </c>
      <c r="D121" s="694">
        <v>4169</v>
      </c>
    </row>
    <row r="122" spans="1:4" s="175" customFormat="1" ht="13.5">
      <c r="A122" s="162" t="s">
        <v>978</v>
      </c>
      <c r="B122" s="163">
        <f>SUM(B120)</f>
        <v>0</v>
      </c>
      <c r="C122" s="163">
        <f>SUM(C120:C121)</f>
        <v>4365</v>
      </c>
      <c r="D122" s="1046">
        <f>SUM(D120:D121)</f>
        <v>4365</v>
      </c>
    </row>
    <row r="123" spans="1:4" ht="12.75" customHeight="1">
      <c r="A123" s="127"/>
      <c r="B123" s="128"/>
      <c r="C123" s="710"/>
      <c r="D123" s="707"/>
    </row>
    <row r="124" spans="1:4" s="175" customFormat="1" ht="13.5">
      <c r="A124" s="162" t="s">
        <v>972</v>
      </c>
      <c r="B124" s="163"/>
      <c r="C124" s="711"/>
      <c r="D124" s="1051"/>
    </row>
    <row r="125" spans="1:4" s="131" customFormat="1" ht="12.75">
      <c r="A125" s="127" t="s">
        <v>1063</v>
      </c>
      <c r="B125" s="128"/>
      <c r="C125" s="128">
        <v>2314</v>
      </c>
      <c r="D125" s="694">
        <v>2314</v>
      </c>
    </row>
    <row r="126" spans="1:4" s="131" customFormat="1" ht="12.75">
      <c r="A126" s="127" t="s">
        <v>1075</v>
      </c>
      <c r="B126" s="128"/>
      <c r="C126" s="128">
        <v>3052</v>
      </c>
      <c r="D126" s="694">
        <v>3052</v>
      </c>
    </row>
    <row r="127" spans="1:4" s="131" customFormat="1" ht="12.75">
      <c r="A127" s="127" t="s">
        <v>1071</v>
      </c>
      <c r="B127" s="128"/>
      <c r="C127" s="128">
        <v>879</v>
      </c>
      <c r="D127" s="694">
        <v>879</v>
      </c>
    </row>
    <row r="128" spans="1:4" s="131" customFormat="1" ht="12.75">
      <c r="A128" s="127" t="s">
        <v>1072</v>
      </c>
      <c r="B128" s="128"/>
      <c r="C128" s="128">
        <v>9269</v>
      </c>
      <c r="D128" s="694">
        <v>9269</v>
      </c>
    </row>
    <row r="129" spans="1:4" s="131" customFormat="1" ht="12.75">
      <c r="A129" s="127" t="s">
        <v>1073</v>
      </c>
      <c r="B129" s="128"/>
      <c r="C129" s="128">
        <v>2185</v>
      </c>
      <c r="D129" s="694">
        <v>2185</v>
      </c>
    </row>
    <row r="130" spans="1:4" s="175" customFormat="1" ht="13.5">
      <c r="A130" s="162" t="s">
        <v>973</v>
      </c>
      <c r="B130" s="163">
        <f>SUM(B125:B126)</f>
        <v>0</v>
      </c>
      <c r="C130" s="163">
        <f>SUM(C125:C129)</f>
        <v>17699</v>
      </c>
      <c r="D130" s="1046">
        <f>SUM(D125:D129)</f>
        <v>17699</v>
      </c>
    </row>
    <row r="131" spans="1:4" ht="12.75">
      <c r="A131" s="127"/>
      <c r="B131" s="128"/>
      <c r="C131" s="710"/>
      <c r="D131" s="707"/>
    </row>
    <row r="132" spans="1:4" ht="13.5" thickBot="1">
      <c r="A132" s="167" t="s">
        <v>1014</v>
      </c>
      <c r="B132" s="168">
        <f>SUM(B105:B105)</f>
        <v>0</v>
      </c>
      <c r="C132" s="168">
        <f>SUM(C130,C122,C117,C111)</f>
        <v>52149</v>
      </c>
      <c r="D132" s="708">
        <f>SUM(D130,D122,D117,D111)</f>
        <v>52307</v>
      </c>
    </row>
    <row r="133" ht="12.75">
      <c r="A133" s="136"/>
    </row>
    <row r="134" ht="12.75">
      <c r="A134" s="1411" t="s">
        <v>266</v>
      </c>
    </row>
    <row r="135" ht="12.75">
      <c r="A135" s="8" t="s">
        <v>267</v>
      </c>
    </row>
    <row r="136" ht="12.75">
      <c r="A136" s="8" t="s">
        <v>268</v>
      </c>
    </row>
    <row r="137" ht="12.75">
      <c r="A137" s="8" t="s">
        <v>269</v>
      </c>
    </row>
    <row r="138" ht="12.75">
      <c r="A138" s="8" t="s">
        <v>270</v>
      </c>
    </row>
    <row r="139" ht="12.75">
      <c r="A139" s="136"/>
    </row>
    <row r="140" ht="12.75">
      <c r="A140" s="136"/>
    </row>
    <row r="141" ht="12.75">
      <c r="A141" s="136"/>
    </row>
    <row r="142" ht="12.75">
      <c r="A142" s="136"/>
    </row>
    <row r="143" ht="12.75">
      <c r="A143" s="136"/>
    </row>
    <row r="144" ht="12.75">
      <c r="A144" s="136"/>
    </row>
    <row r="145" ht="12.75">
      <c r="A145" s="136"/>
    </row>
    <row r="146" ht="12.75">
      <c r="A146" s="136"/>
    </row>
    <row r="147" ht="12.75">
      <c r="A147" s="136"/>
    </row>
    <row r="148" ht="12.75">
      <c r="A148" s="136"/>
    </row>
    <row r="149" ht="12.75">
      <c r="A149" s="136"/>
    </row>
    <row r="150" ht="12.75">
      <c r="A150" s="136"/>
    </row>
    <row r="151" ht="12.75">
      <c r="A151" s="136"/>
    </row>
  </sheetData>
  <mergeCells count="12">
    <mergeCell ref="A2:D2"/>
    <mergeCell ref="A3:D3"/>
    <mergeCell ref="A98:D98"/>
    <mergeCell ref="A4:D4"/>
    <mergeCell ref="A63:D63"/>
    <mergeCell ref="A64:D64"/>
    <mergeCell ref="A65:D65"/>
    <mergeCell ref="A99:D99"/>
    <mergeCell ref="A86:D86"/>
    <mergeCell ref="A87:D87"/>
    <mergeCell ref="A88:D88"/>
    <mergeCell ref="A97:D97"/>
  </mergeCells>
  <printOptions horizontalCentered="1"/>
  <pageMargins left="0.3937007874015748" right="0.3937007874015748" top="0.49" bottom="0" header="0.22" footer="0.23"/>
  <pageSetup horizontalDpi="600" verticalDpi="600" orientation="portrait" paperSize="9" scale="79" r:id="rId1"/>
  <headerFooter alignWithMargins="0">
    <oddHeader>&amp;L12. melléklet a 2/2014.(II.27.) önkormányzati rendelethez
"12. melléklet az 1/2013.(II.01.) önkormányzati rendelethez"</oddHeader>
  </headerFooter>
  <rowBreaks count="1" manualBreakCount="1">
    <brk id="61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workbookViewId="0" topLeftCell="A28">
      <selection activeCell="A55" sqref="A55"/>
    </sheetView>
  </sheetViews>
  <sheetFormatPr defaultColWidth="9.00390625" defaultRowHeight="12.75"/>
  <cols>
    <col min="1" max="1" width="46.875" style="187" customWidth="1"/>
    <col min="2" max="2" width="16.75390625" style="187" customWidth="1"/>
    <col min="3" max="3" width="14.75390625" style="187" customWidth="1"/>
    <col min="4" max="4" width="14.25390625" style="187" customWidth="1"/>
    <col min="5" max="16384" width="9.125" style="187" customWidth="1"/>
  </cols>
  <sheetData>
    <row r="1" ht="12.75">
      <c r="A1" s="186"/>
    </row>
    <row r="2" ht="15.75">
      <c r="A2" s="188"/>
    </row>
    <row r="3" spans="1:4" ht="15" customHeight="1">
      <c r="A3" s="1376" t="s">
        <v>1076</v>
      </c>
      <c r="B3" s="1376"/>
      <c r="C3" s="1376"/>
      <c r="D3" s="1376"/>
    </row>
    <row r="4" spans="1:2" ht="14.25" customHeight="1" thickBot="1">
      <c r="A4" s="189"/>
      <c r="B4" s="190"/>
    </row>
    <row r="5" spans="1:4" ht="22.5" customHeight="1">
      <c r="A5" s="1372" t="s">
        <v>1077</v>
      </c>
      <c r="B5" s="191" t="s">
        <v>1078</v>
      </c>
      <c r="C5" s="722" t="s">
        <v>1078</v>
      </c>
      <c r="D5" s="712" t="s">
        <v>1078</v>
      </c>
    </row>
    <row r="6" spans="1:4" ht="15" customHeight="1" thickBot="1">
      <c r="A6" s="1373"/>
      <c r="B6" s="192" t="s">
        <v>539</v>
      </c>
      <c r="C6" s="723" t="s">
        <v>915</v>
      </c>
      <c r="D6" s="713" t="s">
        <v>741</v>
      </c>
    </row>
    <row r="7" spans="1:4" ht="15" customHeight="1">
      <c r="A7" s="193" t="s">
        <v>734</v>
      </c>
      <c r="B7" s="194">
        <v>20</v>
      </c>
      <c r="C7" s="724">
        <v>22</v>
      </c>
      <c r="D7" s="714">
        <v>22</v>
      </c>
    </row>
    <row r="8" spans="1:4" ht="15" customHeight="1">
      <c r="A8" s="193" t="s">
        <v>735</v>
      </c>
      <c r="B8" s="194">
        <v>7</v>
      </c>
      <c r="C8" s="724">
        <v>7</v>
      </c>
      <c r="D8" s="714">
        <v>7</v>
      </c>
    </row>
    <row r="9" spans="1:4" ht="15" customHeight="1">
      <c r="A9" s="193" t="s">
        <v>736</v>
      </c>
      <c r="B9" s="194">
        <v>16.75</v>
      </c>
      <c r="C9" s="724">
        <v>18.75</v>
      </c>
      <c r="D9" s="714">
        <v>18.75</v>
      </c>
    </row>
    <row r="10" spans="1:4" ht="15" customHeight="1">
      <c r="A10" s="193" t="s">
        <v>1079</v>
      </c>
      <c r="B10" s="194">
        <v>21</v>
      </c>
      <c r="C10" s="724">
        <v>23</v>
      </c>
      <c r="D10" s="714">
        <v>23</v>
      </c>
    </row>
    <row r="11" spans="1:4" ht="15" customHeight="1">
      <c r="A11" s="193" t="s">
        <v>737</v>
      </c>
      <c r="B11" s="194">
        <v>15.5</v>
      </c>
      <c r="C11" s="724">
        <v>16.5</v>
      </c>
      <c r="D11" s="714">
        <v>16.5</v>
      </c>
    </row>
    <row r="12" spans="1:4" ht="15" customHeight="1">
      <c r="A12" s="193" t="s">
        <v>738</v>
      </c>
      <c r="B12" s="194">
        <v>15</v>
      </c>
      <c r="C12" s="724">
        <v>15</v>
      </c>
      <c r="D12" s="714">
        <v>15</v>
      </c>
    </row>
    <row r="13" spans="1:4" ht="15" customHeight="1">
      <c r="A13" s="193" t="s">
        <v>739</v>
      </c>
      <c r="B13" s="194">
        <v>3.5</v>
      </c>
      <c r="C13" s="724">
        <v>3.5</v>
      </c>
      <c r="D13" s="714">
        <v>3.5</v>
      </c>
    </row>
    <row r="14" spans="1:4" ht="15" customHeight="1">
      <c r="A14" s="193" t="s">
        <v>1080</v>
      </c>
      <c r="B14" s="194">
        <v>32</v>
      </c>
      <c r="C14" s="724">
        <v>32</v>
      </c>
      <c r="D14" s="714">
        <v>32</v>
      </c>
    </row>
    <row r="15" spans="1:4" ht="15.75" customHeight="1">
      <c r="A15" s="193" t="s">
        <v>1081</v>
      </c>
      <c r="B15" s="194">
        <v>9.5</v>
      </c>
      <c r="C15" s="724">
        <v>9.5</v>
      </c>
      <c r="D15" s="714">
        <v>9.5</v>
      </c>
    </row>
    <row r="16" spans="1:4" ht="15" customHeight="1">
      <c r="A16" s="195" t="s">
        <v>755</v>
      </c>
      <c r="B16" s="196">
        <v>53.5</v>
      </c>
      <c r="C16" s="209">
        <v>0</v>
      </c>
      <c r="D16" s="715">
        <v>0</v>
      </c>
    </row>
    <row r="17" spans="1:4" ht="15" customHeight="1">
      <c r="A17" s="193" t="s">
        <v>754</v>
      </c>
      <c r="B17" s="194">
        <v>8</v>
      </c>
      <c r="C17" s="724">
        <v>8</v>
      </c>
      <c r="D17" s="714">
        <v>8</v>
      </c>
    </row>
    <row r="18" spans="1:4" ht="15" customHeight="1">
      <c r="A18" s="1165" t="s">
        <v>890</v>
      </c>
      <c r="B18" s="1164"/>
      <c r="C18" s="724"/>
      <c r="D18" s="714">
        <v>19</v>
      </c>
    </row>
    <row r="19" spans="1:4" ht="15" customHeight="1">
      <c r="A19" s="197" t="s">
        <v>1082</v>
      </c>
      <c r="B19" s="625">
        <v>37</v>
      </c>
      <c r="C19" s="725">
        <v>37</v>
      </c>
      <c r="D19" s="716">
        <v>37</v>
      </c>
    </row>
    <row r="20" spans="1:4" ht="15" customHeight="1">
      <c r="A20" s="198" t="s">
        <v>1089</v>
      </c>
      <c r="B20" s="199">
        <f>SUM(B7:B19)</f>
        <v>238.75</v>
      </c>
      <c r="C20" s="726">
        <f>SUM(C7:C19)</f>
        <v>192.25</v>
      </c>
      <c r="D20" s="717">
        <f>SUM(D7:D19)</f>
        <v>211.25</v>
      </c>
    </row>
    <row r="21" spans="1:4" ht="15" customHeight="1">
      <c r="A21" s="198"/>
      <c r="B21" s="199"/>
      <c r="C21" s="726"/>
      <c r="D21" s="717"/>
    </row>
    <row r="22" spans="1:4" ht="15" customHeight="1">
      <c r="A22" s="618" t="s">
        <v>710</v>
      </c>
      <c r="B22" s="619">
        <v>66</v>
      </c>
      <c r="C22" s="726"/>
      <c r="D22" s="717"/>
    </row>
    <row r="23" spans="1:4" ht="15" customHeight="1">
      <c r="A23" s="193"/>
      <c r="B23" s="194"/>
      <c r="C23" s="727"/>
      <c r="D23" s="718"/>
    </row>
    <row r="24" spans="1:4" ht="15" customHeight="1">
      <c r="A24" s="618" t="s">
        <v>535</v>
      </c>
      <c r="B24" s="194"/>
      <c r="C24" s="724"/>
      <c r="D24" s="714"/>
    </row>
    <row r="25" spans="1:4" ht="15" customHeight="1">
      <c r="A25" s="210" t="s">
        <v>156</v>
      </c>
      <c r="B25" s="622"/>
      <c r="C25" s="209">
        <v>66</v>
      </c>
      <c r="D25" s="715">
        <v>66</v>
      </c>
    </row>
    <row r="26" spans="1:4" ht="15" customHeight="1">
      <c r="A26" s="210" t="s">
        <v>3</v>
      </c>
      <c r="B26" s="196"/>
      <c r="C26" s="209">
        <v>5</v>
      </c>
      <c r="D26" s="715">
        <v>5</v>
      </c>
    </row>
    <row r="27" spans="1:4" ht="15" customHeight="1">
      <c r="A27" s="210" t="s">
        <v>4</v>
      </c>
      <c r="B27" s="196"/>
      <c r="C27" s="209">
        <v>3</v>
      </c>
      <c r="D27" s="715">
        <v>3</v>
      </c>
    </row>
    <row r="28" spans="1:4" ht="15" customHeight="1">
      <c r="A28" s="210" t="s">
        <v>5</v>
      </c>
      <c r="B28" s="196"/>
      <c r="C28" s="209">
        <v>6</v>
      </c>
      <c r="D28" s="715">
        <v>6</v>
      </c>
    </row>
    <row r="29" spans="1:4" ht="15" customHeight="1">
      <c r="A29" s="193" t="s">
        <v>509</v>
      </c>
      <c r="B29" s="200"/>
      <c r="C29" s="209">
        <v>3</v>
      </c>
      <c r="D29" s="715">
        <v>3</v>
      </c>
    </row>
    <row r="30" spans="1:4" ht="15" customHeight="1">
      <c r="A30" s="618" t="s">
        <v>709</v>
      </c>
      <c r="B30" s="620">
        <f>SUM(B25:B28)</f>
        <v>0</v>
      </c>
      <c r="C30" s="621">
        <f>SUM(C25:C29)</f>
        <v>83</v>
      </c>
      <c r="D30" s="719">
        <f>SUM(D25:D29)</f>
        <v>83</v>
      </c>
    </row>
    <row r="31" spans="1:4" ht="15" customHeight="1">
      <c r="A31" s="618"/>
      <c r="B31" s="200"/>
      <c r="C31" s="727"/>
      <c r="D31" s="718"/>
    </row>
    <row r="32" spans="1:4" ht="15" customHeight="1">
      <c r="A32" s="618" t="s">
        <v>711</v>
      </c>
      <c r="B32" s="619">
        <v>3</v>
      </c>
      <c r="C32" s="1054">
        <v>3</v>
      </c>
      <c r="D32" s="901">
        <v>3</v>
      </c>
    </row>
    <row r="33" spans="1:4" ht="15" customHeight="1">
      <c r="A33" s="198"/>
      <c r="B33" s="199"/>
      <c r="C33" s="726"/>
      <c r="D33" s="717"/>
    </row>
    <row r="34" spans="1:4" s="201" customFormat="1" ht="15" customHeight="1">
      <c r="A34" s="618" t="s">
        <v>712</v>
      </c>
      <c r="B34" s="199">
        <v>3</v>
      </c>
      <c r="C34" s="1055">
        <v>5</v>
      </c>
      <c r="D34" s="902">
        <v>5</v>
      </c>
    </row>
    <row r="35" spans="1:4" ht="15" customHeight="1" thickBot="1">
      <c r="A35" s="623"/>
      <c r="B35" s="200"/>
      <c r="C35" s="728"/>
      <c r="D35" s="720"/>
    </row>
    <row r="36" spans="1:4" ht="15" customHeight="1" thickBot="1">
      <c r="A36" s="624" t="s">
        <v>689</v>
      </c>
      <c r="B36" s="478">
        <f>SUM(B20+B22+B30+B32+B34)</f>
        <v>310.75</v>
      </c>
      <c r="C36" s="729">
        <f>SUM(C20+C22+C30+C32+C34)</f>
        <v>283.25</v>
      </c>
      <c r="D36" s="721">
        <f>SUM(D20+D22+D30+D32+D34)</f>
        <v>302.25</v>
      </c>
    </row>
    <row r="37" spans="1:2" ht="18.75">
      <c r="A37" s="202"/>
      <c r="B37" s="203"/>
    </row>
    <row r="38" ht="15.75">
      <c r="A38" s="204"/>
    </row>
    <row r="39" spans="1:4" ht="12.75">
      <c r="A39" s="1377" t="s">
        <v>0</v>
      </c>
      <c r="B39" s="1377"/>
      <c r="C39" s="1377"/>
      <c r="D39" s="1377"/>
    </row>
    <row r="40" ht="13.5" thickBot="1"/>
    <row r="41" spans="1:4" ht="25.5">
      <c r="A41" s="1374" t="s">
        <v>774</v>
      </c>
      <c r="B41" s="741" t="s">
        <v>1</v>
      </c>
      <c r="C41" s="722" t="s">
        <v>1078</v>
      </c>
      <c r="D41" s="712" t="s">
        <v>1078</v>
      </c>
    </row>
    <row r="42" spans="1:4" ht="13.5" thickBot="1">
      <c r="A42" s="1375"/>
      <c r="B42" s="742" t="s">
        <v>539</v>
      </c>
      <c r="C42" s="723" t="s">
        <v>915</v>
      </c>
      <c r="D42" s="713" t="s">
        <v>741</v>
      </c>
    </row>
    <row r="43" spans="1:4" ht="12.75">
      <c r="A43" s="205" t="s">
        <v>424</v>
      </c>
      <c r="B43" s="743">
        <v>50</v>
      </c>
      <c r="C43" s="1052">
        <v>46</v>
      </c>
      <c r="D43" s="900">
        <v>58</v>
      </c>
    </row>
    <row r="44" spans="1:4" ht="13.5" thickBot="1">
      <c r="A44" s="206" t="s">
        <v>508</v>
      </c>
      <c r="B44" s="744"/>
      <c r="C44" s="1053">
        <v>29</v>
      </c>
      <c r="D44" s="903">
        <v>28</v>
      </c>
    </row>
    <row r="45" spans="1:4" s="208" customFormat="1" ht="13.5" thickBot="1">
      <c r="A45" s="207" t="s">
        <v>1014</v>
      </c>
      <c r="B45" s="745">
        <f>SUM(B43:B44)</f>
        <v>50</v>
      </c>
      <c r="C45" s="745">
        <f>SUM(C43:C44)</f>
        <v>75</v>
      </c>
      <c r="D45" s="740">
        <f>SUM(D43:D44)</f>
        <v>86</v>
      </c>
    </row>
    <row r="47" ht="12.75">
      <c r="A47" s="1411" t="s">
        <v>271</v>
      </c>
    </row>
    <row r="48" ht="12.75">
      <c r="A48" s="8" t="s">
        <v>272</v>
      </c>
    </row>
    <row r="49" ht="12.75">
      <c r="A49" s="8" t="s">
        <v>273</v>
      </c>
    </row>
    <row r="50" ht="12.75">
      <c r="A50" s="8" t="s">
        <v>274</v>
      </c>
    </row>
    <row r="51" ht="12.75">
      <c r="A51" s="8" t="s">
        <v>275</v>
      </c>
    </row>
  </sheetData>
  <mergeCells count="4">
    <mergeCell ref="A5:A6"/>
    <mergeCell ref="A41:A42"/>
    <mergeCell ref="A3:D3"/>
    <mergeCell ref="A39:D39"/>
  </mergeCells>
  <printOptions horizontalCentered="1"/>
  <pageMargins left="0.15748031496062992" right="0.15748031496062992" top="0.76" bottom="0.47" header="0.39" footer="0.5118110236220472"/>
  <pageSetup horizontalDpi="600" verticalDpi="600" orientation="portrait" paperSize="9" r:id="rId1"/>
  <headerFooter alignWithMargins="0">
    <oddHeader>&amp;L&amp;8 13. melléklet a 2/2014.(II.27.) önkormányzati rendelethez
"13. melléklet az 1/2013.(II.01.) önkormányzati rendelethez"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93"/>
  <sheetViews>
    <sheetView workbookViewId="0" topLeftCell="A67">
      <selection activeCell="F27" sqref="F27"/>
    </sheetView>
  </sheetViews>
  <sheetFormatPr defaultColWidth="9.00390625" defaultRowHeight="12.75"/>
  <cols>
    <col min="1" max="1" width="5.375" style="1432" customWidth="1"/>
    <col min="2" max="2" width="11.75390625" style="1432" customWidth="1"/>
    <col min="3" max="3" width="15.875" style="1432" customWidth="1"/>
    <col min="4" max="4" width="14.25390625" style="1432" customWidth="1"/>
    <col min="5" max="5" width="11.75390625" style="1432" customWidth="1"/>
    <col min="6" max="6" width="14.625" style="1432" customWidth="1"/>
    <col min="7" max="7" width="10.375" style="1431" customWidth="1"/>
    <col min="8" max="38" width="9.125" style="1431" customWidth="1"/>
    <col min="39" max="39" width="9.125" style="1432" customWidth="1"/>
    <col min="40" max="16384" width="9.125" style="1431" customWidth="1"/>
  </cols>
  <sheetData>
    <row r="1" spans="1:6" ht="12.75">
      <c r="A1" s="1430" t="s">
        <v>276</v>
      </c>
      <c r="B1" s="1430"/>
      <c r="C1" s="1430"/>
      <c r="D1" s="1430"/>
      <c r="E1" s="1430"/>
      <c r="F1" s="1430"/>
    </row>
    <row r="2" spans="1:6" ht="12.75">
      <c r="A2" s="1433"/>
      <c r="B2" s="1433"/>
      <c r="C2" s="1433"/>
      <c r="D2" s="1433"/>
      <c r="E2" s="1433"/>
      <c r="F2" s="1433"/>
    </row>
    <row r="3" spans="1:7" ht="12.75">
      <c r="A3" s="1434" t="s">
        <v>277</v>
      </c>
      <c r="B3" s="1434"/>
      <c r="C3" s="1434"/>
      <c r="D3" s="1434"/>
      <c r="E3" s="1434"/>
      <c r="F3" s="1434"/>
      <c r="G3" s="1435"/>
    </row>
    <row r="4" spans="1:6" ht="12.75">
      <c r="A4" s="1434" t="s">
        <v>278</v>
      </c>
      <c r="B4" s="1434"/>
      <c r="C4" s="1434"/>
      <c r="D4" s="1434"/>
      <c r="E4" s="1434"/>
      <c r="F4" s="1434"/>
    </row>
    <row r="5" spans="1:6" ht="12.75" customHeight="1" thickBot="1">
      <c r="A5" s="1436"/>
      <c r="B5" s="1436"/>
      <c r="C5" s="1436"/>
      <c r="D5" s="1436"/>
      <c r="E5" s="1436"/>
      <c r="F5" s="1437"/>
    </row>
    <row r="6" spans="1:6" ht="16.5" customHeight="1" thickBot="1" thickTop="1">
      <c r="A6" s="1438" t="s">
        <v>774</v>
      </c>
      <c r="B6" s="1438"/>
      <c r="C6" s="1439" t="s">
        <v>532</v>
      </c>
      <c r="D6" s="1439"/>
      <c r="E6" s="1439"/>
      <c r="F6" s="1440" t="s">
        <v>756</v>
      </c>
    </row>
    <row r="7" spans="1:6" ht="16.5" customHeight="1" thickBot="1" thickTop="1">
      <c r="A7" s="1438"/>
      <c r="B7" s="1438"/>
      <c r="C7" s="1441" t="s">
        <v>279</v>
      </c>
      <c r="D7" s="1441" t="s">
        <v>280</v>
      </c>
      <c r="E7" s="1441"/>
      <c r="F7" s="1440"/>
    </row>
    <row r="8" spans="1:39" s="1442" customFormat="1" ht="47.25" customHeight="1" thickBot="1" thickTop="1">
      <c r="A8" s="1438"/>
      <c r="B8" s="1438"/>
      <c r="C8" s="1441"/>
      <c r="D8" s="1441" t="s">
        <v>281</v>
      </c>
      <c r="E8" s="1441" t="s">
        <v>282</v>
      </c>
      <c r="F8" s="1440"/>
      <c r="AM8" s="1433"/>
    </row>
    <row r="9" spans="1:39" s="1442" customFormat="1" ht="17.25" customHeight="1" thickBot="1" thickTop="1">
      <c r="A9" s="1438"/>
      <c r="B9" s="1438"/>
      <c r="C9" s="1441"/>
      <c r="D9" s="1441"/>
      <c r="E9" s="1441"/>
      <c r="F9" s="1440"/>
      <c r="AM9" s="1433"/>
    </row>
    <row r="10" spans="1:39" s="1442" customFormat="1" ht="12.75" customHeight="1" thickBot="1" thickTop="1">
      <c r="A10" s="1438"/>
      <c r="B10" s="1438"/>
      <c r="C10" s="1441"/>
      <c r="D10" s="1441"/>
      <c r="E10" s="1441"/>
      <c r="F10" s="1440"/>
      <c r="AM10" s="1433"/>
    </row>
    <row r="11" spans="1:39" s="1442" customFormat="1" ht="21.75" customHeight="1" thickTop="1">
      <c r="A11" s="1438"/>
      <c r="B11" s="1438"/>
      <c r="C11" s="1441"/>
      <c r="D11" s="1441"/>
      <c r="E11" s="1441"/>
      <c r="F11" s="1440"/>
      <c r="AM11" s="1433"/>
    </row>
    <row r="12" spans="1:39" s="1446" customFormat="1" ht="12.75">
      <c r="A12" s="1443" t="s">
        <v>283</v>
      </c>
      <c r="B12" s="1443"/>
      <c r="C12" s="1444">
        <v>5211960</v>
      </c>
      <c r="D12" s="1444">
        <v>61856</v>
      </c>
      <c r="E12" s="1444">
        <v>668</v>
      </c>
      <c r="F12" s="1445">
        <v>5274484</v>
      </c>
      <c r="AM12" s="1447"/>
    </row>
    <row r="13" spans="1:39" s="1446" customFormat="1" ht="12.75">
      <c r="A13" s="1448"/>
      <c r="B13" s="1449" t="s">
        <v>284</v>
      </c>
      <c r="C13" s="1444">
        <v>106367</v>
      </c>
      <c r="D13" s="1444">
        <v>16504</v>
      </c>
      <c r="E13" s="1444">
        <v>668</v>
      </c>
      <c r="F13" s="1445">
        <v>123539</v>
      </c>
      <c r="AM13" s="1447"/>
    </row>
    <row r="14" spans="1:39" s="1446" customFormat="1" ht="13.5" thickBot="1">
      <c r="A14" s="1450"/>
      <c r="B14" s="1451" t="s">
        <v>285</v>
      </c>
      <c r="C14" s="1452">
        <v>52120</v>
      </c>
      <c r="D14" s="1452">
        <v>72</v>
      </c>
      <c r="E14" s="1452">
        <v>21</v>
      </c>
      <c r="F14" s="1453">
        <f>SUM(C14:E14)</f>
        <v>52213</v>
      </c>
      <c r="AM14" s="1447"/>
    </row>
    <row r="15" spans="1:39" s="1446" customFormat="1" ht="12.75">
      <c r="A15" s="1454" t="s">
        <v>286</v>
      </c>
      <c r="B15" s="1454"/>
      <c r="C15" s="1455">
        <v>5105593</v>
      </c>
      <c r="D15" s="1455">
        <v>45352</v>
      </c>
      <c r="E15" s="1455"/>
      <c r="F15" s="1456">
        <v>5150945</v>
      </c>
      <c r="AM15" s="1447"/>
    </row>
    <row r="16" spans="1:39" s="1446" customFormat="1" ht="12.75">
      <c r="A16" s="1448"/>
      <c r="B16" s="1449" t="s">
        <v>284</v>
      </c>
      <c r="C16" s="1444">
        <v>127640</v>
      </c>
      <c r="D16" s="1444">
        <v>16504</v>
      </c>
      <c r="E16" s="1444"/>
      <c r="F16" s="1445">
        <f>SUM(C16:E16)</f>
        <v>144144</v>
      </c>
      <c r="AM16" s="1447"/>
    </row>
    <row r="17" spans="1:39" s="1446" customFormat="1" ht="13.5" thickBot="1">
      <c r="A17" s="1450"/>
      <c r="B17" s="1451" t="s">
        <v>285</v>
      </c>
      <c r="C17" s="1452">
        <v>51056</v>
      </c>
      <c r="D17" s="1452">
        <v>53</v>
      </c>
      <c r="E17" s="1452"/>
      <c r="F17" s="1453">
        <v>51109</v>
      </c>
      <c r="AM17" s="1447"/>
    </row>
    <row r="18" spans="1:39" s="1446" customFormat="1" ht="12.75">
      <c r="A18" s="1454" t="s">
        <v>287</v>
      </c>
      <c r="B18" s="1454"/>
      <c r="C18" s="1455">
        <v>4977953</v>
      </c>
      <c r="D18" s="1455">
        <v>28848</v>
      </c>
      <c r="E18" s="1455"/>
      <c r="F18" s="1456">
        <f aca="true" t="shared" si="0" ref="F18:F68">SUM(C18:E18)</f>
        <v>5006801</v>
      </c>
      <c r="AM18" s="1447"/>
    </row>
    <row r="19" spans="1:39" s="1446" customFormat="1" ht="12.75">
      <c r="A19" s="1448"/>
      <c r="B19" s="1449" t="s">
        <v>284</v>
      </c>
      <c r="C19" s="1444">
        <v>138277</v>
      </c>
      <c r="D19" s="1444">
        <v>16504</v>
      </c>
      <c r="E19" s="1444"/>
      <c r="F19" s="1445">
        <f t="shared" si="0"/>
        <v>154781</v>
      </c>
      <c r="AM19" s="1447"/>
    </row>
    <row r="20" spans="1:39" s="1446" customFormat="1" ht="13.5" thickBot="1">
      <c r="A20" s="1457"/>
      <c r="B20" s="1451" t="s">
        <v>285</v>
      </c>
      <c r="C20" s="1452">
        <v>49780</v>
      </c>
      <c r="D20" s="1452">
        <v>33</v>
      </c>
      <c r="E20" s="1452"/>
      <c r="F20" s="1453">
        <f t="shared" si="0"/>
        <v>49813</v>
      </c>
      <c r="AM20" s="1447"/>
    </row>
    <row r="21" spans="1:39" s="1446" customFormat="1" ht="12.75">
      <c r="A21" s="1454" t="s">
        <v>288</v>
      </c>
      <c r="B21" s="1454"/>
      <c r="C21" s="1455">
        <v>4839676</v>
      </c>
      <c r="D21" s="1455">
        <v>12344</v>
      </c>
      <c r="E21" s="1455"/>
      <c r="F21" s="1456">
        <f t="shared" si="0"/>
        <v>4852020</v>
      </c>
      <c r="AM21" s="1447"/>
    </row>
    <row r="22" spans="1:39" s="1446" customFormat="1" ht="12.75">
      <c r="A22" s="1458"/>
      <c r="B22" s="1449" t="s">
        <v>284</v>
      </c>
      <c r="C22" s="1444">
        <v>159550</v>
      </c>
      <c r="D22" s="1444">
        <v>12344</v>
      </c>
      <c r="E22" s="1444"/>
      <c r="F22" s="1445">
        <f t="shared" si="0"/>
        <v>171894</v>
      </c>
      <c r="AM22" s="1447"/>
    </row>
    <row r="23" spans="1:6" ht="13.5" thickBot="1">
      <c r="A23" s="1457"/>
      <c r="B23" s="1451" t="s">
        <v>285</v>
      </c>
      <c r="C23" s="1452">
        <v>48397</v>
      </c>
      <c r="D23" s="1452">
        <v>14</v>
      </c>
      <c r="E23" s="1452"/>
      <c r="F23" s="1453">
        <f t="shared" si="0"/>
        <v>48411</v>
      </c>
    </row>
    <row r="24" spans="1:6" ht="12.75">
      <c r="A24" s="1454" t="s">
        <v>289</v>
      </c>
      <c r="B24" s="1454"/>
      <c r="C24" s="1455">
        <v>4680126</v>
      </c>
      <c r="D24" s="1455"/>
      <c r="E24" s="1455"/>
      <c r="F24" s="1456">
        <f t="shared" si="0"/>
        <v>4680126</v>
      </c>
    </row>
    <row r="25" spans="1:6" ht="12.75">
      <c r="A25" s="1458"/>
      <c r="B25" s="1449" t="s">
        <v>284</v>
      </c>
      <c r="C25" s="1444">
        <v>180823</v>
      </c>
      <c r="D25" s="1444"/>
      <c r="E25" s="1444"/>
      <c r="F25" s="1445">
        <f t="shared" si="0"/>
        <v>180823</v>
      </c>
    </row>
    <row r="26" spans="1:6" ht="13.5" thickBot="1">
      <c r="A26" s="1457"/>
      <c r="B26" s="1451" t="s">
        <v>285</v>
      </c>
      <c r="C26" s="1452">
        <v>46801</v>
      </c>
      <c r="D26" s="1452"/>
      <c r="E26" s="1452"/>
      <c r="F26" s="1453">
        <f t="shared" si="0"/>
        <v>46801</v>
      </c>
    </row>
    <row r="27" spans="1:6" ht="12.75">
      <c r="A27" s="1454" t="s">
        <v>290</v>
      </c>
      <c r="B27" s="1454"/>
      <c r="C27" s="1455">
        <v>4499303</v>
      </c>
      <c r="D27" s="1455"/>
      <c r="E27" s="1455"/>
      <c r="F27" s="1456">
        <f t="shared" si="0"/>
        <v>4499303</v>
      </c>
    </row>
    <row r="28" spans="1:6" ht="12.75">
      <c r="A28" s="1458"/>
      <c r="B28" s="1449" t="s">
        <v>284</v>
      </c>
      <c r="C28" s="1444">
        <v>191460</v>
      </c>
      <c r="D28" s="1444"/>
      <c r="E28" s="1444"/>
      <c r="F28" s="1445">
        <f t="shared" si="0"/>
        <v>191460</v>
      </c>
    </row>
    <row r="29" spans="1:6" ht="13.5" thickBot="1">
      <c r="A29" s="1457"/>
      <c r="B29" s="1451" t="s">
        <v>285</v>
      </c>
      <c r="C29" s="1452">
        <v>44993</v>
      </c>
      <c r="D29" s="1452"/>
      <c r="E29" s="1452"/>
      <c r="F29" s="1453">
        <f t="shared" si="0"/>
        <v>44993</v>
      </c>
    </row>
    <row r="30" spans="1:6" ht="12.75">
      <c r="A30" s="1454" t="s">
        <v>291</v>
      </c>
      <c r="B30" s="1454"/>
      <c r="C30" s="1455">
        <v>4307843</v>
      </c>
      <c r="D30" s="1455"/>
      <c r="E30" s="1455"/>
      <c r="F30" s="1456">
        <f t="shared" si="0"/>
        <v>4307843</v>
      </c>
    </row>
    <row r="31" spans="1:6" ht="12.75">
      <c r="A31" s="1458"/>
      <c r="B31" s="1449" t="s">
        <v>284</v>
      </c>
      <c r="C31" s="1444">
        <v>202096</v>
      </c>
      <c r="D31" s="1444"/>
      <c r="E31" s="1444"/>
      <c r="F31" s="1445">
        <f t="shared" si="0"/>
        <v>202096</v>
      </c>
    </row>
    <row r="32" spans="1:6" ht="13.5" thickBot="1">
      <c r="A32" s="1457"/>
      <c r="B32" s="1451" t="s">
        <v>285</v>
      </c>
      <c r="C32" s="1452">
        <v>43078</v>
      </c>
      <c r="D32" s="1452"/>
      <c r="E32" s="1452"/>
      <c r="F32" s="1453">
        <f t="shared" si="0"/>
        <v>43078</v>
      </c>
    </row>
    <row r="33" spans="1:6" ht="12.75">
      <c r="A33" s="1454" t="s">
        <v>292</v>
      </c>
      <c r="B33" s="1454"/>
      <c r="C33" s="1455">
        <v>4105747</v>
      </c>
      <c r="D33" s="1455"/>
      <c r="E33" s="1455"/>
      <c r="F33" s="1456">
        <f t="shared" si="0"/>
        <v>4105747</v>
      </c>
    </row>
    <row r="34" spans="1:6" ht="12.75">
      <c r="A34" s="1458"/>
      <c r="B34" s="1449" t="s">
        <v>284</v>
      </c>
      <c r="C34" s="1444">
        <v>212733</v>
      </c>
      <c r="D34" s="1444"/>
      <c r="E34" s="1444"/>
      <c r="F34" s="1445">
        <f t="shared" si="0"/>
        <v>212733</v>
      </c>
    </row>
    <row r="35" spans="1:6" ht="13.5" thickBot="1">
      <c r="A35" s="1457"/>
      <c r="B35" s="1451" t="s">
        <v>285</v>
      </c>
      <c r="C35" s="1452">
        <v>41057</v>
      </c>
      <c r="D35" s="1452"/>
      <c r="E35" s="1452"/>
      <c r="F35" s="1453">
        <f t="shared" si="0"/>
        <v>41057</v>
      </c>
    </row>
    <row r="36" spans="1:6" ht="12.75">
      <c r="A36" s="1454" t="s">
        <v>293</v>
      </c>
      <c r="B36" s="1454"/>
      <c r="C36" s="1455">
        <v>3893014</v>
      </c>
      <c r="D36" s="1455"/>
      <c r="E36" s="1455"/>
      <c r="F36" s="1456">
        <f t="shared" si="0"/>
        <v>3893014</v>
      </c>
    </row>
    <row r="37" spans="1:6" ht="12.75">
      <c r="A37" s="1458"/>
      <c r="B37" s="1449" t="s">
        <v>284</v>
      </c>
      <c r="C37" s="1444">
        <v>234006</v>
      </c>
      <c r="D37" s="1444"/>
      <c r="E37" s="1444"/>
      <c r="F37" s="1445">
        <f t="shared" si="0"/>
        <v>234006</v>
      </c>
    </row>
    <row r="38" spans="1:6" ht="13.5" thickBot="1">
      <c r="A38" s="1457"/>
      <c r="B38" s="1451" t="s">
        <v>285</v>
      </c>
      <c r="C38" s="1452">
        <v>38930</v>
      </c>
      <c r="D38" s="1452"/>
      <c r="E38" s="1452"/>
      <c r="F38" s="1453">
        <f t="shared" si="0"/>
        <v>38930</v>
      </c>
    </row>
    <row r="39" spans="1:6" ht="12.75">
      <c r="A39" s="1454" t="s">
        <v>294</v>
      </c>
      <c r="B39" s="1454"/>
      <c r="C39" s="1455">
        <v>3659008</v>
      </c>
      <c r="D39" s="1455"/>
      <c r="E39" s="1455"/>
      <c r="F39" s="1456">
        <f t="shared" si="0"/>
        <v>3659008</v>
      </c>
    </row>
    <row r="40" spans="1:6" ht="12.75">
      <c r="A40" s="1458"/>
      <c r="B40" s="1449" t="s">
        <v>284</v>
      </c>
      <c r="C40" s="1444">
        <v>244643</v>
      </c>
      <c r="D40" s="1444"/>
      <c r="E40" s="1444"/>
      <c r="F40" s="1445">
        <f t="shared" si="0"/>
        <v>244643</v>
      </c>
    </row>
    <row r="41" spans="1:6" ht="13.5" thickBot="1">
      <c r="A41" s="1457"/>
      <c r="B41" s="1451" t="s">
        <v>285</v>
      </c>
      <c r="C41" s="1452">
        <v>36590</v>
      </c>
      <c r="D41" s="1452"/>
      <c r="E41" s="1452"/>
      <c r="F41" s="1453">
        <f t="shared" si="0"/>
        <v>36590</v>
      </c>
    </row>
    <row r="42" spans="1:6" ht="12.75">
      <c r="A42" s="1454" t="s">
        <v>295</v>
      </c>
      <c r="B42" s="1454"/>
      <c r="C42" s="1455">
        <v>3414365</v>
      </c>
      <c r="D42" s="1455"/>
      <c r="E42" s="1455"/>
      <c r="F42" s="1456">
        <f t="shared" si="0"/>
        <v>3414365</v>
      </c>
    </row>
    <row r="43" spans="1:6" ht="12.75">
      <c r="A43" s="1458"/>
      <c r="B43" s="1449" t="s">
        <v>284</v>
      </c>
      <c r="C43" s="1444">
        <v>255280</v>
      </c>
      <c r="D43" s="1444"/>
      <c r="E43" s="1444"/>
      <c r="F43" s="1445">
        <f t="shared" si="0"/>
        <v>255280</v>
      </c>
    </row>
    <row r="44" spans="1:6" ht="13.5" thickBot="1">
      <c r="A44" s="1457"/>
      <c r="B44" s="1451" t="s">
        <v>285</v>
      </c>
      <c r="C44" s="1452">
        <v>34144</v>
      </c>
      <c r="D44" s="1452"/>
      <c r="E44" s="1452"/>
      <c r="F44" s="1453">
        <f t="shared" si="0"/>
        <v>34144</v>
      </c>
    </row>
    <row r="45" spans="1:6" ht="12.75">
      <c r="A45" s="1454" t="s">
        <v>296</v>
      </c>
      <c r="B45" s="1454"/>
      <c r="C45" s="1455">
        <v>3159085</v>
      </c>
      <c r="D45" s="1455"/>
      <c r="E45" s="1455"/>
      <c r="F45" s="1456">
        <f t="shared" si="0"/>
        <v>3159085</v>
      </c>
    </row>
    <row r="46" spans="1:6" ht="12.75">
      <c r="A46" s="1458"/>
      <c r="B46" s="1449" t="s">
        <v>284</v>
      </c>
      <c r="C46" s="1444">
        <v>265916</v>
      </c>
      <c r="D46" s="1444"/>
      <c r="E46" s="1444"/>
      <c r="F46" s="1445">
        <f t="shared" si="0"/>
        <v>265916</v>
      </c>
    </row>
    <row r="47" spans="1:6" ht="13.5" thickBot="1">
      <c r="A47" s="1457"/>
      <c r="B47" s="1451" t="s">
        <v>285</v>
      </c>
      <c r="C47" s="1452">
        <v>31591</v>
      </c>
      <c r="D47" s="1452"/>
      <c r="E47" s="1452"/>
      <c r="F47" s="1453">
        <f t="shared" si="0"/>
        <v>31591</v>
      </c>
    </row>
    <row r="48" spans="1:6" ht="12.75">
      <c r="A48" s="1454" t="s">
        <v>297</v>
      </c>
      <c r="B48" s="1454"/>
      <c r="C48" s="1455">
        <v>2893169</v>
      </c>
      <c r="D48" s="1455"/>
      <c r="E48" s="1455"/>
      <c r="F48" s="1456">
        <f t="shared" si="0"/>
        <v>2893169</v>
      </c>
    </row>
    <row r="49" spans="1:6" ht="12.75">
      <c r="A49" s="1458"/>
      <c r="B49" s="1449" t="s">
        <v>284</v>
      </c>
      <c r="C49" s="1444">
        <v>329736</v>
      </c>
      <c r="D49" s="1444"/>
      <c r="E49" s="1444"/>
      <c r="F49" s="1445">
        <f t="shared" si="0"/>
        <v>329736</v>
      </c>
    </row>
    <row r="50" spans="1:6" ht="13.5" thickBot="1">
      <c r="A50" s="1457"/>
      <c r="B50" s="1451" t="s">
        <v>285</v>
      </c>
      <c r="C50" s="1452">
        <v>28932</v>
      </c>
      <c r="D50" s="1452"/>
      <c r="E50" s="1452"/>
      <c r="F50" s="1453">
        <f t="shared" si="0"/>
        <v>28932</v>
      </c>
    </row>
    <row r="51" spans="1:6" ht="12.75">
      <c r="A51" s="1454" t="s">
        <v>298</v>
      </c>
      <c r="B51" s="1454"/>
      <c r="C51" s="1455">
        <v>2563433</v>
      </c>
      <c r="D51" s="1455"/>
      <c r="E51" s="1455"/>
      <c r="F51" s="1456">
        <f t="shared" si="0"/>
        <v>2563433</v>
      </c>
    </row>
    <row r="52" spans="1:6" ht="12.75">
      <c r="A52" s="1458"/>
      <c r="B52" s="1449" t="s">
        <v>284</v>
      </c>
      <c r="C52" s="1444">
        <v>351010</v>
      </c>
      <c r="D52" s="1444"/>
      <c r="E52" s="1444"/>
      <c r="F52" s="1445">
        <f t="shared" si="0"/>
        <v>351010</v>
      </c>
    </row>
    <row r="53" spans="1:6" ht="13.5" thickBot="1">
      <c r="A53" s="1459"/>
      <c r="B53" s="1460" t="s">
        <v>285</v>
      </c>
      <c r="C53" s="1461">
        <v>25634</v>
      </c>
      <c r="D53" s="1461"/>
      <c r="E53" s="1461"/>
      <c r="F53" s="1462">
        <f t="shared" si="0"/>
        <v>25634</v>
      </c>
    </row>
    <row r="54" spans="1:6" ht="13.5" thickTop="1">
      <c r="A54" s="1463" t="s">
        <v>299</v>
      </c>
      <c r="B54" s="1463"/>
      <c r="C54" s="1464">
        <v>2212423</v>
      </c>
      <c r="D54" s="1464"/>
      <c r="E54" s="1464"/>
      <c r="F54" s="1465">
        <f t="shared" si="0"/>
        <v>2212423</v>
      </c>
    </row>
    <row r="55" spans="1:6" ht="12.75">
      <c r="A55" s="1458"/>
      <c r="B55" s="1449" t="s">
        <v>284</v>
      </c>
      <c r="C55" s="1444">
        <v>372283</v>
      </c>
      <c r="D55" s="1444"/>
      <c r="E55" s="1444"/>
      <c r="F55" s="1445">
        <f t="shared" si="0"/>
        <v>372283</v>
      </c>
    </row>
    <row r="56" spans="1:6" ht="13.5" thickBot="1">
      <c r="A56" s="1450"/>
      <c r="B56" s="1451" t="s">
        <v>285</v>
      </c>
      <c r="C56" s="1452">
        <v>22124</v>
      </c>
      <c r="D56" s="1451"/>
      <c r="E56" s="1451"/>
      <c r="F56" s="1453">
        <f t="shared" si="0"/>
        <v>22124</v>
      </c>
    </row>
    <row r="57" spans="1:6" ht="12.75">
      <c r="A57" s="1454" t="s">
        <v>300</v>
      </c>
      <c r="B57" s="1454"/>
      <c r="C57" s="1455">
        <v>1840140</v>
      </c>
      <c r="D57" s="1455"/>
      <c r="E57" s="1455"/>
      <c r="F57" s="1456">
        <f t="shared" si="0"/>
        <v>1840140</v>
      </c>
    </row>
    <row r="58" spans="1:6" ht="12.75">
      <c r="A58" s="1458"/>
      <c r="B58" s="1449" t="s">
        <v>284</v>
      </c>
      <c r="C58" s="1444">
        <v>393556</v>
      </c>
      <c r="D58" s="1444"/>
      <c r="E58" s="1444"/>
      <c r="F58" s="1445">
        <f t="shared" si="0"/>
        <v>393556</v>
      </c>
    </row>
    <row r="59" spans="1:6" ht="13.5" thickBot="1">
      <c r="A59" s="1450"/>
      <c r="B59" s="1451" t="s">
        <v>285</v>
      </c>
      <c r="C59" s="1452">
        <v>18401</v>
      </c>
      <c r="D59" s="1451"/>
      <c r="E59" s="1451"/>
      <c r="F59" s="1453">
        <f t="shared" si="0"/>
        <v>18401</v>
      </c>
    </row>
    <row r="60" spans="1:6" ht="12.75">
      <c r="A60" s="1454" t="s">
        <v>301</v>
      </c>
      <c r="B60" s="1454"/>
      <c r="C60" s="1455">
        <v>1446584</v>
      </c>
      <c r="D60" s="1455"/>
      <c r="E60" s="1455"/>
      <c r="F60" s="1456">
        <f t="shared" si="0"/>
        <v>1446584</v>
      </c>
    </row>
    <row r="61" spans="1:6" ht="12.75">
      <c r="A61" s="1458"/>
      <c r="B61" s="1449" t="s">
        <v>284</v>
      </c>
      <c r="C61" s="1444">
        <v>446739</v>
      </c>
      <c r="D61" s="1444"/>
      <c r="E61" s="1444"/>
      <c r="F61" s="1445">
        <f t="shared" si="0"/>
        <v>446739</v>
      </c>
    </row>
    <row r="62" spans="1:6" ht="13.5" thickBot="1">
      <c r="A62" s="1450"/>
      <c r="B62" s="1451" t="s">
        <v>285</v>
      </c>
      <c r="C62" s="1452">
        <v>14466</v>
      </c>
      <c r="D62" s="1451"/>
      <c r="E62" s="1451"/>
      <c r="F62" s="1453">
        <f t="shared" si="0"/>
        <v>14466</v>
      </c>
    </row>
    <row r="63" spans="1:6" ht="12.75">
      <c r="A63" s="1454" t="s">
        <v>302</v>
      </c>
      <c r="B63" s="1454"/>
      <c r="C63" s="1455">
        <v>999845</v>
      </c>
      <c r="D63" s="1455"/>
      <c r="E63" s="1455"/>
      <c r="F63" s="1456">
        <f t="shared" si="0"/>
        <v>999845</v>
      </c>
    </row>
    <row r="64" spans="1:6" ht="12.75">
      <c r="A64" s="1458"/>
      <c r="B64" s="1449" t="s">
        <v>284</v>
      </c>
      <c r="C64" s="1444">
        <v>468013</v>
      </c>
      <c r="D64" s="1444"/>
      <c r="E64" s="1444"/>
      <c r="F64" s="1445">
        <f t="shared" si="0"/>
        <v>468013</v>
      </c>
    </row>
    <row r="65" spans="1:6" ht="13.5" thickBot="1">
      <c r="A65" s="1450"/>
      <c r="B65" s="1451" t="s">
        <v>285</v>
      </c>
      <c r="C65" s="1452">
        <v>9998</v>
      </c>
      <c r="D65" s="1451"/>
      <c r="E65" s="1451"/>
      <c r="F65" s="1453">
        <f t="shared" si="0"/>
        <v>9998</v>
      </c>
    </row>
    <row r="66" spans="1:6" ht="12.75">
      <c r="A66" s="1454" t="s">
        <v>303</v>
      </c>
      <c r="B66" s="1454"/>
      <c r="C66" s="1455">
        <v>531832</v>
      </c>
      <c r="D66" s="1455"/>
      <c r="E66" s="1455"/>
      <c r="F66" s="1456">
        <f t="shared" si="0"/>
        <v>531832</v>
      </c>
    </row>
    <row r="67" spans="1:6" ht="12.75">
      <c r="A67" s="1458"/>
      <c r="B67" s="1449" t="s">
        <v>284</v>
      </c>
      <c r="C67" s="1444">
        <v>531832</v>
      </c>
      <c r="D67" s="1444"/>
      <c r="E67" s="1444"/>
      <c r="F67" s="1445">
        <f t="shared" si="0"/>
        <v>531832</v>
      </c>
    </row>
    <row r="68" spans="1:6" ht="13.5" thickBot="1">
      <c r="A68" s="1466"/>
      <c r="B68" s="1460" t="s">
        <v>285</v>
      </c>
      <c r="C68" s="1461">
        <v>5518</v>
      </c>
      <c r="D68" s="1460"/>
      <c r="E68" s="1460"/>
      <c r="F68" s="1462">
        <f t="shared" si="0"/>
        <v>5518</v>
      </c>
    </row>
    <row r="69" ht="13.5" thickTop="1"/>
    <row r="71" spans="1:7" ht="12.75">
      <c r="A71" s="1467" t="s">
        <v>304</v>
      </c>
      <c r="B71" s="1467"/>
      <c r="C71" s="1467"/>
      <c r="D71" s="1467"/>
      <c r="E71" s="1467"/>
      <c r="F71" s="1468"/>
      <c r="G71" s="1468"/>
    </row>
    <row r="72" ht="13.5" thickBot="1">
      <c r="G72" s="1432"/>
    </row>
    <row r="73" spans="1:6" ht="13.5" customHeight="1" thickTop="1">
      <c r="A73" s="1469" t="s">
        <v>774</v>
      </c>
      <c r="B73" s="1470"/>
      <c r="C73" s="1471" t="s">
        <v>532</v>
      </c>
      <c r="D73" s="1472"/>
      <c r="E73" s="1473"/>
      <c r="F73" s="1431"/>
    </row>
    <row r="74" spans="1:6" ht="12.75" customHeight="1">
      <c r="A74" s="1474"/>
      <c r="B74" s="1475"/>
      <c r="C74" s="1476" t="s">
        <v>305</v>
      </c>
      <c r="D74" s="1477"/>
      <c r="E74" s="1478"/>
      <c r="F74" s="1431"/>
    </row>
    <row r="75" spans="1:39" ht="12.75" customHeight="1">
      <c r="A75" s="1474"/>
      <c r="B75" s="1475"/>
      <c r="C75" s="1475" t="s">
        <v>306</v>
      </c>
      <c r="D75" s="1475" t="s">
        <v>307</v>
      </c>
      <c r="E75" s="1479" t="s">
        <v>756</v>
      </c>
      <c r="F75" s="1431"/>
      <c r="AK75" s="1432"/>
      <c r="AM75" s="1431"/>
    </row>
    <row r="76" spans="1:39" ht="12.75">
      <c r="A76" s="1474"/>
      <c r="B76" s="1475"/>
      <c r="C76" s="1475"/>
      <c r="D76" s="1475"/>
      <c r="E76" s="1480"/>
      <c r="F76" s="1431"/>
      <c r="AK76" s="1432"/>
      <c r="AM76" s="1431"/>
    </row>
    <row r="77" spans="1:39" ht="12.75">
      <c r="A77" s="1474"/>
      <c r="B77" s="1475"/>
      <c r="C77" s="1475"/>
      <c r="D77" s="1475"/>
      <c r="E77" s="1480"/>
      <c r="F77" s="1431"/>
      <c r="AK77" s="1432"/>
      <c r="AM77" s="1431"/>
    </row>
    <row r="78" spans="1:39" ht="13.5" thickBot="1">
      <c r="A78" s="1481"/>
      <c r="B78" s="1482"/>
      <c r="C78" s="1482"/>
      <c r="D78" s="1482"/>
      <c r="E78" s="1483"/>
      <c r="F78" s="1431"/>
      <c r="AK78" s="1432"/>
      <c r="AM78" s="1431"/>
    </row>
    <row r="79" spans="1:39" ht="12.75">
      <c r="A79" s="1484" t="s">
        <v>308</v>
      </c>
      <c r="B79" s="1485"/>
      <c r="C79" s="1486"/>
      <c r="D79" s="1487"/>
      <c r="E79" s="1488"/>
      <c r="F79" s="1431"/>
      <c r="AK79" s="1432"/>
      <c r="AM79" s="1431"/>
    </row>
    <row r="80" spans="1:39" ht="12.75">
      <c r="A80" s="1489"/>
      <c r="B80" s="1490" t="s">
        <v>284</v>
      </c>
      <c r="C80" s="1491">
        <v>20000</v>
      </c>
      <c r="D80" s="1492">
        <v>2850</v>
      </c>
      <c r="E80" s="1493">
        <f>SUM(C80:D80)</f>
        <v>22850</v>
      </c>
      <c r="F80" s="1431"/>
      <c r="AK80" s="1432"/>
      <c r="AM80" s="1431"/>
    </row>
    <row r="81" spans="1:39" ht="13.5" thickBot="1">
      <c r="A81" s="1494"/>
      <c r="B81" s="1495" t="s">
        <v>309</v>
      </c>
      <c r="C81" s="1496">
        <v>5000</v>
      </c>
      <c r="D81" s="1496">
        <v>196</v>
      </c>
      <c r="E81" s="1497">
        <f>SUM(C81:D81)</f>
        <v>5196</v>
      </c>
      <c r="F81" s="1431"/>
      <c r="AK81" s="1432"/>
      <c r="AM81" s="1431"/>
    </row>
    <row r="82" spans="1:39" ht="12.75">
      <c r="A82" s="1484" t="s">
        <v>310</v>
      </c>
      <c r="B82" s="1485"/>
      <c r="C82" s="1498"/>
      <c r="D82" s="1498"/>
      <c r="E82" s="1499"/>
      <c r="F82" s="1431"/>
      <c r="AK82" s="1432"/>
      <c r="AM82" s="1431"/>
    </row>
    <row r="83" spans="1:39" ht="12.75">
      <c r="A83" s="1489"/>
      <c r="B83" s="1490" t="s">
        <v>284</v>
      </c>
      <c r="C83" s="1500"/>
      <c r="D83" s="1500">
        <v>1425</v>
      </c>
      <c r="E83" s="1501">
        <f>SUM(D83)</f>
        <v>1425</v>
      </c>
      <c r="F83" s="1431"/>
      <c r="AK83" s="1432"/>
      <c r="AM83" s="1431"/>
    </row>
    <row r="84" spans="1:39" ht="13.5" thickBot="1">
      <c r="A84" s="1502"/>
      <c r="B84" s="1495" t="s">
        <v>309</v>
      </c>
      <c r="C84" s="1503"/>
      <c r="D84" s="1503">
        <v>98</v>
      </c>
      <c r="E84" s="1497">
        <f>SUM(D84)</f>
        <v>98</v>
      </c>
      <c r="F84" s="1431"/>
      <c r="AK84" s="1432"/>
      <c r="AM84" s="1431"/>
    </row>
    <row r="85" spans="1:39" ht="12.75">
      <c r="A85" s="1484" t="s">
        <v>311</v>
      </c>
      <c r="B85" s="1485"/>
      <c r="C85" s="1498"/>
      <c r="D85" s="1498"/>
      <c r="E85" s="1499"/>
      <c r="F85" s="1431"/>
      <c r="AK85" s="1432"/>
      <c r="AM85" s="1431"/>
    </row>
    <row r="86" spans="1:39" ht="12.75">
      <c r="A86" s="1504"/>
      <c r="B86" s="1490" t="s">
        <v>284</v>
      </c>
      <c r="C86" s="1500"/>
      <c r="D86" s="1500"/>
      <c r="E86" s="1501"/>
      <c r="F86" s="1431"/>
      <c r="AK86" s="1432"/>
      <c r="AM86" s="1431"/>
    </row>
    <row r="87" spans="1:39" ht="13.5" thickBot="1">
      <c r="A87" s="1502"/>
      <c r="B87" s="1505"/>
      <c r="C87" s="1503" t="s">
        <v>312</v>
      </c>
      <c r="D87" s="1503"/>
      <c r="E87" s="1497" t="s">
        <v>313</v>
      </c>
      <c r="F87" s="1431"/>
      <c r="AK87" s="1432"/>
      <c r="AM87" s="1431"/>
    </row>
    <row r="88" spans="1:39" ht="12.75">
      <c r="A88" s="1484" t="s">
        <v>314</v>
      </c>
      <c r="B88" s="1485"/>
      <c r="C88" s="1498"/>
      <c r="D88" s="1498"/>
      <c r="E88" s="1499"/>
      <c r="F88" s="1431"/>
      <c r="AK88" s="1432"/>
      <c r="AM88" s="1431"/>
    </row>
    <row r="89" spans="1:39" ht="12.75">
      <c r="A89" s="1504"/>
      <c r="B89" s="1490" t="s">
        <v>284</v>
      </c>
      <c r="C89" s="1500"/>
      <c r="D89" s="1500"/>
      <c r="E89" s="1501"/>
      <c r="F89" s="1431"/>
      <c r="AK89" s="1432"/>
      <c r="AM89" s="1431"/>
    </row>
    <row r="90" spans="1:39" ht="13.5" thickBot="1">
      <c r="A90" s="1502"/>
      <c r="B90" s="1505" t="s">
        <v>309</v>
      </c>
      <c r="C90" s="1503" t="s">
        <v>312</v>
      </c>
      <c r="D90" s="1503"/>
      <c r="E90" s="1497" t="s">
        <v>313</v>
      </c>
      <c r="F90" s="1431"/>
      <c r="AK90" s="1432"/>
      <c r="AM90" s="1431"/>
    </row>
    <row r="91" spans="1:39" ht="12.75">
      <c r="A91" s="1484" t="s">
        <v>315</v>
      </c>
      <c r="B91" s="1485"/>
      <c r="C91" s="1498"/>
      <c r="D91" s="1498"/>
      <c r="E91" s="1499"/>
      <c r="F91" s="1431"/>
      <c r="AK91" s="1432"/>
      <c r="AM91" s="1431"/>
    </row>
    <row r="92" spans="1:39" ht="12.75">
      <c r="A92" s="1504"/>
      <c r="B92" s="1490" t="s">
        <v>284</v>
      </c>
      <c r="C92" s="1500"/>
      <c r="D92" s="1500"/>
      <c r="E92" s="1501"/>
      <c r="AK92" s="1432"/>
      <c r="AM92" s="1431"/>
    </row>
    <row r="93" spans="1:39" ht="13.5" thickBot="1">
      <c r="A93" s="1506"/>
      <c r="B93" s="1507" t="s">
        <v>309</v>
      </c>
      <c r="C93" s="1508" t="s">
        <v>312</v>
      </c>
      <c r="D93" s="1508"/>
      <c r="E93" s="1509" t="s">
        <v>313</v>
      </c>
      <c r="AK93" s="1432"/>
      <c r="AM93" s="1431"/>
    </row>
    <row r="94" ht="13.5" thickTop="1"/>
  </sheetData>
  <mergeCells count="41">
    <mergeCell ref="A91:B91"/>
    <mergeCell ref="A79:B79"/>
    <mergeCell ref="A82:B82"/>
    <mergeCell ref="A85:B85"/>
    <mergeCell ref="A88:B88"/>
    <mergeCell ref="A73:B78"/>
    <mergeCell ref="C73:E73"/>
    <mergeCell ref="C74:E74"/>
    <mergeCell ref="C75:C78"/>
    <mergeCell ref="D75:D78"/>
    <mergeCell ref="E75:E78"/>
    <mergeCell ref="A60:B60"/>
    <mergeCell ref="A63:B63"/>
    <mergeCell ref="A66:B66"/>
    <mergeCell ref="A71:E71"/>
    <mergeCell ref="A48:B48"/>
    <mergeCell ref="A51:B51"/>
    <mergeCell ref="A54:B54"/>
    <mergeCell ref="A57:B57"/>
    <mergeCell ref="A36:B36"/>
    <mergeCell ref="A39:B39"/>
    <mergeCell ref="A42:B42"/>
    <mergeCell ref="A45:B45"/>
    <mergeCell ref="A24:B24"/>
    <mergeCell ref="A27:B27"/>
    <mergeCell ref="A30:B30"/>
    <mergeCell ref="A33:B33"/>
    <mergeCell ref="A12:B12"/>
    <mergeCell ref="A15:B15"/>
    <mergeCell ref="A18:B18"/>
    <mergeCell ref="A21:B21"/>
    <mergeCell ref="A1:F1"/>
    <mergeCell ref="A3:G3"/>
    <mergeCell ref="A4:F4"/>
    <mergeCell ref="A6:B11"/>
    <mergeCell ref="C6:E6"/>
    <mergeCell ref="F6:F11"/>
    <mergeCell ref="C7:C11"/>
    <mergeCell ref="D7:E7"/>
    <mergeCell ref="D8:D11"/>
    <mergeCell ref="E8:E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3:F37"/>
  <sheetViews>
    <sheetView workbookViewId="0" topLeftCell="A29">
      <selection activeCell="D21" sqref="D21"/>
    </sheetView>
  </sheetViews>
  <sheetFormatPr defaultColWidth="9.00390625" defaultRowHeight="12.75"/>
  <cols>
    <col min="1" max="1" width="60.00390625" style="0" customWidth="1"/>
    <col min="2" max="2" width="13.375" style="0" customWidth="1"/>
    <col min="3" max="3" width="13.125" style="0" customWidth="1"/>
    <col min="4" max="4" width="15.75390625" style="0" customWidth="1"/>
    <col min="5" max="5" width="11.875" style="0" customWidth="1"/>
    <col min="6" max="6" width="20.875" style="0" customWidth="1"/>
  </cols>
  <sheetData>
    <row r="3" spans="1:6" ht="15.75">
      <c r="A3" s="1510" t="s">
        <v>316</v>
      </c>
      <c r="B3" s="1510"/>
      <c r="C3" s="1510"/>
      <c r="D3" s="1510"/>
      <c r="E3" s="1510"/>
      <c r="F3" s="1510"/>
    </row>
    <row r="4" spans="1:6" ht="15.75">
      <c r="A4" s="1510" t="s">
        <v>317</v>
      </c>
      <c r="B4" s="1510"/>
      <c r="C4" s="1510"/>
      <c r="D4" s="1510"/>
      <c r="E4" s="1510"/>
      <c r="F4" s="1510"/>
    </row>
    <row r="5" spans="1:6" ht="16.5" thickBot="1">
      <c r="A5" s="1511"/>
      <c r="B5" s="1512"/>
      <c r="C5" s="1512"/>
      <c r="D5" s="1512"/>
      <c r="E5" s="1513"/>
      <c r="F5" s="1513"/>
    </row>
    <row r="6" spans="1:6" ht="39.75" customHeight="1">
      <c r="A6" s="1514" t="s">
        <v>774</v>
      </c>
      <c r="B6" s="1515" t="s">
        <v>532</v>
      </c>
      <c r="C6" s="1515" t="s">
        <v>318</v>
      </c>
      <c r="D6" s="1515" t="s">
        <v>319</v>
      </c>
      <c r="E6" s="1515" t="s">
        <v>320</v>
      </c>
      <c r="F6" s="1516" t="s">
        <v>756</v>
      </c>
    </row>
    <row r="7" spans="1:6" ht="12.75" hidden="1">
      <c r="A7" s="1517"/>
      <c r="B7" s="1518"/>
      <c r="C7" s="1518"/>
      <c r="D7" s="1518"/>
      <c r="E7" s="1518"/>
      <c r="F7" s="1519"/>
    </row>
    <row r="8" spans="1:6" ht="28.5" customHeight="1" thickBot="1">
      <c r="A8" s="1520" t="s">
        <v>321</v>
      </c>
      <c r="B8" s="1521">
        <v>757803</v>
      </c>
      <c r="C8" s="1521">
        <v>37883</v>
      </c>
      <c r="D8" s="1521">
        <v>2000</v>
      </c>
      <c r="E8" s="1521">
        <v>27601</v>
      </c>
      <c r="F8" s="1522">
        <f>SUM(B8:E8)</f>
        <v>825287</v>
      </c>
    </row>
    <row r="9" spans="1:6" ht="19.5" customHeight="1" thickTop="1">
      <c r="A9" s="1523" t="s">
        <v>322</v>
      </c>
      <c r="B9" s="1524">
        <f>B10+B11</f>
        <v>-501869</v>
      </c>
      <c r="C9" s="1524"/>
      <c r="D9" s="1524"/>
      <c r="E9" s="1524"/>
      <c r="F9" s="1525">
        <f>SUM(B9:E9)</f>
        <v>-501869</v>
      </c>
    </row>
    <row r="10" spans="1:6" ht="19.5" customHeight="1">
      <c r="A10" s="1526" t="s">
        <v>323</v>
      </c>
      <c r="B10" s="1527">
        <v>-93891</v>
      </c>
      <c r="C10" s="1528"/>
      <c r="D10" s="1528"/>
      <c r="E10" s="1528"/>
      <c r="F10" s="1529">
        <f>SUM(B10:E10)</f>
        <v>-93891</v>
      </c>
    </row>
    <row r="11" spans="1:6" ht="19.5" customHeight="1">
      <c r="A11" s="1530" t="s">
        <v>324</v>
      </c>
      <c r="B11" s="1531">
        <v>-407978</v>
      </c>
      <c r="C11" s="1531"/>
      <c r="D11" s="1531"/>
      <c r="E11" s="1531"/>
      <c r="F11" s="1532">
        <f>SUM(B11:E11)</f>
        <v>-407978</v>
      </c>
    </row>
    <row r="12" spans="1:6" ht="19.5" customHeight="1">
      <c r="A12" s="1523" t="s">
        <v>325</v>
      </c>
      <c r="B12" s="1524">
        <v>20934</v>
      </c>
      <c r="C12" s="1524">
        <v>-20934</v>
      </c>
      <c r="D12" s="1524"/>
      <c r="E12" s="1524"/>
      <c r="F12" s="1525">
        <f>SUM(B12:E12)</f>
        <v>0</v>
      </c>
    </row>
    <row r="13" spans="1:6" s="6" customFormat="1" ht="19.5" customHeight="1" thickBot="1">
      <c r="A13" s="1533" t="s">
        <v>326</v>
      </c>
      <c r="B13" s="1534">
        <f>SUM(B8+(B9+B12))</f>
        <v>276868</v>
      </c>
      <c r="C13" s="1534">
        <f>SUM(C8+(C9+C12))</f>
        <v>16949</v>
      </c>
      <c r="D13" s="1534">
        <f>SUM(D8+(D9+D12))</f>
        <v>2000</v>
      </c>
      <c r="E13" s="1534">
        <f>SUM(E8+(E9+E12))</f>
        <v>27601</v>
      </c>
      <c r="F13" s="1535">
        <f>SUM(F8+(F9+F12))</f>
        <v>323418</v>
      </c>
    </row>
    <row r="14" spans="1:6" s="6" customFormat="1" ht="19.5" customHeight="1" thickTop="1">
      <c r="A14" s="1536" t="s">
        <v>327</v>
      </c>
      <c r="B14" s="1537">
        <v>255934</v>
      </c>
      <c r="C14" s="1537">
        <v>16949</v>
      </c>
      <c r="D14" s="1537">
        <v>2000</v>
      </c>
      <c r="E14" s="1537">
        <v>27601</v>
      </c>
      <c r="F14" s="1538">
        <f aca="true" t="shared" si="0" ref="F14:F25">SUM(B14:E14)</f>
        <v>302484</v>
      </c>
    </row>
    <row r="15" spans="1:6" s="6" customFormat="1" ht="19.5" customHeight="1" thickBot="1">
      <c r="A15" s="1539" t="s">
        <v>325</v>
      </c>
      <c r="B15" s="1540">
        <v>20934</v>
      </c>
      <c r="C15" s="1540">
        <v>-20934</v>
      </c>
      <c r="D15" s="1540"/>
      <c r="E15" s="1540"/>
      <c r="F15" s="1541">
        <f t="shared" si="0"/>
        <v>0</v>
      </c>
    </row>
    <row r="16" spans="1:6" ht="19.5" customHeight="1">
      <c r="A16" s="197" t="s">
        <v>328</v>
      </c>
      <c r="B16" s="1542">
        <v>502</v>
      </c>
      <c r="C16" s="1542">
        <v>15136</v>
      </c>
      <c r="D16" s="1542">
        <v>1337</v>
      </c>
      <c r="E16" s="1542">
        <v>5189</v>
      </c>
      <c r="F16" s="1543">
        <f t="shared" si="0"/>
        <v>22164</v>
      </c>
    </row>
    <row r="17" spans="1:6" ht="19.5" customHeight="1">
      <c r="A17" s="1544" t="s">
        <v>329</v>
      </c>
      <c r="B17" s="1531">
        <v>3572</v>
      </c>
      <c r="C17" s="1531">
        <v>1813</v>
      </c>
      <c r="D17" s="1531">
        <v>361</v>
      </c>
      <c r="E17" s="1531">
        <v>1371</v>
      </c>
      <c r="F17" s="1532">
        <f t="shared" si="0"/>
        <v>7117</v>
      </c>
    </row>
    <row r="18" spans="1:6" ht="19.5" customHeight="1">
      <c r="A18" s="1544" t="s">
        <v>851</v>
      </c>
      <c r="B18" s="1531">
        <v>21275</v>
      </c>
      <c r="C18" s="1531"/>
      <c r="D18" s="1531">
        <v>200</v>
      </c>
      <c r="E18" s="1531">
        <v>21041</v>
      </c>
      <c r="F18" s="1532">
        <f t="shared" si="0"/>
        <v>42516</v>
      </c>
    </row>
    <row r="19" spans="1:6" ht="19.5" customHeight="1">
      <c r="A19" s="1544" t="s">
        <v>330</v>
      </c>
      <c r="B19" s="1531">
        <v>141253</v>
      </c>
      <c r="C19" s="1531"/>
      <c r="D19" s="1531"/>
      <c r="E19" s="1531"/>
      <c r="F19" s="1532">
        <f t="shared" si="0"/>
        <v>141253</v>
      </c>
    </row>
    <row r="20" spans="1:6" ht="19.5" customHeight="1">
      <c r="A20" s="1544" t="s">
        <v>331</v>
      </c>
      <c r="B20" s="1531">
        <v>7178</v>
      </c>
      <c r="C20" s="1531"/>
      <c r="D20" s="1531"/>
      <c r="E20" s="1531"/>
      <c r="F20" s="1532">
        <f t="shared" si="0"/>
        <v>7178</v>
      </c>
    </row>
    <row r="21" spans="1:6" ht="25.5" customHeight="1">
      <c r="A21" s="1544" t="s">
        <v>332</v>
      </c>
      <c r="B21" s="1531">
        <v>8289</v>
      </c>
      <c r="C21" s="1531"/>
      <c r="D21" s="1531"/>
      <c r="E21" s="1531"/>
      <c r="F21" s="1532">
        <f t="shared" si="0"/>
        <v>8289</v>
      </c>
    </row>
    <row r="22" spans="1:6" ht="19.5" customHeight="1">
      <c r="A22" s="1544" t="s">
        <v>691</v>
      </c>
      <c r="B22" s="1531">
        <v>58589</v>
      </c>
      <c r="C22" s="1531"/>
      <c r="D22" s="1531"/>
      <c r="E22" s="1531"/>
      <c r="F22" s="1532">
        <f t="shared" si="0"/>
        <v>58589</v>
      </c>
    </row>
    <row r="23" spans="1:6" ht="19.5" customHeight="1">
      <c r="A23" s="1544" t="s">
        <v>333</v>
      </c>
      <c r="B23" s="1531">
        <v>2340</v>
      </c>
      <c r="C23" s="1531"/>
      <c r="D23" s="1531"/>
      <c r="E23" s="1531"/>
      <c r="F23" s="1532">
        <f t="shared" si="0"/>
        <v>2340</v>
      </c>
    </row>
    <row r="24" spans="1:6" ht="19.5" customHeight="1">
      <c r="A24" s="1544" t="s">
        <v>334</v>
      </c>
      <c r="B24" s="1531">
        <v>1370</v>
      </c>
      <c r="C24" s="1531"/>
      <c r="D24" s="1531"/>
      <c r="E24" s="1531"/>
      <c r="F24" s="1532">
        <f t="shared" si="0"/>
        <v>1370</v>
      </c>
    </row>
    <row r="25" spans="1:6" ht="19.5" customHeight="1">
      <c r="A25" s="1544" t="s">
        <v>693</v>
      </c>
      <c r="B25" s="1531">
        <v>32500</v>
      </c>
      <c r="C25" s="1531"/>
      <c r="D25" s="1531"/>
      <c r="E25" s="1531"/>
      <c r="F25" s="1532">
        <f t="shared" si="0"/>
        <v>32500</v>
      </c>
    </row>
    <row r="26" spans="1:6" ht="19.5" customHeight="1">
      <c r="A26" s="1544" t="s">
        <v>335</v>
      </c>
      <c r="B26" s="1531"/>
      <c r="C26" s="1531"/>
      <c r="D26" s="1531">
        <v>102</v>
      </c>
      <c r="E26" s="1531"/>
      <c r="F26" s="1532">
        <v>102</v>
      </c>
    </row>
    <row r="27" spans="1:6" ht="19.5" customHeight="1" thickBot="1">
      <c r="A27" s="1520" t="s">
        <v>336</v>
      </c>
      <c r="B27" s="1521">
        <f>SUM(B16:B25)</f>
        <v>276868</v>
      </c>
      <c r="C27" s="1521">
        <f>SUM(C16:C25)</f>
        <v>16949</v>
      </c>
      <c r="D27" s="1521">
        <v>2000</v>
      </c>
      <c r="E27" s="1521">
        <f>SUM(E16:E25)</f>
        <v>27601</v>
      </c>
      <c r="F27" s="1522">
        <f>SUM(B27:E27)</f>
        <v>323418</v>
      </c>
    </row>
    <row r="28" spans="1:6" ht="19.5" customHeight="1" thickTop="1">
      <c r="A28" s="1545" t="s">
        <v>337</v>
      </c>
      <c r="B28" s="1546"/>
      <c r="C28" s="1546"/>
      <c r="D28" s="1546"/>
      <c r="E28" s="1546"/>
      <c r="F28" s="1547"/>
    </row>
    <row r="29" spans="1:6" ht="19.5" customHeight="1">
      <c r="A29" s="1548" t="s">
        <v>726</v>
      </c>
      <c r="B29" s="1542">
        <v>44526</v>
      </c>
      <c r="C29" s="1542">
        <v>16949</v>
      </c>
      <c r="D29" s="1542">
        <v>2000</v>
      </c>
      <c r="E29" s="1542">
        <v>27601</v>
      </c>
      <c r="F29" s="1538">
        <f>SUM(B29:E29)</f>
        <v>91076</v>
      </c>
    </row>
    <row r="30" spans="1:6" ht="19.5" customHeight="1" thickBot="1">
      <c r="A30" s="1549" t="s">
        <v>727</v>
      </c>
      <c r="B30" s="1550">
        <v>232342</v>
      </c>
      <c r="C30" s="1550"/>
      <c r="D30" s="1550"/>
      <c r="E30" s="1550"/>
      <c r="F30" s="1551">
        <f>SUM(B30:E30)</f>
        <v>232342</v>
      </c>
    </row>
    <row r="31" spans="1:6" ht="19.5" customHeight="1">
      <c r="A31" s="1552" t="s">
        <v>338</v>
      </c>
      <c r="B31" s="1553">
        <f>SUM(B33:B34)</f>
        <v>778737</v>
      </c>
      <c r="C31" s="1553">
        <f>SUM(C33:C34)</f>
        <v>16949</v>
      </c>
      <c r="D31" s="1553">
        <f>SUM(D33:D34)</f>
        <v>2000</v>
      </c>
      <c r="E31" s="1553">
        <f>SUM(E33:E34)</f>
        <v>27601</v>
      </c>
      <c r="F31" s="1554">
        <f>SUM(F33:F34)</f>
        <v>825287</v>
      </c>
    </row>
    <row r="32" spans="1:6" ht="19.5" customHeight="1">
      <c r="A32" s="1555" t="s">
        <v>337</v>
      </c>
      <c r="B32" s="1537"/>
      <c r="C32" s="1537"/>
      <c r="D32" s="1537"/>
      <c r="E32" s="1537"/>
      <c r="F32" s="1556"/>
    </row>
    <row r="33" spans="1:6" ht="19.5" customHeight="1">
      <c r="A33" s="1557" t="s">
        <v>726</v>
      </c>
      <c r="B33" s="1531">
        <v>138417</v>
      </c>
      <c r="C33" s="1531">
        <v>16949</v>
      </c>
      <c r="D33" s="1531">
        <v>2000</v>
      </c>
      <c r="E33" s="1531">
        <v>27601</v>
      </c>
      <c r="F33" s="1532">
        <v>184967</v>
      </c>
    </row>
    <row r="34" spans="1:6" ht="19.5" customHeight="1" thickBot="1">
      <c r="A34" s="1549" t="s">
        <v>727</v>
      </c>
      <c r="B34" s="1550">
        <v>640320</v>
      </c>
      <c r="C34" s="1550"/>
      <c r="D34" s="1550"/>
      <c r="E34" s="1550"/>
      <c r="F34" s="1558">
        <v>640320</v>
      </c>
    </row>
    <row r="36" ht="12.75">
      <c r="A36" s="8" t="s">
        <v>339</v>
      </c>
    </row>
    <row r="37" ht="12.75">
      <c r="A37" s="8" t="s">
        <v>340</v>
      </c>
    </row>
  </sheetData>
  <mergeCells count="8"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29"/>
  <sheetViews>
    <sheetView view="pageBreakPreview" zoomScale="75" zoomScaleSheetLayoutView="75" workbookViewId="0" topLeftCell="J1">
      <selection activeCell="N22" sqref="N22"/>
    </sheetView>
  </sheetViews>
  <sheetFormatPr defaultColWidth="9.00390625" defaultRowHeight="12.75"/>
  <cols>
    <col min="1" max="1" width="80.125" style="500" customWidth="1"/>
    <col min="2" max="2" width="11.75390625" style="500" customWidth="1"/>
    <col min="3" max="3" width="13.375" style="500" customWidth="1"/>
    <col min="4" max="4" width="14.375" style="500" customWidth="1"/>
    <col min="5" max="7" width="15.25390625" style="500" customWidth="1"/>
    <col min="8" max="8" width="13.875" style="500" customWidth="1"/>
    <col min="9" max="10" width="18.375" style="500" customWidth="1"/>
    <col min="11" max="13" width="13.875" style="500" customWidth="1"/>
    <col min="14" max="14" width="80.125" style="500" customWidth="1"/>
    <col min="15" max="17" width="11.25390625" style="500" customWidth="1"/>
    <col min="18" max="20" width="14.875" style="500" customWidth="1"/>
    <col min="21" max="21" width="14.875" style="501" customWidth="1"/>
    <col min="22" max="23" width="13.875" style="501" customWidth="1"/>
    <col min="24" max="24" width="13.625" style="501" customWidth="1"/>
    <col min="25" max="25" width="10.875" style="501" customWidth="1"/>
    <col min="26" max="26" width="13.00390625" style="501" customWidth="1"/>
    <col min="27" max="16384" width="9.125" style="501" customWidth="1"/>
  </cols>
  <sheetData>
    <row r="1" spans="1:20" s="497" customFormat="1" ht="12.75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:20" s="497" customFormat="1" ht="12.75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</row>
    <row r="3" spans="1:26" s="497" customFormat="1" ht="15.75">
      <c r="A3" s="1378" t="s">
        <v>442</v>
      </c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 t="s">
        <v>442</v>
      </c>
      <c r="O3" s="1378"/>
      <c r="P3" s="1378"/>
      <c r="Q3" s="1378"/>
      <c r="R3" s="1378"/>
      <c r="S3" s="1378"/>
      <c r="T3" s="1378"/>
      <c r="U3" s="1378"/>
      <c r="V3" s="1378"/>
      <c r="W3" s="1378"/>
      <c r="X3" s="1378"/>
      <c r="Y3" s="1378"/>
      <c r="Z3" s="1378"/>
    </row>
    <row r="4" spans="1:20" s="497" customFormat="1" ht="12.75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</row>
    <row r="5" spans="1:20" s="497" customFormat="1" ht="13.5" thickBo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</row>
    <row r="6" spans="1:26" s="497" customFormat="1" ht="27" customHeight="1">
      <c r="A6" s="1383" t="s">
        <v>774</v>
      </c>
      <c r="B6" s="1383" t="s">
        <v>443</v>
      </c>
      <c r="C6" s="1379" t="s">
        <v>394</v>
      </c>
      <c r="D6" s="1381" t="s">
        <v>743</v>
      </c>
      <c r="E6" s="1383" t="s">
        <v>444</v>
      </c>
      <c r="F6" s="1384"/>
      <c r="G6" s="1384"/>
      <c r="H6" s="1384"/>
      <c r="I6" s="1384"/>
      <c r="J6" s="1384"/>
      <c r="K6" s="1384"/>
      <c r="L6" s="1384"/>
      <c r="M6" s="1381"/>
      <c r="N6" s="1385" t="s">
        <v>774</v>
      </c>
      <c r="O6" s="1384" t="s">
        <v>444</v>
      </c>
      <c r="P6" s="1384"/>
      <c r="Q6" s="1381"/>
      <c r="R6" s="1390" t="s">
        <v>445</v>
      </c>
      <c r="S6" s="1379" t="s">
        <v>917</v>
      </c>
      <c r="T6" s="1381" t="s">
        <v>748</v>
      </c>
      <c r="U6" s="1387" t="s">
        <v>584</v>
      </c>
      <c r="V6" s="1379"/>
      <c r="W6" s="1379"/>
      <c r="X6" s="1379"/>
      <c r="Y6" s="1379"/>
      <c r="Z6" s="1388"/>
    </row>
    <row r="7" spans="1:26" s="497" customFormat="1" ht="71.25" customHeight="1">
      <c r="A7" s="1389"/>
      <c r="B7" s="1389"/>
      <c r="C7" s="1380"/>
      <c r="D7" s="1382"/>
      <c r="E7" s="748" t="s">
        <v>446</v>
      </c>
      <c r="F7" s="749" t="s">
        <v>395</v>
      </c>
      <c r="G7" s="841" t="s">
        <v>744</v>
      </c>
      <c r="H7" s="748" t="s">
        <v>447</v>
      </c>
      <c r="I7" s="749" t="s">
        <v>396</v>
      </c>
      <c r="J7" s="841" t="s">
        <v>745</v>
      </c>
      <c r="K7" s="748" t="s">
        <v>448</v>
      </c>
      <c r="L7" s="749" t="s">
        <v>397</v>
      </c>
      <c r="M7" s="841" t="s">
        <v>746</v>
      </c>
      <c r="N7" s="1386"/>
      <c r="O7" s="751" t="s">
        <v>449</v>
      </c>
      <c r="P7" s="749" t="s">
        <v>398</v>
      </c>
      <c r="Q7" s="750" t="s">
        <v>747</v>
      </c>
      <c r="R7" s="1391"/>
      <c r="S7" s="1380"/>
      <c r="T7" s="1382"/>
      <c r="U7" s="748" t="s">
        <v>450</v>
      </c>
      <c r="V7" s="749" t="s">
        <v>918</v>
      </c>
      <c r="W7" s="841" t="s">
        <v>749</v>
      </c>
      <c r="X7" s="751" t="s">
        <v>451</v>
      </c>
      <c r="Y7" s="749" t="s">
        <v>919</v>
      </c>
      <c r="Z7" s="841" t="s">
        <v>750</v>
      </c>
    </row>
    <row r="8" spans="1:26" s="498" customFormat="1" ht="27.75" customHeight="1">
      <c r="A8" s="752" t="s">
        <v>452</v>
      </c>
      <c r="B8" s="838">
        <f aca="true" t="shared" si="0" ref="B8:Z8">SUM(B10,B23)</f>
        <v>2791393</v>
      </c>
      <c r="C8" s="754">
        <f>SUM(C10,C23)</f>
        <v>1736155</v>
      </c>
      <c r="D8" s="842">
        <f t="shared" si="0"/>
        <v>34798</v>
      </c>
      <c r="E8" s="753">
        <f t="shared" si="0"/>
        <v>1874396</v>
      </c>
      <c r="F8" s="754">
        <f>SUM(F10,F23)</f>
        <v>811526</v>
      </c>
      <c r="G8" s="842">
        <f t="shared" si="0"/>
        <v>3354</v>
      </c>
      <c r="H8" s="753">
        <f t="shared" si="0"/>
        <v>196680</v>
      </c>
      <c r="I8" s="754">
        <f>SUM(I10,I23)</f>
        <v>196680</v>
      </c>
      <c r="J8" s="842">
        <f>SUM(J10,J23)</f>
        <v>0</v>
      </c>
      <c r="K8" s="753">
        <f t="shared" si="0"/>
        <v>35599</v>
      </c>
      <c r="L8" s="754">
        <f>SUM(L10,L23)</f>
        <v>75050</v>
      </c>
      <c r="M8" s="842">
        <f t="shared" si="0"/>
        <v>31444</v>
      </c>
      <c r="N8" s="756" t="s">
        <v>452</v>
      </c>
      <c r="O8" s="757">
        <f t="shared" si="0"/>
        <v>684718</v>
      </c>
      <c r="P8" s="754">
        <f>SUM(P10,P23)</f>
        <v>652899</v>
      </c>
      <c r="Q8" s="755">
        <f t="shared" si="0"/>
        <v>0</v>
      </c>
      <c r="R8" s="753">
        <f t="shared" si="0"/>
        <v>684718</v>
      </c>
      <c r="S8" s="754">
        <f>SUM(S10,S23)</f>
        <v>652899</v>
      </c>
      <c r="T8" s="842">
        <f t="shared" si="0"/>
        <v>0</v>
      </c>
      <c r="U8" s="753">
        <f t="shared" si="0"/>
        <v>250000</v>
      </c>
      <c r="V8" s="754">
        <f>SUM(V10,V23)</f>
        <v>250000</v>
      </c>
      <c r="W8" s="842">
        <f t="shared" si="0"/>
        <v>0</v>
      </c>
      <c r="X8" s="757">
        <f t="shared" si="0"/>
        <v>434718</v>
      </c>
      <c r="Y8" s="754">
        <f t="shared" si="0"/>
        <v>402899</v>
      </c>
      <c r="Z8" s="755">
        <f t="shared" si="0"/>
        <v>0</v>
      </c>
    </row>
    <row r="9" spans="1:26" s="497" customFormat="1" ht="27.75" customHeight="1">
      <c r="A9" s="758"/>
      <c r="B9" s="839"/>
      <c r="C9" s="760"/>
      <c r="D9" s="843"/>
      <c r="E9" s="761"/>
      <c r="F9" s="762"/>
      <c r="G9" s="846"/>
      <c r="H9" s="761"/>
      <c r="I9" s="762"/>
      <c r="J9" s="846"/>
      <c r="K9" s="761"/>
      <c r="L9" s="762"/>
      <c r="M9" s="846"/>
      <c r="N9" s="764"/>
      <c r="O9" s="765"/>
      <c r="P9" s="762"/>
      <c r="Q9" s="763"/>
      <c r="R9" s="759"/>
      <c r="S9" s="760"/>
      <c r="T9" s="843"/>
      <c r="U9" s="886"/>
      <c r="V9" s="887"/>
      <c r="W9" s="888"/>
      <c r="X9" s="889"/>
      <c r="Y9" s="887"/>
      <c r="Z9" s="890"/>
    </row>
    <row r="10" spans="1:26" s="498" customFormat="1" ht="27.75" customHeight="1">
      <c r="A10" s="766" t="s">
        <v>775</v>
      </c>
      <c r="B10" s="838">
        <f aca="true" t="shared" si="1" ref="B10:Q10">SUM(B11:B21)</f>
        <v>2757393</v>
      </c>
      <c r="C10" s="754">
        <f>SUM(C11:C21)</f>
        <v>1704255</v>
      </c>
      <c r="D10" s="842">
        <f t="shared" si="1"/>
        <v>21550</v>
      </c>
      <c r="E10" s="753">
        <f t="shared" si="1"/>
        <v>1874396</v>
      </c>
      <c r="F10" s="754">
        <f>SUM(F11:F21)</f>
        <v>811526</v>
      </c>
      <c r="G10" s="842">
        <f t="shared" si="1"/>
        <v>3354</v>
      </c>
      <c r="H10" s="753">
        <f t="shared" si="1"/>
        <v>196680</v>
      </c>
      <c r="I10" s="754">
        <f>SUM(I11:I21)</f>
        <v>196680</v>
      </c>
      <c r="J10" s="842">
        <f t="shared" si="1"/>
        <v>0</v>
      </c>
      <c r="K10" s="753">
        <f t="shared" si="1"/>
        <v>31351</v>
      </c>
      <c r="L10" s="754">
        <f>SUM(L11:L21)</f>
        <v>61802</v>
      </c>
      <c r="M10" s="842">
        <f t="shared" si="1"/>
        <v>18196</v>
      </c>
      <c r="N10" s="767" t="s">
        <v>775</v>
      </c>
      <c r="O10" s="757">
        <f t="shared" si="1"/>
        <v>654966</v>
      </c>
      <c r="P10" s="754">
        <f>SUM(P11:P21)</f>
        <v>634247</v>
      </c>
      <c r="Q10" s="755">
        <f t="shared" si="1"/>
        <v>0</v>
      </c>
      <c r="R10" s="753">
        <f aca="true" t="shared" si="2" ref="R10:Z10">SUM(R11:R21)</f>
        <v>654966</v>
      </c>
      <c r="S10" s="754">
        <f>SUM(S11:S21)</f>
        <v>634247</v>
      </c>
      <c r="T10" s="842">
        <f t="shared" si="2"/>
        <v>0</v>
      </c>
      <c r="U10" s="753">
        <f t="shared" si="2"/>
        <v>250000</v>
      </c>
      <c r="V10" s="754">
        <f>SUM(V11:V21)</f>
        <v>250000</v>
      </c>
      <c r="W10" s="842">
        <f t="shared" si="2"/>
        <v>0</v>
      </c>
      <c r="X10" s="757">
        <f t="shared" si="2"/>
        <v>404966</v>
      </c>
      <c r="Y10" s="754">
        <f t="shared" si="2"/>
        <v>384247</v>
      </c>
      <c r="Z10" s="755">
        <f t="shared" si="2"/>
        <v>0</v>
      </c>
    </row>
    <row r="11" spans="1:26" s="497" customFormat="1" ht="27.75" customHeight="1">
      <c r="A11" s="768" t="s">
        <v>776</v>
      </c>
      <c r="B11" s="839">
        <v>558330</v>
      </c>
      <c r="C11" s="760">
        <f>558330-113309</f>
        <v>445021</v>
      </c>
      <c r="D11" s="843">
        <f>C11-444957</f>
        <v>64</v>
      </c>
      <c r="E11" s="761">
        <f>179112+67538+45771</f>
        <v>292421</v>
      </c>
      <c r="F11" s="762">
        <f>292421-113309</f>
        <v>179112</v>
      </c>
      <c r="G11" s="846">
        <v>64</v>
      </c>
      <c r="H11" s="761">
        <v>196680</v>
      </c>
      <c r="I11" s="762">
        <v>196680</v>
      </c>
      <c r="J11" s="846">
        <v>0</v>
      </c>
      <c r="K11" s="761"/>
      <c r="L11" s="762"/>
      <c r="M11" s="846"/>
      <c r="N11" s="769" t="s">
        <v>776</v>
      </c>
      <c r="O11" s="765">
        <f aca="true" t="shared" si="3" ref="O11:Q21">B11-E11-H11-K11</f>
        <v>69229</v>
      </c>
      <c r="P11" s="762">
        <f t="shared" si="3"/>
        <v>69229</v>
      </c>
      <c r="Q11" s="763">
        <f>D11-G11-J11-M11</f>
        <v>0</v>
      </c>
      <c r="R11" s="759">
        <f aca="true" t="shared" si="4" ref="R11:T21">O11</f>
        <v>69229</v>
      </c>
      <c r="S11" s="760">
        <f t="shared" si="4"/>
        <v>69229</v>
      </c>
      <c r="T11" s="843">
        <f t="shared" si="4"/>
        <v>0</v>
      </c>
      <c r="U11" s="886">
        <v>69229</v>
      </c>
      <c r="V11" s="887">
        <v>69229</v>
      </c>
      <c r="W11" s="888">
        <v>0</v>
      </c>
      <c r="X11" s="889"/>
      <c r="Y11" s="887">
        <f aca="true" t="shared" si="5" ref="Y11:Z21">S11-V11</f>
        <v>0</v>
      </c>
      <c r="Z11" s="891">
        <f t="shared" si="5"/>
        <v>0</v>
      </c>
    </row>
    <row r="12" spans="1:26" s="497" customFormat="1" ht="27.75" customHeight="1">
      <c r="A12" s="768" t="s">
        <v>902</v>
      </c>
      <c r="B12" s="839">
        <v>30000</v>
      </c>
      <c r="C12" s="760">
        <v>30000</v>
      </c>
      <c r="D12" s="843">
        <v>0</v>
      </c>
      <c r="E12" s="761"/>
      <c r="F12" s="762"/>
      <c r="G12" s="846"/>
      <c r="H12" s="761"/>
      <c r="I12" s="762"/>
      <c r="J12" s="846"/>
      <c r="K12" s="761"/>
      <c r="L12" s="762"/>
      <c r="M12" s="846"/>
      <c r="N12" s="769" t="s">
        <v>902</v>
      </c>
      <c r="O12" s="765">
        <f t="shared" si="3"/>
        <v>30000</v>
      </c>
      <c r="P12" s="762">
        <f t="shared" si="3"/>
        <v>30000</v>
      </c>
      <c r="Q12" s="763">
        <f t="shared" si="3"/>
        <v>0</v>
      </c>
      <c r="R12" s="759">
        <f t="shared" si="4"/>
        <v>30000</v>
      </c>
      <c r="S12" s="760">
        <f t="shared" si="4"/>
        <v>30000</v>
      </c>
      <c r="T12" s="843">
        <f t="shared" si="4"/>
        <v>0</v>
      </c>
      <c r="U12" s="886">
        <v>30000</v>
      </c>
      <c r="V12" s="887">
        <v>30000</v>
      </c>
      <c r="W12" s="888">
        <v>0</v>
      </c>
      <c r="X12" s="889"/>
      <c r="Y12" s="887">
        <f t="shared" si="5"/>
        <v>0</v>
      </c>
      <c r="Z12" s="891">
        <f t="shared" si="5"/>
        <v>0</v>
      </c>
    </row>
    <row r="13" spans="1:26" s="497" customFormat="1" ht="27.75" customHeight="1">
      <c r="A13" s="768" t="s">
        <v>903</v>
      </c>
      <c r="B13" s="839">
        <v>72605</v>
      </c>
      <c r="C13" s="760">
        <v>72605</v>
      </c>
      <c r="D13" s="843">
        <v>0</v>
      </c>
      <c r="E13" s="761">
        <v>8872</v>
      </c>
      <c r="F13" s="762">
        <v>8872</v>
      </c>
      <c r="G13" s="846">
        <v>0</v>
      </c>
      <c r="H13" s="761"/>
      <c r="I13" s="762"/>
      <c r="J13" s="846"/>
      <c r="K13" s="761"/>
      <c r="L13" s="762"/>
      <c r="M13" s="846"/>
      <c r="N13" s="769" t="s">
        <v>903</v>
      </c>
      <c r="O13" s="765">
        <f t="shared" si="3"/>
        <v>63733</v>
      </c>
      <c r="P13" s="762">
        <f t="shared" si="3"/>
        <v>63733</v>
      </c>
      <c r="Q13" s="763">
        <f t="shared" si="3"/>
        <v>0</v>
      </c>
      <c r="R13" s="759">
        <f t="shared" si="4"/>
        <v>63733</v>
      </c>
      <c r="S13" s="760">
        <f t="shared" si="4"/>
        <v>63733</v>
      </c>
      <c r="T13" s="843">
        <f t="shared" si="4"/>
        <v>0</v>
      </c>
      <c r="U13" s="886">
        <v>63733</v>
      </c>
      <c r="V13" s="887">
        <v>63733</v>
      </c>
      <c r="W13" s="888">
        <v>0</v>
      </c>
      <c r="X13" s="889"/>
      <c r="Y13" s="887">
        <f t="shared" si="5"/>
        <v>0</v>
      </c>
      <c r="Z13" s="891">
        <f t="shared" si="5"/>
        <v>0</v>
      </c>
    </row>
    <row r="14" spans="1:26" s="497" customFormat="1" ht="27.75" customHeight="1">
      <c r="A14" s="768" t="s">
        <v>785</v>
      </c>
      <c r="B14" s="839">
        <v>40339</v>
      </c>
      <c r="C14" s="760">
        <v>40339</v>
      </c>
      <c r="D14" s="843">
        <v>0</v>
      </c>
      <c r="E14" s="761"/>
      <c r="F14" s="762"/>
      <c r="G14" s="846"/>
      <c r="H14" s="761"/>
      <c r="I14" s="762"/>
      <c r="J14" s="846"/>
      <c r="K14" s="761"/>
      <c r="L14" s="762"/>
      <c r="M14" s="846"/>
      <c r="N14" s="769" t="s">
        <v>785</v>
      </c>
      <c r="O14" s="765">
        <f t="shared" si="3"/>
        <v>40339</v>
      </c>
      <c r="P14" s="762">
        <f t="shared" si="3"/>
        <v>40339</v>
      </c>
      <c r="Q14" s="763">
        <f t="shared" si="3"/>
        <v>0</v>
      </c>
      <c r="R14" s="759">
        <f t="shared" si="4"/>
        <v>40339</v>
      </c>
      <c r="S14" s="760">
        <f t="shared" si="4"/>
        <v>40339</v>
      </c>
      <c r="T14" s="843">
        <f t="shared" si="4"/>
        <v>0</v>
      </c>
      <c r="U14" s="886">
        <v>40339</v>
      </c>
      <c r="V14" s="887">
        <v>40339</v>
      </c>
      <c r="W14" s="888">
        <v>0</v>
      </c>
      <c r="X14" s="889"/>
      <c r="Y14" s="887">
        <f t="shared" si="5"/>
        <v>0</v>
      </c>
      <c r="Z14" s="891">
        <f t="shared" si="5"/>
        <v>0</v>
      </c>
    </row>
    <row r="15" spans="1:26" s="497" customFormat="1" ht="27.75" customHeight="1">
      <c r="A15" s="768" t="s">
        <v>787</v>
      </c>
      <c r="B15" s="839">
        <v>20925</v>
      </c>
      <c r="C15" s="760">
        <v>20925</v>
      </c>
      <c r="D15" s="843">
        <v>0</v>
      </c>
      <c r="E15" s="761"/>
      <c r="F15" s="762"/>
      <c r="G15" s="846"/>
      <c r="H15" s="761"/>
      <c r="I15" s="762"/>
      <c r="J15" s="846"/>
      <c r="K15" s="761">
        <f>20925-7000</f>
        <v>13925</v>
      </c>
      <c r="L15" s="762">
        <v>13925</v>
      </c>
      <c r="M15" s="846">
        <v>0</v>
      </c>
      <c r="N15" s="769" t="s">
        <v>787</v>
      </c>
      <c r="O15" s="765">
        <f t="shared" si="3"/>
        <v>7000</v>
      </c>
      <c r="P15" s="762">
        <f t="shared" si="3"/>
        <v>7000</v>
      </c>
      <c r="Q15" s="763">
        <f>D15-G15-J15-M15</f>
        <v>0</v>
      </c>
      <c r="R15" s="759">
        <f t="shared" si="4"/>
        <v>7000</v>
      </c>
      <c r="S15" s="760">
        <f t="shared" si="4"/>
        <v>7000</v>
      </c>
      <c r="T15" s="843">
        <f t="shared" si="4"/>
        <v>0</v>
      </c>
      <c r="U15" s="886">
        <v>7000</v>
      </c>
      <c r="V15" s="887">
        <v>7000</v>
      </c>
      <c r="W15" s="888">
        <v>0</v>
      </c>
      <c r="X15" s="889"/>
      <c r="Y15" s="887">
        <f t="shared" si="5"/>
        <v>0</v>
      </c>
      <c r="Z15" s="891">
        <f t="shared" si="5"/>
        <v>0</v>
      </c>
    </row>
    <row r="16" spans="1:26" s="497" customFormat="1" ht="27.75" customHeight="1">
      <c r="A16" s="768" t="s">
        <v>779</v>
      </c>
      <c r="B16" s="839">
        <v>588000</v>
      </c>
      <c r="C16" s="760">
        <v>588000</v>
      </c>
      <c r="D16" s="843">
        <v>0</v>
      </c>
      <c r="E16" s="761">
        <v>500000</v>
      </c>
      <c r="F16" s="762">
        <v>500000</v>
      </c>
      <c r="G16" s="846">
        <v>0</v>
      </c>
      <c r="H16" s="761"/>
      <c r="I16" s="762"/>
      <c r="J16" s="846"/>
      <c r="K16" s="761"/>
      <c r="L16" s="762"/>
      <c r="M16" s="846"/>
      <c r="N16" s="769" t="s">
        <v>779</v>
      </c>
      <c r="O16" s="765">
        <f t="shared" si="3"/>
        <v>88000</v>
      </c>
      <c r="P16" s="762">
        <f t="shared" si="3"/>
        <v>88000</v>
      </c>
      <c r="Q16" s="763">
        <f t="shared" si="3"/>
        <v>0</v>
      </c>
      <c r="R16" s="759">
        <f t="shared" si="4"/>
        <v>88000</v>
      </c>
      <c r="S16" s="760">
        <f t="shared" si="4"/>
        <v>88000</v>
      </c>
      <c r="T16" s="843">
        <f t="shared" si="4"/>
        <v>0</v>
      </c>
      <c r="U16" s="886"/>
      <c r="V16" s="887"/>
      <c r="W16" s="888"/>
      <c r="X16" s="889">
        <v>88000</v>
      </c>
      <c r="Y16" s="887">
        <f t="shared" si="5"/>
        <v>88000</v>
      </c>
      <c r="Z16" s="891">
        <f t="shared" si="5"/>
        <v>0</v>
      </c>
    </row>
    <row r="17" spans="1:26" s="497" customFormat="1" ht="27.75" customHeight="1">
      <c r="A17" s="768" t="s">
        <v>788</v>
      </c>
      <c r="B17" s="839">
        <v>25000</v>
      </c>
      <c r="C17" s="760">
        <v>25000</v>
      </c>
      <c r="D17" s="843">
        <v>17745</v>
      </c>
      <c r="E17" s="761"/>
      <c r="F17" s="762"/>
      <c r="G17" s="846"/>
      <c r="H17" s="761"/>
      <c r="I17" s="762"/>
      <c r="J17" s="846"/>
      <c r="K17" s="761">
        <f>25000-9390+1816</f>
        <v>17426</v>
      </c>
      <c r="L17" s="762">
        <v>17426</v>
      </c>
      <c r="M17" s="846">
        <v>17745</v>
      </c>
      <c r="N17" s="769" t="s">
        <v>788</v>
      </c>
      <c r="O17" s="765">
        <f t="shared" si="3"/>
        <v>7574</v>
      </c>
      <c r="P17" s="762">
        <f t="shared" si="3"/>
        <v>7574</v>
      </c>
      <c r="Q17" s="763">
        <f t="shared" si="3"/>
        <v>0</v>
      </c>
      <c r="R17" s="759">
        <f t="shared" si="4"/>
        <v>7574</v>
      </c>
      <c r="S17" s="760">
        <f t="shared" si="4"/>
        <v>7574</v>
      </c>
      <c r="T17" s="843">
        <f t="shared" si="4"/>
        <v>0</v>
      </c>
      <c r="U17" s="886"/>
      <c r="V17" s="887"/>
      <c r="W17" s="888"/>
      <c r="X17" s="889">
        <v>7574</v>
      </c>
      <c r="Y17" s="887">
        <f t="shared" si="5"/>
        <v>7574</v>
      </c>
      <c r="Z17" s="891">
        <f t="shared" si="5"/>
        <v>0</v>
      </c>
    </row>
    <row r="18" spans="1:26" s="497" customFormat="1" ht="27.75" customHeight="1">
      <c r="A18" s="892" t="s">
        <v>835</v>
      </c>
      <c r="B18" s="893">
        <v>1102640</v>
      </c>
      <c r="C18" s="894">
        <f>1102640-790672</f>
        <v>311968</v>
      </c>
      <c r="D18" s="895">
        <v>3290</v>
      </c>
      <c r="E18" s="761">
        <f>6140+718234+72438</f>
        <v>796812</v>
      </c>
      <c r="F18" s="762">
        <f>796812-790672</f>
        <v>6140</v>
      </c>
      <c r="G18" s="846">
        <v>3290</v>
      </c>
      <c r="H18" s="761"/>
      <c r="I18" s="762"/>
      <c r="J18" s="846"/>
      <c r="K18" s="761"/>
      <c r="L18" s="762"/>
      <c r="M18" s="846"/>
      <c r="N18" s="896" t="s">
        <v>835</v>
      </c>
      <c r="O18" s="765">
        <f t="shared" si="3"/>
        <v>305828</v>
      </c>
      <c r="P18" s="762">
        <f t="shared" si="3"/>
        <v>305828</v>
      </c>
      <c r="Q18" s="763">
        <f t="shared" si="3"/>
        <v>0</v>
      </c>
      <c r="R18" s="759">
        <f t="shared" si="4"/>
        <v>305828</v>
      </c>
      <c r="S18" s="760">
        <f t="shared" si="4"/>
        <v>305828</v>
      </c>
      <c r="T18" s="843">
        <f t="shared" si="4"/>
        <v>0</v>
      </c>
      <c r="U18" s="886">
        <v>39699</v>
      </c>
      <c r="V18" s="887">
        <v>39699</v>
      </c>
      <c r="W18" s="888">
        <v>0</v>
      </c>
      <c r="X18" s="889">
        <f>305828-39699</f>
        <v>266129</v>
      </c>
      <c r="Y18" s="887">
        <f t="shared" si="5"/>
        <v>266129</v>
      </c>
      <c r="Z18" s="891">
        <f t="shared" si="5"/>
        <v>0</v>
      </c>
    </row>
    <row r="19" spans="1:26" s="497" customFormat="1" ht="27.75" customHeight="1">
      <c r="A19" s="897" t="s">
        <v>836</v>
      </c>
      <c r="B19" s="839">
        <v>116000</v>
      </c>
      <c r="C19" s="760">
        <f>116000-100000</f>
        <v>16000</v>
      </c>
      <c r="D19" s="843">
        <v>0</v>
      </c>
      <c r="E19" s="761">
        <v>100000</v>
      </c>
      <c r="F19" s="762">
        <v>0</v>
      </c>
      <c r="G19" s="846"/>
      <c r="H19" s="761"/>
      <c r="I19" s="762"/>
      <c r="J19" s="846"/>
      <c r="K19" s="761"/>
      <c r="L19" s="762"/>
      <c r="M19" s="846"/>
      <c r="N19" s="898" t="s">
        <v>836</v>
      </c>
      <c r="O19" s="765">
        <f t="shared" si="3"/>
        <v>16000</v>
      </c>
      <c r="P19" s="762">
        <f t="shared" si="3"/>
        <v>16000</v>
      </c>
      <c r="Q19" s="763">
        <f t="shared" si="3"/>
        <v>0</v>
      </c>
      <c r="R19" s="759">
        <f t="shared" si="4"/>
        <v>16000</v>
      </c>
      <c r="S19" s="760">
        <f t="shared" si="4"/>
        <v>16000</v>
      </c>
      <c r="T19" s="843">
        <f t="shared" si="4"/>
        <v>0</v>
      </c>
      <c r="U19" s="886"/>
      <c r="V19" s="887"/>
      <c r="W19" s="888"/>
      <c r="X19" s="889">
        <v>16000</v>
      </c>
      <c r="Y19" s="887">
        <f t="shared" si="5"/>
        <v>16000</v>
      </c>
      <c r="Z19" s="891">
        <f t="shared" si="5"/>
        <v>0</v>
      </c>
    </row>
    <row r="20" spans="1:26" s="497" customFormat="1" ht="27.75" customHeight="1">
      <c r="A20" s="892" t="s">
        <v>838</v>
      </c>
      <c r="B20" s="839">
        <v>65433</v>
      </c>
      <c r="C20" s="760">
        <f>65433-58889</f>
        <v>6544</v>
      </c>
      <c r="D20" s="843">
        <v>0</v>
      </c>
      <c r="E20" s="761">
        <v>58889</v>
      </c>
      <c r="F20" s="762">
        <v>0</v>
      </c>
      <c r="G20" s="846"/>
      <c r="H20" s="761"/>
      <c r="I20" s="762"/>
      <c r="J20" s="846"/>
      <c r="K20" s="761"/>
      <c r="L20" s="762"/>
      <c r="M20" s="846"/>
      <c r="N20" s="896" t="s">
        <v>838</v>
      </c>
      <c r="O20" s="765">
        <f t="shared" si="3"/>
        <v>6544</v>
      </c>
      <c r="P20" s="762">
        <f t="shared" si="3"/>
        <v>6544</v>
      </c>
      <c r="Q20" s="763">
        <f t="shared" si="3"/>
        <v>0</v>
      </c>
      <c r="R20" s="759">
        <f t="shared" si="4"/>
        <v>6544</v>
      </c>
      <c r="S20" s="760">
        <f t="shared" si="4"/>
        <v>6544</v>
      </c>
      <c r="T20" s="843">
        <f t="shared" si="4"/>
        <v>0</v>
      </c>
      <c r="U20" s="886"/>
      <c r="V20" s="887"/>
      <c r="W20" s="888"/>
      <c r="X20" s="889">
        <v>6544</v>
      </c>
      <c r="Y20" s="887">
        <f t="shared" si="5"/>
        <v>6544</v>
      </c>
      <c r="Z20" s="891">
        <f t="shared" si="5"/>
        <v>0</v>
      </c>
    </row>
    <row r="21" spans="1:26" s="497" customFormat="1" ht="27.75" customHeight="1">
      <c r="A21" s="897" t="s">
        <v>900</v>
      </c>
      <c r="B21" s="839">
        <v>138121</v>
      </c>
      <c r="C21" s="760">
        <v>147853</v>
      </c>
      <c r="D21" s="843">
        <v>451</v>
      </c>
      <c r="E21" s="761">
        <v>117402</v>
      </c>
      <c r="F21" s="762">
        <v>117402</v>
      </c>
      <c r="G21" s="846">
        <v>0</v>
      </c>
      <c r="H21" s="761">
        <v>0</v>
      </c>
      <c r="I21" s="762"/>
      <c r="J21" s="846"/>
      <c r="K21" s="761">
        <v>0</v>
      </c>
      <c r="L21" s="762">
        <v>30451</v>
      </c>
      <c r="M21" s="846">
        <v>451</v>
      </c>
      <c r="N21" s="898" t="s">
        <v>900</v>
      </c>
      <c r="O21" s="765">
        <f t="shared" si="3"/>
        <v>20719</v>
      </c>
      <c r="P21" s="762">
        <f t="shared" si="3"/>
        <v>0</v>
      </c>
      <c r="Q21" s="763">
        <f t="shared" si="3"/>
        <v>0</v>
      </c>
      <c r="R21" s="759">
        <f t="shared" si="4"/>
        <v>20719</v>
      </c>
      <c r="S21" s="760">
        <f t="shared" si="4"/>
        <v>0</v>
      </c>
      <c r="T21" s="843">
        <f t="shared" si="4"/>
        <v>0</v>
      </c>
      <c r="U21" s="886"/>
      <c r="V21" s="887"/>
      <c r="W21" s="888"/>
      <c r="X21" s="889">
        <v>20719</v>
      </c>
      <c r="Y21" s="887">
        <f t="shared" si="5"/>
        <v>0</v>
      </c>
      <c r="Z21" s="891">
        <f t="shared" si="5"/>
        <v>0</v>
      </c>
    </row>
    <row r="22" spans="1:26" s="497" customFormat="1" ht="27.75" customHeight="1">
      <c r="A22" s="768"/>
      <c r="B22" s="839"/>
      <c r="C22" s="760"/>
      <c r="D22" s="843"/>
      <c r="E22" s="761"/>
      <c r="F22" s="762"/>
      <c r="G22" s="846"/>
      <c r="H22" s="761"/>
      <c r="I22" s="762"/>
      <c r="J22" s="846"/>
      <c r="K22" s="761"/>
      <c r="L22" s="762"/>
      <c r="M22" s="846"/>
      <c r="N22" s="769"/>
      <c r="O22" s="765"/>
      <c r="P22" s="762"/>
      <c r="Q22" s="763"/>
      <c r="R22" s="759"/>
      <c r="S22" s="760"/>
      <c r="T22" s="843"/>
      <c r="U22" s="886"/>
      <c r="V22" s="887"/>
      <c r="W22" s="888"/>
      <c r="X22" s="889"/>
      <c r="Y22" s="887"/>
      <c r="Z22" s="890"/>
    </row>
    <row r="23" spans="1:26" s="497" customFormat="1" ht="27.75" customHeight="1">
      <c r="A23" s="752" t="s">
        <v>794</v>
      </c>
      <c r="B23" s="838">
        <f>SUM(B24:B25)</f>
        <v>34000</v>
      </c>
      <c r="C23" s="754">
        <f>SUM(C24:C25)</f>
        <v>31900</v>
      </c>
      <c r="D23" s="842">
        <f>SUM(D24:D25)</f>
        <v>13248</v>
      </c>
      <c r="E23" s="753">
        <f aca="true" t="shared" si="6" ref="E23:J23">SUM(E24:E24)</f>
        <v>0</v>
      </c>
      <c r="F23" s="754">
        <f t="shared" si="6"/>
        <v>0</v>
      </c>
      <c r="G23" s="842">
        <f t="shared" si="6"/>
        <v>0</v>
      </c>
      <c r="H23" s="753">
        <f t="shared" si="6"/>
        <v>0</v>
      </c>
      <c r="I23" s="754">
        <f t="shared" si="6"/>
        <v>0</v>
      </c>
      <c r="J23" s="842">
        <f t="shared" si="6"/>
        <v>0</v>
      </c>
      <c r="K23" s="753">
        <f>SUM(K24:K25)</f>
        <v>4248</v>
      </c>
      <c r="L23" s="754">
        <f>SUM(L24:L25)</f>
        <v>13248</v>
      </c>
      <c r="M23" s="842">
        <f>SUM(M24:M25)</f>
        <v>13248</v>
      </c>
      <c r="N23" s="756" t="s">
        <v>794</v>
      </c>
      <c r="O23" s="757">
        <f>SUM(O24:O25)</f>
        <v>29752</v>
      </c>
      <c r="P23" s="754">
        <f>SUM(P24:P25)</f>
        <v>18652</v>
      </c>
      <c r="Q23" s="755">
        <f>SUM(Q24:Q25)</f>
        <v>0</v>
      </c>
      <c r="R23" s="753">
        <f>SUM(R24:R25)</f>
        <v>29752</v>
      </c>
      <c r="S23" s="754">
        <f aca="true" t="shared" si="7" ref="S23:T25">P23</f>
        <v>18652</v>
      </c>
      <c r="T23" s="842">
        <f t="shared" si="7"/>
        <v>0</v>
      </c>
      <c r="U23" s="753">
        <f>SUM(U24:U24)</f>
        <v>0</v>
      </c>
      <c r="V23" s="754">
        <f>SUM(V24:V24)</f>
        <v>0</v>
      </c>
      <c r="W23" s="842">
        <f>SUM(W24:W24)</f>
        <v>0</v>
      </c>
      <c r="X23" s="757">
        <f>SUM(X24:X25)</f>
        <v>29752</v>
      </c>
      <c r="Y23" s="754">
        <f>SUM(Y24:Y25)</f>
        <v>18652</v>
      </c>
      <c r="Z23" s="755">
        <f>SUM(Z24:Z25)</f>
        <v>0</v>
      </c>
    </row>
    <row r="24" spans="1:26" s="497" customFormat="1" ht="27.75" customHeight="1">
      <c r="A24" s="892" t="s">
        <v>904</v>
      </c>
      <c r="B24" s="839">
        <v>20000</v>
      </c>
      <c r="C24" s="760">
        <v>8900</v>
      </c>
      <c r="D24" s="843">
        <v>0</v>
      </c>
      <c r="E24" s="761"/>
      <c r="F24" s="762"/>
      <c r="G24" s="846"/>
      <c r="H24" s="761"/>
      <c r="I24" s="762"/>
      <c r="J24" s="846"/>
      <c r="K24" s="761"/>
      <c r="L24" s="762"/>
      <c r="M24" s="846"/>
      <c r="N24" s="896" t="s">
        <v>904</v>
      </c>
      <c r="O24" s="765">
        <f aca="true" t="shared" si="8" ref="O24:Q25">B24-E24-H24-K24</f>
        <v>20000</v>
      </c>
      <c r="P24" s="762">
        <f t="shared" si="8"/>
        <v>8900</v>
      </c>
      <c r="Q24" s="763">
        <f t="shared" si="8"/>
        <v>0</v>
      </c>
      <c r="R24" s="759">
        <f>O24</f>
        <v>20000</v>
      </c>
      <c r="S24" s="760">
        <f t="shared" si="7"/>
        <v>8900</v>
      </c>
      <c r="T24" s="843">
        <f t="shared" si="7"/>
        <v>0</v>
      </c>
      <c r="U24" s="886"/>
      <c r="V24" s="887"/>
      <c r="W24" s="888"/>
      <c r="X24" s="889">
        <v>20000</v>
      </c>
      <c r="Y24" s="887">
        <f>S24-V24</f>
        <v>8900</v>
      </c>
      <c r="Z24" s="891">
        <f>T24-W24</f>
        <v>0</v>
      </c>
    </row>
    <row r="25" spans="1:26" s="497" customFormat="1" ht="27.75" customHeight="1">
      <c r="A25" s="892" t="s">
        <v>827</v>
      </c>
      <c r="B25" s="839">
        <v>14000</v>
      </c>
      <c r="C25" s="760">
        <v>23000</v>
      </c>
      <c r="D25" s="843">
        <v>13248</v>
      </c>
      <c r="E25" s="761"/>
      <c r="F25" s="762"/>
      <c r="G25" s="846"/>
      <c r="H25" s="761"/>
      <c r="I25" s="762"/>
      <c r="J25" s="846"/>
      <c r="K25" s="761">
        <v>4248</v>
      </c>
      <c r="L25" s="762">
        <v>13248</v>
      </c>
      <c r="M25" s="846">
        <v>13248</v>
      </c>
      <c r="N25" s="896" t="s">
        <v>827</v>
      </c>
      <c r="O25" s="765">
        <f t="shared" si="8"/>
        <v>9752</v>
      </c>
      <c r="P25" s="762">
        <f t="shared" si="8"/>
        <v>9752</v>
      </c>
      <c r="Q25" s="763">
        <f t="shared" si="8"/>
        <v>0</v>
      </c>
      <c r="R25" s="759">
        <v>9752</v>
      </c>
      <c r="S25" s="760">
        <f t="shared" si="7"/>
        <v>9752</v>
      </c>
      <c r="T25" s="843">
        <f t="shared" si="7"/>
        <v>0</v>
      </c>
      <c r="U25" s="886"/>
      <c r="V25" s="887"/>
      <c r="W25" s="888"/>
      <c r="X25" s="889">
        <v>9752</v>
      </c>
      <c r="Y25" s="887">
        <f>S25-V25</f>
        <v>9752</v>
      </c>
      <c r="Z25" s="891">
        <f>T25-W25</f>
        <v>0</v>
      </c>
    </row>
    <row r="26" spans="1:26" s="497" customFormat="1" ht="27.75" customHeight="1">
      <c r="A26" s="768"/>
      <c r="B26" s="839"/>
      <c r="C26" s="760"/>
      <c r="D26" s="843"/>
      <c r="E26" s="761"/>
      <c r="F26" s="762"/>
      <c r="G26" s="846"/>
      <c r="H26" s="761"/>
      <c r="I26" s="762"/>
      <c r="J26" s="846"/>
      <c r="K26" s="761"/>
      <c r="L26" s="762"/>
      <c r="M26" s="846"/>
      <c r="N26" s="769"/>
      <c r="O26" s="765"/>
      <c r="P26" s="762"/>
      <c r="Q26" s="763"/>
      <c r="R26" s="759"/>
      <c r="S26" s="760"/>
      <c r="T26" s="843"/>
      <c r="U26" s="886"/>
      <c r="V26" s="887"/>
      <c r="W26" s="888"/>
      <c r="X26" s="889"/>
      <c r="Y26" s="887"/>
      <c r="Z26" s="890"/>
    </row>
    <row r="27" spans="1:26" s="497" customFormat="1" ht="27.75" customHeight="1">
      <c r="A27" s="752" t="s">
        <v>453</v>
      </c>
      <c r="B27" s="838">
        <f aca="true" t="shared" si="9" ref="B27:Q27">SUM(B29)</f>
        <v>30000</v>
      </c>
      <c r="C27" s="754">
        <f>SUM(C29)</f>
        <v>30000</v>
      </c>
      <c r="D27" s="757">
        <f t="shared" si="9"/>
        <v>8000</v>
      </c>
      <c r="E27" s="753">
        <f t="shared" si="9"/>
        <v>0</v>
      </c>
      <c r="F27" s="754">
        <f>SUM(F29)</f>
        <v>0</v>
      </c>
      <c r="G27" s="842">
        <f t="shared" si="9"/>
        <v>0</v>
      </c>
      <c r="H27" s="753">
        <f t="shared" si="9"/>
        <v>0</v>
      </c>
      <c r="I27" s="754">
        <f>SUM(I29)</f>
        <v>0</v>
      </c>
      <c r="J27" s="842">
        <f t="shared" si="9"/>
        <v>0</v>
      </c>
      <c r="K27" s="753">
        <f t="shared" si="9"/>
        <v>0</v>
      </c>
      <c r="L27" s="754">
        <f>SUM(L29)</f>
        <v>8000</v>
      </c>
      <c r="M27" s="842">
        <f t="shared" si="9"/>
        <v>8000</v>
      </c>
      <c r="N27" s="756" t="s">
        <v>453</v>
      </c>
      <c r="O27" s="757">
        <f t="shared" si="9"/>
        <v>30000</v>
      </c>
      <c r="P27" s="757">
        <f t="shared" si="9"/>
        <v>22000</v>
      </c>
      <c r="Q27" s="755">
        <f t="shared" si="9"/>
        <v>0</v>
      </c>
      <c r="R27" s="753">
        <f>SUM(R29)</f>
        <v>30000</v>
      </c>
      <c r="S27" s="754">
        <f>P27</f>
        <v>22000</v>
      </c>
      <c r="T27" s="842">
        <f>Q27</f>
        <v>0</v>
      </c>
      <c r="U27" s="753">
        <f aca="true" t="shared" si="10" ref="U27:Z27">SUM(U29)</f>
        <v>0</v>
      </c>
      <c r="V27" s="754">
        <f>SUM(V29)</f>
        <v>0</v>
      </c>
      <c r="W27" s="842">
        <f t="shared" si="10"/>
        <v>0</v>
      </c>
      <c r="X27" s="757">
        <f t="shared" si="10"/>
        <v>30000</v>
      </c>
      <c r="Y27" s="754">
        <f t="shared" si="10"/>
        <v>22000</v>
      </c>
      <c r="Z27" s="755">
        <f t="shared" si="10"/>
        <v>0</v>
      </c>
    </row>
    <row r="28" spans="1:26" s="497" customFormat="1" ht="27.75" customHeight="1">
      <c r="A28" s="768"/>
      <c r="B28" s="839"/>
      <c r="C28" s="760"/>
      <c r="D28" s="843"/>
      <c r="E28" s="761"/>
      <c r="F28" s="762"/>
      <c r="G28" s="846"/>
      <c r="H28" s="761"/>
      <c r="I28" s="762"/>
      <c r="J28" s="846"/>
      <c r="K28" s="761"/>
      <c r="L28" s="762"/>
      <c r="M28" s="846"/>
      <c r="N28" s="769"/>
      <c r="O28" s="765"/>
      <c r="P28" s="762"/>
      <c r="Q28" s="763"/>
      <c r="R28" s="759"/>
      <c r="S28" s="760"/>
      <c r="T28" s="843"/>
      <c r="U28" s="886"/>
      <c r="V28" s="887"/>
      <c r="W28" s="888"/>
      <c r="X28" s="889"/>
      <c r="Y28" s="887"/>
      <c r="Z28" s="890"/>
    </row>
    <row r="29" spans="1:26" s="497" customFormat="1" ht="27.75" customHeight="1">
      <c r="A29" s="752" t="s">
        <v>794</v>
      </c>
      <c r="B29" s="838">
        <f aca="true" t="shared" si="11" ref="B29:Q29">SUM(B30:B30)</f>
        <v>30000</v>
      </c>
      <c r="C29" s="754">
        <f t="shared" si="11"/>
        <v>30000</v>
      </c>
      <c r="D29" s="757">
        <f t="shared" si="11"/>
        <v>8000</v>
      </c>
      <c r="E29" s="753">
        <f t="shared" si="11"/>
        <v>0</v>
      </c>
      <c r="F29" s="754">
        <f t="shared" si="11"/>
        <v>0</v>
      </c>
      <c r="G29" s="842">
        <f t="shared" si="11"/>
        <v>0</v>
      </c>
      <c r="H29" s="753">
        <f t="shared" si="11"/>
        <v>0</v>
      </c>
      <c r="I29" s="754">
        <f t="shared" si="11"/>
        <v>0</v>
      </c>
      <c r="J29" s="842">
        <f t="shared" si="11"/>
        <v>0</v>
      </c>
      <c r="K29" s="753">
        <f t="shared" si="11"/>
        <v>0</v>
      </c>
      <c r="L29" s="754">
        <f t="shared" si="11"/>
        <v>8000</v>
      </c>
      <c r="M29" s="842">
        <f t="shared" si="11"/>
        <v>8000</v>
      </c>
      <c r="N29" s="756" t="s">
        <v>794</v>
      </c>
      <c r="O29" s="757">
        <f t="shared" si="11"/>
        <v>30000</v>
      </c>
      <c r="P29" s="757">
        <f t="shared" si="11"/>
        <v>22000</v>
      </c>
      <c r="Q29" s="755">
        <f t="shared" si="11"/>
        <v>0</v>
      </c>
      <c r="R29" s="753">
        <f>SUM(R30:R30)</f>
        <v>30000</v>
      </c>
      <c r="S29" s="757">
        <f>SUM(S30:S30)</f>
        <v>22000</v>
      </c>
      <c r="T29" s="757">
        <f>SUM(T30:T30)</f>
        <v>0</v>
      </c>
      <c r="U29" s="753">
        <f aca="true" t="shared" si="12" ref="U29:Z29">SUM(U30:U30)</f>
        <v>0</v>
      </c>
      <c r="V29" s="754">
        <f t="shared" si="12"/>
        <v>0</v>
      </c>
      <c r="W29" s="842">
        <f t="shared" si="12"/>
        <v>0</v>
      </c>
      <c r="X29" s="757">
        <f t="shared" si="12"/>
        <v>30000</v>
      </c>
      <c r="Y29" s="757">
        <f t="shared" si="12"/>
        <v>22000</v>
      </c>
      <c r="Z29" s="757">
        <f t="shared" si="12"/>
        <v>0</v>
      </c>
    </row>
    <row r="30" spans="1:26" s="497" customFormat="1" ht="27.75" customHeight="1">
      <c r="A30" s="897" t="s">
        <v>937</v>
      </c>
      <c r="B30" s="893">
        <v>30000</v>
      </c>
      <c r="C30" s="894">
        <v>30000</v>
      </c>
      <c r="D30" s="895">
        <v>8000</v>
      </c>
      <c r="E30" s="761"/>
      <c r="F30" s="762"/>
      <c r="G30" s="846"/>
      <c r="H30" s="761"/>
      <c r="I30" s="762"/>
      <c r="J30" s="846"/>
      <c r="K30" s="761"/>
      <c r="L30" s="762">
        <v>8000</v>
      </c>
      <c r="M30" s="846">
        <v>8000</v>
      </c>
      <c r="N30" s="898" t="s">
        <v>937</v>
      </c>
      <c r="O30" s="765">
        <f>B30-E30-H30-K30</f>
        <v>30000</v>
      </c>
      <c r="P30" s="762">
        <v>22000</v>
      </c>
      <c r="Q30" s="763">
        <v>0</v>
      </c>
      <c r="R30" s="759">
        <f>O30</f>
        <v>30000</v>
      </c>
      <c r="S30" s="760">
        <v>22000</v>
      </c>
      <c r="T30" s="843">
        <v>0</v>
      </c>
      <c r="U30" s="886"/>
      <c r="V30" s="887"/>
      <c r="W30" s="888"/>
      <c r="X30" s="889">
        <v>30000</v>
      </c>
      <c r="Y30" s="887">
        <f>S30-V30</f>
        <v>22000</v>
      </c>
      <c r="Z30" s="891">
        <v>0</v>
      </c>
    </row>
    <row r="31" spans="1:26" s="497" customFormat="1" ht="27.75" customHeight="1">
      <c r="A31" s="770"/>
      <c r="B31" s="770"/>
      <c r="C31" s="772"/>
      <c r="D31" s="844"/>
      <c r="E31" s="771"/>
      <c r="F31" s="772"/>
      <c r="G31" s="844"/>
      <c r="H31" s="771"/>
      <c r="I31" s="772"/>
      <c r="J31" s="844"/>
      <c r="K31" s="771"/>
      <c r="L31" s="772"/>
      <c r="M31" s="844"/>
      <c r="N31" s="773"/>
      <c r="O31" s="774"/>
      <c r="P31" s="762"/>
      <c r="Q31" s="763"/>
      <c r="R31" s="759"/>
      <c r="S31" s="760"/>
      <c r="T31" s="843"/>
      <c r="U31" s="886"/>
      <c r="V31" s="887"/>
      <c r="W31" s="888"/>
      <c r="X31" s="889"/>
      <c r="Y31" s="887"/>
      <c r="Z31" s="890"/>
    </row>
    <row r="32" spans="1:26" s="498" customFormat="1" ht="27.75" customHeight="1" thickBot="1">
      <c r="A32" s="775" t="s">
        <v>454</v>
      </c>
      <c r="B32" s="840">
        <f aca="true" t="shared" si="13" ref="B32:O32">SUM(B8,B27)</f>
        <v>2821393</v>
      </c>
      <c r="C32" s="777">
        <f>SUM(C8,C27)</f>
        <v>1766155</v>
      </c>
      <c r="D32" s="845">
        <f t="shared" si="13"/>
        <v>42798</v>
      </c>
      <c r="E32" s="776">
        <f t="shared" si="13"/>
        <v>1874396</v>
      </c>
      <c r="F32" s="777">
        <f>SUM(F8,F27)</f>
        <v>811526</v>
      </c>
      <c r="G32" s="845">
        <f t="shared" si="13"/>
        <v>3354</v>
      </c>
      <c r="H32" s="776">
        <f t="shared" si="13"/>
        <v>196680</v>
      </c>
      <c r="I32" s="777">
        <f>SUM(I8,I27)</f>
        <v>196680</v>
      </c>
      <c r="J32" s="845">
        <f>SUM(J8,J27)</f>
        <v>0</v>
      </c>
      <c r="K32" s="776">
        <f t="shared" si="13"/>
        <v>35599</v>
      </c>
      <c r="L32" s="777">
        <f>SUM(L8,L27)</f>
        <v>83050</v>
      </c>
      <c r="M32" s="845">
        <f t="shared" si="13"/>
        <v>39444</v>
      </c>
      <c r="N32" s="779" t="s">
        <v>454</v>
      </c>
      <c r="O32" s="780">
        <f t="shared" si="13"/>
        <v>714718</v>
      </c>
      <c r="P32" s="777">
        <f>C32-F32-I32-L32</f>
        <v>674899</v>
      </c>
      <c r="Q32" s="778">
        <f>D32-G32-J32-M32</f>
        <v>0</v>
      </c>
      <c r="R32" s="776">
        <f aca="true" t="shared" si="14" ref="R32:X32">SUM(R8,R27)</f>
        <v>714718</v>
      </c>
      <c r="S32" s="777">
        <f>SUM(S8,S27)</f>
        <v>674899</v>
      </c>
      <c r="T32" s="845">
        <f t="shared" si="14"/>
        <v>0</v>
      </c>
      <c r="U32" s="776">
        <f t="shared" si="14"/>
        <v>250000</v>
      </c>
      <c r="V32" s="777">
        <f>SUM(V8,V27)</f>
        <v>250000</v>
      </c>
      <c r="W32" s="845">
        <f t="shared" si="14"/>
        <v>0</v>
      </c>
      <c r="X32" s="780">
        <f t="shared" si="14"/>
        <v>464718</v>
      </c>
      <c r="Y32" s="777">
        <f>SUM(Y8,Y27)</f>
        <v>424899</v>
      </c>
      <c r="Z32" s="778">
        <f>SUM(Z8,Z27)</f>
        <v>0</v>
      </c>
    </row>
    <row r="33" spans="1:25" s="497" customFormat="1" ht="12.75">
      <c r="A33" s="496"/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Y33" s="499"/>
    </row>
    <row r="34" spans="1:25" s="497" customFormat="1" ht="12.75">
      <c r="A34" s="496"/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8" t="s">
        <v>341</v>
      </c>
      <c r="O34" s="496"/>
      <c r="P34" s="496"/>
      <c r="Q34" s="496"/>
      <c r="R34" s="496"/>
      <c r="S34" s="496"/>
      <c r="T34" s="496"/>
      <c r="Y34" s="499"/>
    </row>
    <row r="35" spans="1:25" s="497" customFormat="1" ht="12.75">
      <c r="A35" s="496"/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8" t="s">
        <v>342</v>
      </c>
      <c r="O35" s="496"/>
      <c r="P35" s="496"/>
      <c r="Q35" s="496"/>
      <c r="R35" s="496"/>
      <c r="S35" s="496"/>
      <c r="T35" s="496"/>
      <c r="Y35" s="499"/>
    </row>
    <row r="36" spans="1:25" s="497" customFormat="1" ht="12.75">
      <c r="A36" s="496"/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8" t="s">
        <v>343</v>
      </c>
      <c r="O36" s="496"/>
      <c r="P36" s="496"/>
      <c r="Q36" s="496"/>
      <c r="R36" s="496"/>
      <c r="S36" s="496"/>
      <c r="T36" s="496"/>
      <c r="Y36" s="499"/>
    </row>
    <row r="37" spans="1:25" s="497" customFormat="1" ht="12.75">
      <c r="A37" s="496"/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Y37" s="499"/>
    </row>
    <row r="38" spans="1:25" s="497" customFormat="1" ht="12.75">
      <c r="A38" s="496"/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Y38" s="499"/>
    </row>
    <row r="39" spans="1:25" s="497" customFormat="1" ht="12.75">
      <c r="A39" s="496"/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Y39" s="499"/>
    </row>
    <row r="40" spans="1:25" s="497" customFormat="1" ht="12.75">
      <c r="A40" s="496"/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Y40" s="499"/>
    </row>
    <row r="41" spans="1:25" s="497" customFormat="1" ht="12.75">
      <c r="A41" s="496"/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Y41" s="499"/>
    </row>
    <row r="42" spans="1:25" s="497" customFormat="1" ht="12.75">
      <c r="A42" s="496"/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Y42" s="499"/>
    </row>
    <row r="43" spans="1:25" s="497" customFormat="1" ht="12.75">
      <c r="A43" s="496"/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Y43" s="499"/>
    </row>
    <row r="44" spans="1:25" s="497" customFormat="1" ht="12.75">
      <c r="A44" s="496"/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Y44" s="499"/>
    </row>
    <row r="45" spans="1:25" s="497" customFormat="1" ht="12.75">
      <c r="A45" s="496"/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Y45" s="499"/>
    </row>
    <row r="46" spans="1:25" s="497" customFormat="1" ht="12.75">
      <c r="A46" s="496"/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Y46" s="499"/>
    </row>
    <row r="47" spans="1:25" s="497" customFormat="1" ht="12.75">
      <c r="A47" s="496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Y47" s="499"/>
    </row>
    <row r="48" spans="1:25" s="497" customFormat="1" ht="12.75">
      <c r="A48" s="496"/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Y48" s="499"/>
    </row>
    <row r="49" spans="1:25" s="497" customFormat="1" ht="12.75">
      <c r="A49" s="496"/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Y49" s="499"/>
    </row>
    <row r="50" spans="1:25" s="497" customFormat="1" ht="12.75">
      <c r="A50" s="496"/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Y50" s="499"/>
    </row>
    <row r="51" spans="1:25" s="497" customFormat="1" ht="12.75">
      <c r="A51" s="496"/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Y51" s="499"/>
    </row>
    <row r="52" spans="1:25" s="497" customFormat="1" ht="12.75">
      <c r="A52" s="496"/>
      <c r="B52" s="496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Y52" s="499"/>
    </row>
    <row r="53" spans="1:25" s="497" customFormat="1" ht="12.75">
      <c r="A53" s="496"/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Y53" s="499"/>
    </row>
    <row r="54" spans="1:25" s="497" customFormat="1" ht="12.75">
      <c r="A54" s="496"/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Y54" s="499"/>
    </row>
    <row r="55" spans="1:25" s="497" customFormat="1" ht="12.75">
      <c r="A55" s="496"/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Y55" s="499"/>
    </row>
    <row r="56" spans="1:25" s="497" customFormat="1" ht="12.75">
      <c r="A56" s="496"/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Y56" s="499"/>
    </row>
    <row r="57" spans="1:25" s="497" customFormat="1" ht="12.75">
      <c r="A57" s="496"/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Y57" s="499"/>
    </row>
    <row r="58" spans="1:25" s="497" customFormat="1" ht="12.75">
      <c r="A58" s="496"/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Y58" s="499"/>
    </row>
    <row r="59" spans="1:25" s="497" customFormat="1" ht="12.75">
      <c r="A59" s="496"/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Y59" s="499"/>
    </row>
    <row r="60" spans="1:25" s="497" customFormat="1" ht="12.75">
      <c r="A60" s="496"/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Y60" s="499"/>
    </row>
    <row r="61" spans="1:25" s="497" customFormat="1" ht="12.75">
      <c r="A61" s="496"/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Y61" s="499"/>
    </row>
    <row r="62" spans="1:25" s="497" customFormat="1" ht="12.75">
      <c r="A62" s="496"/>
      <c r="B62" s="496"/>
      <c r="C62" s="496"/>
      <c r="D62" s="496"/>
      <c r="E62" s="496"/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Y62" s="499"/>
    </row>
    <row r="63" spans="1:25" s="497" customFormat="1" ht="12.75">
      <c r="A63" s="496"/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Y63" s="499"/>
    </row>
    <row r="64" spans="1:25" s="497" customFormat="1" ht="12.75">
      <c r="A64" s="496"/>
      <c r="B64" s="496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96"/>
      <c r="T64" s="496"/>
      <c r="Y64" s="499"/>
    </row>
    <row r="65" spans="1:25" s="497" customFormat="1" ht="12.75">
      <c r="A65" s="496"/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Y65" s="499"/>
    </row>
    <row r="66" spans="1:25" s="497" customFormat="1" ht="12.75">
      <c r="A66" s="496"/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Y66" s="499"/>
    </row>
    <row r="67" spans="1:25" s="497" customFormat="1" ht="12.75">
      <c r="A67" s="496"/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Y67" s="499"/>
    </row>
    <row r="68" spans="1:25" s="497" customFormat="1" ht="12.75">
      <c r="A68" s="496"/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Y68" s="499"/>
    </row>
    <row r="69" spans="1:25" s="497" customFormat="1" ht="12.75">
      <c r="A69" s="496"/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Y69" s="499"/>
    </row>
    <row r="70" spans="1:25" s="497" customFormat="1" ht="12.75">
      <c r="A70" s="496"/>
      <c r="B70" s="496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Y70" s="499"/>
    </row>
    <row r="71" spans="1:25" s="497" customFormat="1" ht="12.75">
      <c r="A71" s="496"/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Y71" s="499"/>
    </row>
    <row r="72" spans="1:25" s="497" customFormat="1" ht="12.75">
      <c r="A72" s="496"/>
      <c r="B72" s="496"/>
      <c r="C72" s="496"/>
      <c r="D72" s="496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Y72" s="499"/>
    </row>
    <row r="73" spans="1:25" s="497" customFormat="1" ht="12.75">
      <c r="A73" s="496"/>
      <c r="B73" s="496"/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Y73" s="499"/>
    </row>
    <row r="74" spans="1:25" s="497" customFormat="1" ht="12.75">
      <c r="A74" s="496"/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Y74" s="499"/>
    </row>
    <row r="75" spans="1:25" s="497" customFormat="1" ht="12.75">
      <c r="A75" s="496"/>
      <c r="B75" s="496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Y75" s="499"/>
    </row>
    <row r="76" spans="1:25" s="497" customFormat="1" ht="12.75">
      <c r="A76" s="496"/>
      <c r="B76" s="496"/>
      <c r="C76" s="496"/>
      <c r="D76" s="496"/>
      <c r="E76" s="496"/>
      <c r="F76" s="496"/>
      <c r="G76" s="496"/>
      <c r="H76" s="496"/>
      <c r="I76" s="496"/>
      <c r="J76" s="496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Y76" s="499"/>
    </row>
    <row r="77" spans="1:25" s="497" customFormat="1" ht="12.75">
      <c r="A77" s="496"/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Y77" s="499"/>
    </row>
    <row r="78" spans="1:25" s="497" customFormat="1" ht="12.75">
      <c r="A78" s="496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Y78" s="499"/>
    </row>
    <row r="79" spans="1:25" s="497" customFormat="1" ht="12.75">
      <c r="A79" s="496"/>
      <c r="B79" s="496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Y79" s="499"/>
    </row>
    <row r="80" spans="1:25" s="497" customFormat="1" ht="12.75">
      <c r="A80" s="496"/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Y80" s="499"/>
    </row>
    <row r="81" spans="1:25" s="497" customFormat="1" ht="12.75">
      <c r="A81" s="496"/>
      <c r="B81" s="496"/>
      <c r="C81" s="496"/>
      <c r="D81" s="496"/>
      <c r="E81" s="496"/>
      <c r="F81" s="496"/>
      <c r="G81" s="496"/>
      <c r="H81" s="496"/>
      <c r="I81" s="496"/>
      <c r="J81" s="496"/>
      <c r="K81" s="496"/>
      <c r="L81" s="496"/>
      <c r="M81" s="496"/>
      <c r="N81" s="496"/>
      <c r="O81" s="496"/>
      <c r="P81" s="496"/>
      <c r="Q81" s="496"/>
      <c r="R81" s="496"/>
      <c r="S81" s="496"/>
      <c r="T81" s="496"/>
      <c r="Y81" s="499"/>
    </row>
    <row r="82" spans="1:25" s="497" customFormat="1" ht="12.75">
      <c r="A82" s="496"/>
      <c r="B82" s="496"/>
      <c r="C82" s="496"/>
      <c r="D82" s="496"/>
      <c r="E82" s="496"/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6"/>
      <c r="T82" s="496"/>
      <c r="Y82" s="499"/>
    </row>
    <row r="83" spans="1:25" s="497" customFormat="1" ht="12.75">
      <c r="A83" s="496"/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Y83" s="499"/>
    </row>
    <row r="84" spans="1:25" s="497" customFormat="1" ht="12.75">
      <c r="A84" s="496"/>
      <c r="B84" s="496"/>
      <c r="C84" s="496"/>
      <c r="D84" s="496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Y84" s="499"/>
    </row>
    <row r="85" spans="1:25" s="497" customFormat="1" ht="12.75">
      <c r="A85" s="496"/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Y85" s="499"/>
    </row>
    <row r="86" spans="1:25" s="497" customFormat="1" ht="12.75">
      <c r="A86" s="496"/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Y86" s="499"/>
    </row>
    <row r="87" spans="1:25" s="497" customFormat="1" ht="12.75">
      <c r="A87" s="496"/>
      <c r="B87" s="496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Y87" s="499"/>
    </row>
    <row r="88" spans="1:25" s="497" customFormat="1" ht="12.75">
      <c r="A88" s="496"/>
      <c r="B88" s="496"/>
      <c r="C88" s="496"/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Y88" s="499"/>
    </row>
    <row r="89" spans="1:25" s="497" customFormat="1" ht="12.75">
      <c r="A89" s="496"/>
      <c r="B89" s="496"/>
      <c r="C89" s="496"/>
      <c r="D89" s="496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Y89" s="499"/>
    </row>
    <row r="90" spans="1:25" s="497" customFormat="1" ht="12.75">
      <c r="A90" s="496"/>
      <c r="B90" s="496"/>
      <c r="C90" s="496"/>
      <c r="D90" s="496"/>
      <c r="E90" s="496"/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  <c r="R90" s="496"/>
      <c r="S90" s="496"/>
      <c r="T90" s="496"/>
      <c r="Y90" s="499"/>
    </row>
    <row r="91" spans="1:25" s="497" customFormat="1" ht="12.75">
      <c r="A91" s="496"/>
      <c r="B91" s="496"/>
      <c r="C91" s="496"/>
      <c r="D91" s="496"/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Y91" s="499"/>
    </row>
    <row r="92" spans="1:25" s="497" customFormat="1" ht="12.75">
      <c r="A92" s="496"/>
      <c r="B92" s="496"/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Y92" s="499"/>
    </row>
    <row r="93" spans="1:25" s="497" customFormat="1" ht="12.75">
      <c r="A93" s="496"/>
      <c r="B93" s="496"/>
      <c r="C93" s="496"/>
      <c r="D93" s="496"/>
      <c r="E93" s="496"/>
      <c r="F93" s="496"/>
      <c r="G93" s="496"/>
      <c r="H93" s="496"/>
      <c r="I93" s="496"/>
      <c r="J93" s="496"/>
      <c r="K93" s="496"/>
      <c r="L93" s="496"/>
      <c r="M93" s="496"/>
      <c r="N93" s="496"/>
      <c r="O93" s="496"/>
      <c r="P93" s="496"/>
      <c r="Q93" s="496"/>
      <c r="R93" s="496"/>
      <c r="S93" s="496"/>
      <c r="T93" s="496"/>
      <c r="Y93" s="499"/>
    </row>
    <row r="94" spans="1:25" s="497" customFormat="1" ht="12.75">
      <c r="A94" s="496"/>
      <c r="B94" s="496"/>
      <c r="C94" s="496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Y94" s="499"/>
    </row>
    <row r="95" spans="1:25" s="497" customFormat="1" ht="12.75">
      <c r="A95" s="496"/>
      <c r="B95" s="496"/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Y95" s="499"/>
    </row>
    <row r="96" spans="1:25" s="497" customFormat="1" ht="12.75">
      <c r="A96" s="496"/>
      <c r="B96" s="496"/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Y96" s="499"/>
    </row>
    <row r="97" spans="1:25" s="497" customFormat="1" ht="12.75">
      <c r="A97" s="496"/>
      <c r="B97" s="496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Y97" s="499"/>
    </row>
    <row r="98" spans="1:25" s="497" customFormat="1" ht="12.75">
      <c r="A98" s="496"/>
      <c r="B98" s="496"/>
      <c r="C98" s="496"/>
      <c r="D98" s="496"/>
      <c r="E98" s="496"/>
      <c r="F98" s="496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Y98" s="499"/>
    </row>
    <row r="99" spans="1:25" s="497" customFormat="1" ht="12.75">
      <c r="A99" s="496"/>
      <c r="B99" s="496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Y99" s="499"/>
    </row>
    <row r="100" spans="1:25" s="497" customFormat="1" ht="12.75">
      <c r="A100" s="496"/>
      <c r="B100" s="496"/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Y100" s="499"/>
    </row>
    <row r="101" spans="1:25" s="497" customFormat="1" ht="12.75">
      <c r="A101" s="496"/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Y101" s="499"/>
    </row>
    <row r="102" spans="1:25" s="497" customFormat="1" ht="12.75">
      <c r="A102" s="496"/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Y102" s="499"/>
    </row>
    <row r="103" spans="1:25" s="497" customFormat="1" ht="12.75">
      <c r="A103" s="496"/>
      <c r="B103" s="496"/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Y103" s="499"/>
    </row>
    <row r="104" spans="1:25" s="497" customFormat="1" ht="12.75">
      <c r="A104" s="496"/>
      <c r="B104" s="496"/>
      <c r="C104" s="496"/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Y104" s="499"/>
    </row>
    <row r="105" spans="1:25" s="497" customFormat="1" ht="12.75">
      <c r="A105" s="496"/>
      <c r="B105" s="496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Y105" s="499"/>
    </row>
    <row r="106" spans="1:25" s="497" customFormat="1" ht="12.75">
      <c r="A106" s="496"/>
      <c r="B106" s="496"/>
      <c r="C106" s="496"/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Y106" s="499"/>
    </row>
    <row r="107" spans="1:25" s="497" customFormat="1" ht="12.75">
      <c r="A107" s="496"/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Y107" s="499"/>
    </row>
    <row r="108" spans="1:25" s="497" customFormat="1" ht="12.75">
      <c r="A108" s="496"/>
      <c r="B108" s="496"/>
      <c r="C108" s="496"/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Y108" s="499"/>
    </row>
    <row r="109" spans="1:25" s="497" customFormat="1" ht="12.75">
      <c r="A109" s="496"/>
      <c r="B109" s="496"/>
      <c r="C109" s="496"/>
      <c r="D109" s="496"/>
      <c r="E109" s="496"/>
      <c r="F109" s="496"/>
      <c r="G109" s="496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Y109" s="499"/>
    </row>
    <row r="110" spans="1:25" s="497" customFormat="1" ht="12.75">
      <c r="A110" s="496"/>
      <c r="B110" s="496"/>
      <c r="C110" s="496"/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Y110" s="499"/>
    </row>
    <row r="111" spans="1:25" s="497" customFormat="1" ht="12.75">
      <c r="A111" s="496"/>
      <c r="B111" s="496"/>
      <c r="C111" s="496"/>
      <c r="D111" s="496"/>
      <c r="E111" s="496"/>
      <c r="F111" s="496"/>
      <c r="G111" s="496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Y111" s="499"/>
    </row>
    <row r="112" spans="1:25" s="497" customFormat="1" ht="12.75">
      <c r="A112" s="496"/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Y112" s="499"/>
    </row>
    <row r="113" spans="1:25" s="497" customFormat="1" ht="12.75">
      <c r="A113" s="496"/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Y113" s="499"/>
    </row>
    <row r="114" spans="1:25" s="497" customFormat="1" ht="12.75">
      <c r="A114" s="496"/>
      <c r="B114" s="496"/>
      <c r="C114" s="496"/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Y114" s="499"/>
    </row>
    <row r="115" spans="1:25" s="497" customFormat="1" ht="12.75">
      <c r="A115" s="496"/>
      <c r="B115" s="496"/>
      <c r="C115" s="496"/>
      <c r="D115" s="496"/>
      <c r="E115" s="496"/>
      <c r="F115" s="496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Y115" s="499"/>
    </row>
    <row r="116" spans="1:25" s="497" customFormat="1" ht="12.75">
      <c r="A116" s="496"/>
      <c r="B116" s="496"/>
      <c r="C116" s="496"/>
      <c r="D116" s="496"/>
      <c r="E116" s="496"/>
      <c r="F116" s="496"/>
      <c r="G116" s="496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  <c r="R116" s="496"/>
      <c r="S116" s="496"/>
      <c r="T116" s="496"/>
      <c r="Y116" s="499"/>
    </row>
    <row r="117" spans="1:25" s="497" customFormat="1" ht="12.75">
      <c r="A117" s="496"/>
      <c r="B117" s="496"/>
      <c r="C117" s="496"/>
      <c r="D117" s="496"/>
      <c r="E117" s="496"/>
      <c r="F117" s="496"/>
      <c r="G117" s="496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Y117" s="499"/>
    </row>
    <row r="118" spans="1:25" s="497" customFormat="1" ht="12.75">
      <c r="A118" s="496"/>
      <c r="B118" s="496"/>
      <c r="C118" s="496"/>
      <c r="D118" s="496"/>
      <c r="E118" s="496"/>
      <c r="F118" s="496"/>
      <c r="G118" s="496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Y118" s="499"/>
    </row>
    <row r="119" spans="1:25" s="497" customFormat="1" ht="12.75">
      <c r="A119" s="496"/>
      <c r="B119" s="496"/>
      <c r="C119" s="496"/>
      <c r="D119" s="496"/>
      <c r="E119" s="496"/>
      <c r="F119" s="496"/>
      <c r="G119" s="496"/>
      <c r="H119" s="496"/>
      <c r="I119" s="496"/>
      <c r="J119" s="496"/>
      <c r="K119" s="496"/>
      <c r="L119" s="496"/>
      <c r="M119" s="496"/>
      <c r="N119" s="496"/>
      <c r="O119" s="496"/>
      <c r="P119" s="496"/>
      <c r="Q119" s="496"/>
      <c r="R119" s="496"/>
      <c r="S119" s="496"/>
      <c r="T119" s="496"/>
      <c r="Y119" s="499"/>
    </row>
    <row r="120" spans="1:25" s="497" customFormat="1" ht="12.75">
      <c r="A120" s="496"/>
      <c r="B120" s="496"/>
      <c r="C120" s="496"/>
      <c r="D120" s="496"/>
      <c r="E120" s="496"/>
      <c r="F120" s="496"/>
      <c r="G120" s="496"/>
      <c r="H120" s="496"/>
      <c r="I120" s="496"/>
      <c r="J120" s="496"/>
      <c r="K120" s="496"/>
      <c r="L120" s="496"/>
      <c r="M120" s="496"/>
      <c r="N120" s="496"/>
      <c r="O120" s="496"/>
      <c r="P120" s="496"/>
      <c r="Q120" s="496"/>
      <c r="R120" s="496"/>
      <c r="S120" s="496"/>
      <c r="T120" s="496"/>
      <c r="Y120" s="499"/>
    </row>
    <row r="121" spans="1:25" s="497" customFormat="1" ht="12.75">
      <c r="A121" s="496"/>
      <c r="B121" s="496"/>
      <c r="C121" s="496"/>
      <c r="D121" s="496"/>
      <c r="E121" s="496"/>
      <c r="F121" s="496"/>
      <c r="G121" s="496"/>
      <c r="H121" s="496"/>
      <c r="I121" s="496"/>
      <c r="J121" s="496"/>
      <c r="K121" s="496"/>
      <c r="L121" s="496"/>
      <c r="M121" s="496"/>
      <c r="N121" s="496"/>
      <c r="O121" s="496"/>
      <c r="P121" s="496"/>
      <c r="Q121" s="496"/>
      <c r="R121" s="496"/>
      <c r="S121" s="496"/>
      <c r="T121" s="496"/>
      <c r="Y121" s="499"/>
    </row>
    <row r="122" spans="1:25" s="497" customFormat="1" ht="12.75">
      <c r="A122" s="496"/>
      <c r="B122" s="496"/>
      <c r="C122" s="496"/>
      <c r="D122" s="496"/>
      <c r="E122" s="496"/>
      <c r="F122" s="496"/>
      <c r="G122" s="496"/>
      <c r="H122" s="496"/>
      <c r="I122" s="496"/>
      <c r="J122" s="496"/>
      <c r="K122" s="496"/>
      <c r="L122" s="496"/>
      <c r="M122" s="496"/>
      <c r="N122" s="496"/>
      <c r="O122" s="496"/>
      <c r="P122" s="496"/>
      <c r="Q122" s="496"/>
      <c r="R122" s="496"/>
      <c r="S122" s="496"/>
      <c r="T122" s="496"/>
      <c r="Y122" s="499"/>
    </row>
    <row r="123" spans="1:25" s="497" customFormat="1" ht="12.75">
      <c r="A123" s="496"/>
      <c r="B123" s="496"/>
      <c r="C123" s="496"/>
      <c r="D123" s="496"/>
      <c r="E123" s="496"/>
      <c r="F123" s="496"/>
      <c r="G123" s="496"/>
      <c r="H123" s="496"/>
      <c r="I123" s="496"/>
      <c r="J123" s="496"/>
      <c r="K123" s="496"/>
      <c r="L123" s="496"/>
      <c r="M123" s="496"/>
      <c r="N123" s="496"/>
      <c r="O123" s="496"/>
      <c r="P123" s="496"/>
      <c r="Q123" s="496"/>
      <c r="R123" s="496"/>
      <c r="S123" s="496"/>
      <c r="T123" s="496"/>
      <c r="Y123" s="499"/>
    </row>
    <row r="124" spans="1:25" s="497" customFormat="1" ht="12.75">
      <c r="A124" s="496"/>
      <c r="B124" s="496"/>
      <c r="C124" s="496"/>
      <c r="D124" s="496"/>
      <c r="E124" s="496"/>
      <c r="F124" s="496"/>
      <c r="G124" s="496"/>
      <c r="H124" s="496"/>
      <c r="I124" s="496"/>
      <c r="J124" s="496"/>
      <c r="K124" s="496"/>
      <c r="L124" s="496"/>
      <c r="M124" s="496"/>
      <c r="N124" s="496"/>
      <c r="O124" s="496"/>
      <c r="P124" s="496"/>
      <c r="Q124" s="496"/>
      <c r="R124" s="496"/>
      <c r="S124" s="496"/>
      <c r="T124" s="496"/>
      <c r="Y124" s="499"/>
    </row>
    <row r="125" spans="1:20" s="497" customFormat="1" ht="12.75">
      <c r="A125" s="496"/>
      <c r="B125" s="496"/>
      <c r="C125" s="496"/>
      <c r="D125" s="496"/>
      <c r="E125" s="496"/>
      <c r="F125" s="496"/>
      <c r="G125" s="496"/>
      <c r="H125" s="496"/>
      <c r="I125" s="496"/>
      <c r="J125" s="496"/>
      <c r="K125" s="496"/>
      <c r="L125" s="496"/>
      <c r="M125" s="496"/>
      <c r="N125" s="496"/>
      <c r="O125" s="496"/>
      <c r="P125" s="496"/>
      <c r="Q125" s="496"/>
      <c r="R125" s="496"/>
      <c r="S125" s="496"/>
      <c r="T125" s="496"/>
    </row>
    <row r="126" spans="1:20" s="497" customFormat="1" ht="12.75">
      <c r="A126" s="496"/>
      <c r="B126" s="496"/>
      <c r="C126" s="496"/>
      <c r="D126" s="496"/>
      <c r="E126" s="496"/>
      <c r="F126" s="496"/>
      <c r="G126" s="496"/>
      <c r="H126" s="496"/>
      <c r="I126" s="496"/>
      <c r="J126" s="496"/>
      <c r="K126" s="496"/>
      <c r="L126" s="496"/>
      <c r="M126" s="496"/>
      <c r="N126" s="496"/>
      <c r="O126" s="496"/>
      <c r="P126" s="496"/>
      <c r="Q126" s="496"/>
      <c r="R126" s="496"/>
      <c r="S126" s="496"/>
      <c r="T126" s="496"/>
    </row>
    <row r="127" spans="1:20" s="497" customFormat="1" ht="12.75">
      <c r="A127" s="496"/>
      <c r="B127" s="496"/>
      <c r="C127" s="496"/>
      <c r="D127" s="496"/>
      <c r="E127" s="496"/>
      <c r="F127" s="496"/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  <c r="R127" s="496"/>
      <c r="S127" s="496"/>
      <c r="T127" s="496"/>
    </row>
    <row r="128" spans="1:20" s="497" customFormat="1" ht="12.75">
      <c r="A128" s="496"/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  <c r="N128" s="496"/>
      <c r="O128" s="496"/>
      <c r="P128" s="496"/>
      <c r="Q128" s="496"/>
      <c r="R128" s="496"/>
      <c r="S128" s="496"/>
      <c r="T128" s="496"/>
    </row>
    <row r="129" spans="1:20" s="497" customFormat="1" ht="12.75">
      <c r="A129" s="496"/>
      <c r="B129" s="496"/>
      <c r="C129" s="496"/>
      <c r="D129" s="496"/>
      <c r="E129" s="496"/>
      <c r="F129" s="496"/>
      <c r="G129" s="496"/>
      <c r="H129" s="496"/>
      <c r="I129" s="496"/>
      <c r="J129" s="496"/>
      <c r="K129" s="496"/>
      <c r="L129" s="496"/>
      <c r="M129" s="496"/>
      <c r="N129" s="496"/>
      <c r="O129" s="496"/>
      <c r="P129" s="496"/>
      <c r="Q129" s="496"/>
      <c r="R129" s="496"/>
      <c r="S129" s="496"/>
      <c r="T129" s="496"/>
    </row>
  </sheetData>
  <mergeCells count="13">
    <mergeCell ref="B6:B7"/>
    <mergeCell ref="R6:R7"/>
    <mergeCell ref="C6:C7"/>
    <mergeCell ref="A3:M3"/>
    <mergeCell ref="N3:Z3"/>
    <mergeCell ref="S6:S7"/>
    <mergeCell ref="D6:D7"/>
    <mergeCell ref="E6:M6"/>
    <mergeCell ref="O6:Q6"/>
    <mergeCell ref="N6:N7"/>
    <mergeCell ref="T6:T7"/>
    <mergeCell ref="U6:Z6"/>
    <mergeCell ref="A6:A7"/>
  </mergeCells>
  <printOptions horizontalCentered="1"/>
  <pageMargins left="0" right="0" top="0.7086614173228347" bottom="0" header="0.5118110236220472" footer="0.5118110236220472"/>
  <pageSetup horizontalDpi="300" verticalDpi="300" orientation="landscape" paperSize="9" scale="57" r:id="rId1"/>
  <headerFooter alignWithMargins="0">
    <oddHeader>&amp;L&amp;"Times New Roman,Normál"&amp;14 14. melléklet a 2/2014.(II.27.) önkormányzati rendelethez
"16. melléklet az 1/2013.(II.01.) önkormányzati rendelethez"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view="pageBreakPreview" zoomScaleSheetLayoutView="100" workbookViewId="0" topLeftCell="A43">
      <selection activeCell="A66" sqref="A66"/>
    </sheetView>
  </sheetViews>
  <sheetFormatPr defaultColWidth="9.00390625" defaultRowHeight="12.75"/>
  <cols>
    <col min="1" max="1" width="55.25390625" style="66" customWidth="1"/>
    <col min="2" max="2" width="11.75390625" style="66" customWidth="1"/>
    <col min="3" max="4" width="14.25390625" style="66" customWidth="1"/>
    <col min="5" max="5" width="57.75390625" style="66" customWidth="1"/>
    <col min="6" max="6" width="11.75390625" style="66" customWidth="1"/>
    <col min="7" max="7" width="14.25390625" style="66" customWidth="1"/>
    <col min="8" max="8" width="13.75390625" style="66" customWidth="1"/>
    <col min="9" max="16384" width="9.125" style="66" customWidth="1"/>
  </cols>
  <sheetData>
    <row r="1" spans="1:8" s="67" customFormat="1" ht="15" customHeight="1">
      <c r="A1" s="1243" t="s">
        <v>666</v>
      </c>
      <c r="B1" s="1243"/>
      <c r="C1" s="1243"/>
      <c r="D1" s="1243"/>
      <c r="E1" s="1243"/>
      <c r="F1" s="1243"/>
      <c r="G1" s="1243"/>
      <c r="H1" s="1243"/>
    </row>
    <row r="2" spans="1:5" ht="15.75" thickBot="1">
      <c r="A2" s="68"/>
      <c r="B2" s="68"/>
      <c r="C2" s="68"/>
      <c r="D2" s="68"/>
      <c r="E2" s="68"/>
    </row>
    <row r="3" spans="1:8" ht="14.25">
      <c r="A3" s="1244" t="s">
        <v>628</v>
      </c>
      <c r="B3" s="1245"/>
      <c r="C3" s="1245"/>
      <c r="D3" s="1246"/>
      <c r="E3" s="1244" t="s">
        <v>629</v>
      </c>
      <c r="F3" s="1245"/>
      <c r="G3" s="1245"/>
      <c r="H3" s="1246"/>
    </row>
    <row r="4" spans="1:8" ht="15" thickBot="1">
      <c r="A4" s="69"/>
      <c r="B4" s="70" t="s">
        <v>539</v>
      </c>
      <c r="C4" s="668" t="s">
        <v>915</v>
      </c>
      <c r="D4" s="662" t="s">
        <v>741</v>
      </c>
      <c r="E4" s="69"/>
      <c r="F4" s="70" t="s">
        <v>539</v>
      </c>
      <c r="G4" s="668" t="s">
        <v>915</v>
      </c>
      <c r="H4" s="662" t="s">
        <v>741</v>
      </c>
    </row>
    <row r="5" spans="1:8" ht="15">
      <c r="A5" s="71" t="s">
        <v>542</v>
      </c>
      <c r="B5" s="72">
        <v>1000</v>
      </c>
      <c r="C5" s="597">
        <v>296</v>
      </c>
      <c r="D5" s="592">
        <v>296</v>
      </c>
      <c r="E5" s="600" t="s">
        <v>667</v>
      </c>
      <c r="F5" s="72">
        <v>837643</v>
      </c>
      <c r="G5" s="597">
        <v>912159</v>
      </c>
      <c r="H5" s="592">
        <v>915606</v>
      </c>
    </row>
    <row r="6" spans="1:8" ht="15">
      <c r="A6" s="73" t="s">
        <v>668</v>
      </c>
      <c r="B6" s="74">
        <v>268721</v>
      </c>
      <c r="C6" s="483">
        <v>370225</v>
      </c>
      <c r="D6" s="593">
        <v>390104</v>
      </c>
      <c r="E6" s="601" t="s">
        <v>669</v>
      </c>
      <c r="F6" s="75">
        <v>222964</v>
      </c>
      <c r="G6" s="483">
        <v>237595</v>
      </c>
      <c r="H6" s="593">
        <v>241241</v>
      </c>
    </row>
    <row r="7" spans="1:8" ht="15">
      <c r="A7" s="76" t="s">
        <v>547</v>
      </c>
      <c r="B7" s="75">
        <v>1645016</v>
      </c>
      <c r="C7" s="483">
        <v>1699244</v>
      </c>
      <c r="D7" s="593">
        <v>1673592</v>
      </c>
      <c r="E7" s="602" t="s">
        <v>670</v>
      </c>
      <c r="F7" s="75">
        <f>1242901+5000</f>
        <v>1247901</v>
      </c>
      <c r="G7" s="483">
        <v>1393877</v>
      </c>
      <c r="H7" s="593">
        <v>1396806</v>
      </c>
    </row>
    <row r="8" spans="1:8" ht="15">
      <c r="A8" s="76" t="s">
        <v>671</v>
      </c>
      <c r="B8" s="75">
        <v>855379</v>
      </c>
      <c r="C8" s="483">
        <v>1006242</v>
      </c>
      <c r="D8" s="593">
        <v>1008608</v>
      </c>
      <c r="E8" s="601" t="s">
        <v>672</v>
      </c>
      <c r="F8" s="75">
        <v>420631</v>
      </c>
      <c r="G8" s="483">
        <v>653455</v>
      </c>
      <c r="H8" s="593">
        <v>667781</v>
      </c>
    </row>
    <row r="9" spans="1:8" ht="15">
      <c r="A9" s="76" t="s">
        <v>565</v>
      </c>
      <c r="B9" s="75">
        <v>105021</v>
      </c>
      <c r="C9" s="483">
        <v>194823</v>
      </c>
      <c r="D9" s="593">
        <v>222795</v>
      </c>
      <c r="E9" s="601" t="s">
        <v>673</v>
      </c>
      <c r="F9" s="75">
        <v>155714</v>
      </c>
      <c r="G9" s="483">
        <v>177234</v>
      </c>
      <c r="H9" s="593">
        <v>187029</v>
      </c>
    </row>
    <row r="10" spans="1:8" ht="15">
      <c r="A10" s="76" t="s">
        <v>674</v>
      </c>
      <c r="B10" s="75">
        <f>SUM(B11:B15)</f>
        <v>105257</v>
      </c>
      <c r="C10" s="483">
        <f>SUM(C11:C15)</f>
        <v>169197</v>
      </c>
      <c r="D10" s="483">
        <f>SUM(D11:D15)</f>
        <v>23739</v>
      </c>
      <c r="E10" s="601" t="s">
        <v>601</v>
      </c>
      <c r="F10" s="75">
        <v>13000</v>
      </c>
      <c r="G10" s="483">
        <v>2645</v>
      </c>
      <c r="H10" s="593"/>
    </row>
    <row r="11" spans="1:8" ht="15">
      <c r="A11" s="77" t="s">
        <v>675</v>
      </c>
      <c r="B11" s="78">
        <v>20241</v>
      </c>
      <c r="C11" s="482">
        <v>61181</v>
      </c>
      <c r="D11" s="594"/>
      <c r="E11" s="603" t="s">
        <v>602</v>
      </c>
      <c r="F11" s="75">
        <v>100000</v>
      </c>
      <c r="G11" s="483">
        <v>36999</v>
      </c>
      <c r="H11" s="593">
        <v>369</v>
      </c>
    </row>
    <row r="12" spans="1:8" ht="15">
      <c r="A12" s="77" t="s">
        <v>676</v>
      </c>
      <c r="B12" s="78">
        <v>7000</v>
      </c>
      <c r="C12" s="482"/>
      <c r="D12" s="594"/>
      <c r="E12" s="603" t="s">
        <v>603</v>
      </c>
      <c r="F12" s="80">
        <f>SUM(F13:F18)</f>
        <v>46632</v>
      </c>
      <c r="G12" s="80">
        <f>SUM(G13:G18)</f>
        <v>58321</v>
      </c>
      <c r="H12" s="663">
        <f>SUM(H13:H18)</f>
        <v>3567</v>
      </c>
    </row>
    <row r="13" spans="1:8" ht="15.75">
      <c r="A13" s="77" t="s">
        <v>677</v>
      </c>
      <c r="B13" s="78">
        <v>1200</v>
      </c>
      <c r="C13" s="482">
        <v>1200</v>
      </c>
      <c r="D13" s="594">
        <v>1200</v>
      </c>
      <c r="E13" s="604" t="s">
        <v>678</v>
      </c>
      <c r="F13" s="981">
        <v>5000</v>
      </c>
      <c r="G13" s="598">
        <v>3000</v>
      </c>
      <c r="H13" s="595">
        <v>2523</v>
      </c>
    </row>
    <row r="14" spans="1:8" ht="15.75">
      <c r="A14" s="77" t="s">
        <v>679</v>
      </c>
      <c r="B14" s="78">
        <f>36200+38616</f>
        <v>74816</v>
      </c>
      <c r="C14" s="482">
        <v>104816</v>
      </c>
      <c r="D14" s="594">
        <v>20539</v>
      </c>
      <c r="E14" s="604" t="s">
        <v>680</v>
      </c>
      <c r="F14" s="981">
        <v>32632</v>
      </c>
      <c r="G14" s="598">
        <v>632</v>
      </c>
      <c r="H14" s="595">
        <v>632</v>
      </c>
    </row>
    <row r="15" spans="1:8" ht="15.75">
      <c r="A15" s="77" t="s">
        <v>681</v>
      </c>
      <c r="B15" s="78">
        <v>2000</v>
      </c>
      <c r="C15" s="482">
        <v>2000</v>
      </c>
      <c r="D15" s="594">
        <v>2000</v>
      </c>
      <c r="E15" s="604" t="s">
        <v>682</v>
      </c>
      <c r="F15" s="981">
        <v>9000</v>
      </c>
      <c r="G15" s="598">
        <v>6400</v>
      </c>
      <c r="H15" s="595">
        <v>412</v>
      </c>
    </row>
    <row r="16" spans="1:8" ht="15.75">
      <c r="A16" s="79" t="s">
        <v>582</v>
      </c>
      <c r="B16" s="80">
        <v>1507660</v>
      </c>
      <c r="C16" s="599">
        <v>1527375</v>
      </c>
      <c r="D16" s="663">
        <v>1538275</v>
      </c>
      <c r="E16" s="604" t="s">
        <v>1083</v>
      </c>
      <c r="F16" s="981"/>
      <c r="G16" s="598">
        <v>8289</v>
      </c>
      <c r="H16" s="595"/>
    </row>
    <row r="17" spans="1:8" ht="31.5">
      <c r="A17" s="79"/>
      <c r="B17" s="80"/>
      <c r="C17" s="599"/>
      <c r="D17" s="663"/>
      <c r="E17" s="782" t="s">
        <v>914</v>
      </c>
      <c r="F17" s="981"/>
      <c r="G17" s="598">
        <v>40000</v>
      </c>
      <c r="H17" s="595"/>
    </row>
    <row r="18" spans="1:8" ht="31.5">
      <c r="A18" s="79"/>
      <c r="B18" s="80"/>
      <c r="C18" s="599"/>
      <c r="D18" s="663"/>
      <c r="E18" s="782" t="s">
        <v>920</v>
      </c>
      <c r="F18" s="981"/>
      <c r="G18" s="598"/>
      <c r="H18" s="595"/>
    </row>
    <row r="19" spans="1:8" ht="15">
      <c r="A19" s="76" t="s">
        <v>425</v>
      </c>
      <c r="B19" s="78"/>
      <c r="C19" s="483">
        <v>47464</v>
      </c>
      <c r="D19" s="593">
        <v>47464</v>
      </c>
      <c r="E19" s="605" t="s">
        <v>683</v>
      </c>
      <c r="F19" s="80">
        <f>SUM(F20:F20)</f>
        <v>25000</v>
      </c>
      <c r="G19" s="80">
        <f>SUM(G20:G20)</f>
        <v>25000</v>
      </c>
      <c r="H19" s="663">
        <f>SUM(H20:H20)</f>
        <v>25000</v>
      </c>
    </row>
    <row r="20" spans="1:8" ht="15">
      <c r="A20" s="76"/>
      <c r="B20" s="78"/>
      <c r="C20" s="483"/>
      <c r="D20" s="593"/>
      <c r="E20" s="606" t="s">
        <v>684</v>
      </c>
      <c r="F20" s="78">
        <v>25000</v>
      </c>
      <c r="G20" s="482">
        <v>25000</v>
      </c>
      <c r="H20" s="594">
        <v>25000</v>
      </c>
    </row>
    <row r="21" spans="1:8" ht="15">
      <c r="A21" s="77"/>
      <c r="B21" s="78"/>
      <c r="C21" s="482"/>
      <c r="D21" s="594"/>
      <c r="E21" s="601" t="s">
        <v>685</v>
      </c>
      <c r="F21" s="75">
        <f>SUM(F23:F24)</f>
        <v>4800</v>
      </c>
      <c r="G21" s="483">
        <f>SUM(G22:G24)</f>
        <v>42108</v>
      </c>
      <c r="H21" s="593">
        <f>SUM(H22:H24)</f>
        <v>42108</v>
      </c>
    </row>
    <row r="22" spans="1:8" ht="15">
      <c r="A22" s="77"/>
      <c r="B22" s="78"/>
      <c r="C22" s="482"/>
      <c r="D22" s="594"/>
      <c r="E22" s="982" t="s">
        <v>955</v>
      </c>
      <c r="F22" s="78"/>
      <c r="G22" s="482">
        <v>30000</v>
      </c>
      <c r="H22" s="594">
        <v>30000</v>
      </c>
    </row>
    <row r="23" spans="1:8" ht="15">
      <c r="A23" s="79"/>
      <c r="B23" s="80"/>
      <c r="C23" s="599"/>
      <c r="D23" s="663"/>
      <c r="E23" s="607" t="s">
        <v>675</v>
      </c>
      <c r="F23" s="78">
        <v>2800</v>
      </c>
      <c r="G23" s="482">
        <v>10108</v>
      </c>
      <c r="H23" s="594">
        <v>10108</v>
      </c>
    </row>
    <row r="24" spans="1:8" ht="15">
      <c r="A24" s="76"/>
      <c r="B24" s="78"/>
      <c r="C24" s="482"/>
      <c r="D24" s="594"/>
      <c r="E24" s="608" t="s">
        <v>686</v>
      </c>
      <c r="F24" s="81">
        <v>2000</v>
      </c>
      <c r="G24" s="482">
        <v>2000</v>
      </c>
      <c r="H24" s="594">
        <v>2000</v>
      </c>
    </row>
    <row r="25" spans="1:8" ht="15">
      <c r="A25" s="76"/>
      <c r="B25" s="817"/>
      <c r="C25" s="482"/>
      <c r="D25" s="594"/>
      <c r="E25" s="79" t="s">
        <v>1051</v>
      </c>
      <c r="F25" s="672">
        <v>1507660</v>
      </c>
      <c r="G25" s="483">
        <v>1527375</v>
      </c>
      <c r="H25" s="593">
        <v>1538275</v>
      </c>
    </row>
    <row r="26" spans="1:8" ht="15.75" thickBot="1">
      <c r="A26" s="82"/>
      <c r="B26" s="83"/>
      <c r="C26" s="669"/>
      <c r="D26" s="664"/>
      <c r="E26" s="609" t="s">
        <v>1084</v>
      </c>
      <c r="F26" s="588"/>
      <c r="G26" s="589">
        <v>17778</v>
      </c>
      <c r="H26" s="673">
        <v>17778</v>
      </c>
    </row>
    <row r="27" spans="1:256" s="87" customFormat="1" ht="15" thickBot="1">
      <c r="A27" s="84" t="s">
        <v>657</v>
      </c>
      <c r="B27" s="85">
        <f>SUM(B5+B6+B7+B8+B9+B10+B16+B19)</f>
        <v>4488054</v>
      </c>
      <c r="C27" s="678">
        <f>SUM(C5+C6+C7+C8+C9+C10+C16+C19)</f>
        <v>5014866</v>
      </c>
      <c r="D27" s="818">
        <f>SUM(D5+D6+D7+D8+D9+D10+D16+D19)</f>
        <v>4904873</v>
      </c>
      <c r="E27" s="84" t="s">
        <v>658</v>
      </c>
      <c r="F27" s="665">
        <f>SUM(F5+F6+F7+F8+F9+F10+F11+F12+F19+F21+F25+F26)</f>
        <v>4581945</v>
      </c>
      <c r="G27" s="678">
        <f>SUM(G5+G6+G7+G8+G9+G10+G11+G12+G19+G21+G25+G26)</f>
        <v>5084546</v>
      </c>
      <c r="H27" s="674">
        <f>SUM(H5+H6+H7+H8+H9+H10+H11+H12+H19+H21+H25+H26)</f>
        <v>5035560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8" s="86" customFormat="1" ht="14.25">
      <c r="A28" s="88" t="s">
        <v>687</v>
      </c>
      <c r="B28" s="89"/>
      <c r="C28" s="670"/>
      <c r="D28" s="666"/>
      <c r="E28" s="88"/>
      <c r="F28" s="89"/>
      <c r="G28" s="679"/>
      <c r="H28" s="675"/>
    </row>
    <row r="29" spans="1:8" s="86" customFormat="1" ht="15.75" thickBot="1">
      <c r="A29" s="90" t="s">
        <v>688</v>
      </c>
      <c r="B29" s="80">
        <v>93891</v>
      </c>
      <c r="C29" s="671">
        <v>184967</v>
      </c>
      <c r="D29" s="596">
        <v>184967</v>
      </c>
      <c r="E29" s="109"/>
      <c r="F29" s="91"/>
      <c r="G29" s="680"/>
      <c r="H29" s="676"/>
    </row>
    <row r="30" spans="1:8" s="86" customFormat="1" ht="15" thickBot="1">
      <c r="A30" s="92" t="s">
        <v>689</v>
      </c>
      <c r="B30" s="93">
        <f>SUM(B27,B29)</f>
        <v>4581945</v>
      </c>
      <c r="C30" s="819">
        <f>SUM(C27+C29)</f>
        <v>5199833</v>
      </c>
      <c r="D30" s="667">
        <f>SUM(D27+D29)</f>
        <v>5089840</v>
      </c>
      <c r="E30" s="92" t="s">
        <v>689</v>
      </c>
      <c r="F30" s="94">
        <f>SUM(F27)</f>
        <v>4581945</v>
      </c>
      <c r="G30" s="363">
        <f>SUM(G27:G29)</f>
        <v>5084546</v>
      </c>
      <c r="H30" s="677">
        <f>SUM(H27:H29)</f>
        <v>5035560</v>
      </c>
    </row>
    <row r="31" spans="1:6" s="86" customFormat="1" ht="15">
      <c r="A31" s="1"/>
      <c r="B31" s="1"/>
      <c r="C31" s="1"/>
      <c r="D31" s="1"/>
      <c r="E31" s="1"/>
      <c r="F31" s="95"/>
    </row>
    <row r="32" spans="1:8" s="67" customFormat="1" ht="15" customHeight="1">
      <c r="A32" s="1243" t="s">
        <v>690</v>
      </c>
      <c r="B32" s="1243"/>
      <c r="C32" s="1243"/>
      <c r="D32" s="1243"/>
      <c r="E32" s="1243"/>
      <c r="F32" s="1243"/>
      <c r="G32" s="1243"/>
      <c r="H32" s="1243"/>
    </row>
    <row r="33" spans="1:5" ht="14.25" customHeight="1" thickBot="1">
      <c r="A33" s="68"/>
      <c r="B33" s="68"/>
      <c r="C33" s="68"/>
      <c r="D33" s="68"/>
      <c r="E33" s="96"/>
    </row>
    <row r="34" spans="1:8" s="67" customFormat="1" ht="14.25">
      <c r="A34" s="1244" t="s">
        <v>628</v>
      </c>
      <c r="B34" s="1245"/>
      <c r="C34" s="1245"/>
      <c r="D34" s="1246"/>
      <c r="E34" s="1244" t="s">
        <v>629</v>
      </c>
      <c r="F34" s="1245"/>
      <c r="G34" s="1245"/>
      <c r="H34" s="1246"/>
    </row>
    <row r="35" spans="1:8" s="67" customFormat="1" ht="15" thickBot="1">
      <c r="A35" s="97"/>
      <c r="B35" s="962" t="s">
        <v>539</v>
      </c>
      <c r="C35" s="948" t="s">
        <v>915</v>
      </c>
      <c r="D35" s="662" t="s">
        <v>741</v>
      </c>
      <c r="E35" s="98"/>
      <c r="F35" s="962" t="s">
        <v>540</v>
      </c>
      <c r="G35" s="948" t="s">
        <v>915</v>
      </c>
      <c r="H35" s="662" t="s">
        <v>741</v>
      </c>
    </row>
    <row r="36" spans="1:8" s="67" customFormat="1" ht="15">
      <c r="A36" s="71" t="s">
        <v>647</v>
      </c>
      <c r="B36" s="963">
        <v>450279</v>
      </c>
      <c r="C36" s="949">
        <v>489276</v>
      </c>
      <c r="D36" s="592">
        <v>88526</v>
      </c>
      <c r="E36" s="71" t="s">
        <v>691</v>
      </c>
      <c r="F36" s="963">
        <v>2136937</v>
      </c>
      <c r="G36" s="949">
        <v>3324852</v>
      </c>
      <c r="H36" s="592">
        <v>744494</v>
      </c>
    </row>
    <row r="37" spans="1:8" s="67" customFormat="1" ht="15">
      <c r="A37" s="76" t="s">
        <v>692</v>
      </c>
      <c r="B37" s="964">
        <v>1978</v>
      </c>
      <c r="C37" s="950">
        <v>78020</v>
      </c>
      <c r="D37" s="593">
        <v>89452</v>
      </c>
      <c r="E37" s="76" t="s">
        <v>693</v>
      </c>
      <c r="F37" s="964">
        <v>138549</v>
      </c>
      <c r="G37" s="950">
        <v>180526</v>
      </c>
      <c r="H37" s="593">
        <v>161880</v>
      </c>
    </row>
    <row r="38" spans="1:8" ht="15">
      <c r="A38" s="73" t="s">
        <v>694</v>
      </c>
      <c r="B38" s="976">
        <f>3129041+127081</f>
        <v>3256122</v>
      </c>
      <c r="C38" s="950">
        <v>1990674</v>
      </c>
      <c r="D38" s="593">
        <v>461454</v>
      </c>
      <c r="E38" s="99" t="s">
        <v>695</v>
      </c>
      <c r="F38" s="964">
        <v>134081</v>
      </c>
      <c r="G38" s="950">
        <v>82931</v>
      </c>
      <c r="H38" s="593">
        <v>98431</v>
      </c>
    </row>
    <row r="39" spans="1:8" ht="15">
      <c r="A39" s="77" t="s">
        <v>696</v>
      </c>
      <c r="B39" s="965">
        <f>11084+202281+127081</f>
        <v>340446</v>
      </c>
      <c r="C39" s="951">
        <v>11084</v>
      </c>
      <c r="D39" s="594">
        <v>11084</v>
      </c>
      <c r="E39" s="76" t="s">
        <v>605</v>
      </c>
      <c r="F39" s="964">
        <v>2280302</v>
      </c>
      <c r="G39" s="950">
        <v>0</v>
      </c>
      <c r="H39" s="593">
        <v>0</v>
      </c>
    </row>
    <row r="40" spans="1:8" ht="15">
      <c r="A40" s="76" t="s">
        <v>697</v>
      </c>
      <c r="B40" s="964">
        <f>SUM(B41:B42)</f>
        <v>4192</v>
      </c>
      <c r="C40" s="950">
        <f>SUM(C41:C42)</f>
        <v>4192</v>
      </c>
      <c r="D40" s="361">
        <f>SUM(D41:D42)</f>
        <v>4192</v>
      </c>
      <c r="E40" s="76" t="s">
        <v>698</v>
      </c>
      <c r="F40" s="964">
        <f>SUM(F41:F43)</f>
        <v>5300</v>
      </c>
      <c r="G40" s="950">
        <f>SUM(G41:G43)</f>
        <v>199437</v>
      </c>
      <c r="H40" s="593">
        <f>SUM(H41:H43)</f>
        <v>199437</v>
      </c>
    </row>
    <row r="41" spans="1:8" ht="15">
      <c r="A41" s="100" t="s">
        <v>699</v>
      </c>
      <c r="B41" s="967">
        <v>2500</v>
      </c>
      <c r="C41" s="952">
        <v>2500</v>
      </c>
      <c r="D41" s="595">
        <v>2500</v>
      </c>
      <c r="E41" s="77" t="s">
        <v>700</v>
      </c>
      <c r="F41" s="965">
        <v>3500</v>
      </c>
      <c r="G41" s="951">
        <v>100</v>
      </c>
      <c r="H41" s="594">
        <v>100</v>
      </c>
    </row>
    <row r="42" spans="1:8" ht="15">
      <c r="A42" s="100" t="s">
        <v>701</v>
      </c>
      <c r="B42" s="967">
        <v>1692</v>
      </c>
      <c r="C42" s="952">
        <v>1692</v>
      </c>
      <c r="D42" s="595">
        <v>1692</v>
      </c>
      <c r="E42" s="77" t="s">
        <v>612</v>
      </c>
      <c r="F42" s="965">
        <v>1800</v>
      </c>
      <c r="G42" s="951">
        <v>1800</v>
      </c>
      <c r="H42" s="594">
        <v>1800</v>
      </c>
    </row>
    <row r="43" spans="1:8" ht="15">
      <c r="A43" s="100"/>
      <c r="B43" s="977"/>
      <c r="C43" s="953"/>
      <c r="D43" s="590"/>
      <c r="E43" s="77" t="s">
        <v>1085</v>
      </c>
      <c r="F43" s="965"/>
      <c r="G43" s="951">
        <v>197537</v>
      </c>
      <c r="H43" s="594">
        <v>197537</v>
      </c>
    </row>
    <row r="44" spans="1:8" ht="15">
      <c r="A44" s="76" t="s">
        <v>702</v>
      </c>
      <c r="B44" s="976">
        <f>SUM(B45)</f>
        <v>128864</v>
      </c>
      <c r="C44" s="949">
        <f>SUM(C45)</f>
        <v>128864</v>
      </c>
      <c r="D44" s="591">
        <f>SUM(D45)</f>
        <v>128864</v>
      </c>
      <c r="E44" s="101" t="s">
        <v>604</v>
      </c>
      <c r="F44" s="966">
        <v>50000</v>
      </c>
      <c r="G44" s="950">
        <v>13189</v>
      </c>
      <c r="H44" s="593">
        <v>13189</v>
      </c>
    </row>
    <row r="45" spans="1:8" ht="15">
      <c r="A45" s="100" t="s">
        <v>552</v>
      </c>
      <c r="B45" s="967">
        <v>128864</v>
      </c>
      <c r="C45" s="949">
        <v>128864</v>
      </c>
      <c r="D45" s="591">
        <v>128864</v>
      </c>
      <c r="E45" s="101" t="s">
        <v>1086</v>
      </c>
      <c r="F45" s="966">
        <f>SUM(F46:F47)</f>
        <v>0</v>
      </c>
      <c r="G45" s="950">
        <f>SUM(G46:G48)</f>
        <v>78118</v>
      </c>
      <c r="H45" s="593">
        <f>SUM(H46:H48)</f>
        <v>7178</v>
      </c>
    </row>
    <row r="46" spans="1:8" ht="15">
      <c r="A46" s="76"/>
      <c r="B46" s="976"/>
      <c r="C46" s="949"/>
      <c r="D46" s="591"/>
      <c r="E46" s="100" t="s">
        <v>1087</v>
      </c>
      <c r="F46" s="965"/>
      <c r="G46" s="951">
        <v>40940</v>
      </c>
      <c r="H46" s="594"/>
    </row>
    <row r="47" spans="1:8" ht="15">
      <c r="A47" s="76"/>
      <c r="B47" s="976"/>
      <c r="C47" s="949"/>
      <c r="D47" s="591"/>
      <c r="E47" s="100" t="s">
        <v>1088</v>
      </c>
      <c r="F47" s="965"/>
      <c r="G47" s="951">
        <v>7178</v>
      </c>
      <c r="H47" s="594">
        <v>7178</v>
      </c>
    </row>
    <row r="48" spans="1:8" ht="30">
      <c r="A48" s="76"/>
      <c r="B48" s="976"/>
      <c r="C48" s="949"/>
      <c r="D48" s="591"/>
      <c r="E48" s="783" t="s">
        <v>921</v>
      </c>
      <c r="F48" s="965"/>
      <c r="G48" s="951">
        <v>30000</v>
      </c>
      <c r="H48" s="594"/>
    </row>
    <row r="49" spans="1:8" s="102" customFormat="1" ht="15">
      <c r="A49" s="100"/>
      <c r="B49" s="967"/>
      <c r="C49" s="952"/>
      <c r="D49" s="595"/>
      <c r="E49" s="76" t="s">
        <v>703</v>
      </c>
      <c r="F49" s="964">
        <v>40164</v>
      </c>
      <c r="G49" s="950">
        <v>107525</v>
      </c>
      <c r="H49" s="593">
        <v>107525</v>
      </c>
    </row>
    <row r="50" spans="1:8" ht="15">
      <c r="A50" s="77"/>
      <c r="B50" s="965"/>
      <c r="C50" s="951"/>
      <c r="D50" s="594"/>
      <c r="E50" s="101" t="s">
        <v>704</v>
      </c>
      <c r="F50" s="966">
        <v>52213</v>
      </c>
      <c r="G50" s="950">
        <v>33329</v>
      </c>
      <c r="H50" s="593">
        <v>33329</v>
      </c>
    </row>
    <row r="51" spans="1:8" ht="15">
      <c r="A51" s="77"/>
      <c r="B51" s="965"/>
      <c r="C51" s="951"/>
      <c r="D51" s="594"/>
      <c r="E51" s="103" t="s">
        <v>616</v>
      </c>
      <c r="F51" s="968">
        <f>SUM(F52:F52)</f>
        <v>3046</v>
      </c>
      <c r="G51" s="958">
        <f>SUM(G52:G52)</f>
        <v>3046</v>
      </c>
      <c r="H51" s="610">
        <f>SUM(H52:H52)</f>
        <v>3046</v>
      </c>
    </row>
    <row r="52" spans="1:8" s="102" customFormat="1" ht="15.75" thickBot="1">
      <c r="A52" s="104"/>
      <c r="B52" s="978"/>
      <c r="C52" s="954"/>
      <c r="D52" s="596"/>
      <c r="E52" s="105" t="s">
        <v>705</v>
      </c>
      <c r="F52" s="969">
        <v>3046</v>
      </c>
      <c r="G52" s="983">
        <v>3046</v>
      </c>
      <c r="H52" s="984">
        <v>3046</v>
      </c>
    </row>
    <row r="53" spans="1:8" ht="15" thickBot="1">
      <c r="A53" s="106" t="s">
        <v>657</v>
      </c>
      <c r="B53" s="979">
        <f>SUM(B36,B37,B38,B40,B44)</f>
        <v>3841435</v>
      </c>
      <c r="C53" s="955">
        <f>SUM(C36,C37,C38,C40,C44)</f>
        <v>2691026</v>
      </c>
      <c r="D53" s="681">
        <f>SUM(D36,D37,D38,D40,D44)</f>
        <v>772488</v>
      </c>
      <c r="E53" s="106" t="s">
        <v>658</v>
      </c>
      <c r="F53" s="970">
        <f>SUM(F36+F37+F38+F39+F40+F44+F45+F49+F50+F51)</f>
        <v>4840592</v>
      </c>
      <c r="G53" s="818">
        <f>SUM(G36+G37+G38+G39+G40+G44+G45+G49+G50+G51)</f>
        <v>4022953</v>
      </c>
      <c r="H53" s="674">
        <f>SUM(H36+H37+H38+H39+H40+H44+H45+H49+H50+H51)</f>
        <v>1368509</v>
      </c>
    </row>
    <row r="54" spans="1:8" ht="15">
      <c r="A54" s="107" t="s">
        <v>706</v>
      </c>
      <c r="B54" s="980"/>
      <c r="C54" s="956"/>
      <c r="D54" s="682"/>
      <c r="E54" s="108"/>
      <c r="F54" s="971"/>
      <c r="G54" s="949"/>
      <c r="H54" s="592"/>
    </row>
    <row r="55" spans="1:8" ht="15">
      <c r="A55" s="109" t="s">
        <v>707</v>
      </c>
      <c r="B55" s="980">
        <f>SUM(B56,B57)</f>
        <v>1122696</v>
      </c>
      <c r="C55" s="956">
        <f>SUM(C56,C57)</f>
        <v>1315219</v>
      </c>
      <c r="D55" s="484">
        <f>SUM(D56,D57)</f>
        <v>640320</v>
      </c>
      <c r="E55" s="108"/>
      <c r="F55" s="971"/>
      <c r="G55" s="950"/>
      <c r="H55" s="593"/>
    </row>
    <row r="56" spans="1:8" ht="15">
      <c r="A56" s="110" t="s">
        <v>708</v>
      </c>
      <c r="B56" s="964">
        <v>407978</v>
      </c>
      <c r="C56" s="950">
        <v>640320</v>
      </c>
      <c r="D56" s="593">
        <v>640320</v>
      </c>
      <c r="E56" s="90"/>
      <c r="F56" s="972"/>
      <c r="G56" s="950"/>
      <c r="H56" s="593"/>
    </row>
    <row r="57" spans="1:8" ht="30" customHeight="1">
      <c r="A57" s="110" t="s">
        <v>713</v>
      </c>
      <c r="B57" s="964">
        <f>SUM(B58:B59)</f>
        <v>714718</v>
      </c>
      <c r="C57" s="950">
        <f>SUM(C58:C59)</f>
        <v>674899</v>
      </c>
      <c r="D57" s="361">
        <f>SUM(D58:D59)</f>
        <v>0</v>
      </c>
      <c r="E57" s="111" t="s">
        <v>714</v>
      </c>
      <c r="F57" s="973">
        <v>123539</v>
      </c>
      <c r="G57" s="959">
        <v>98579</v>
      </c>
      <c r="H57" s="820">
        <v>98579</v>
      </c>
    </row>
    <row r="58" spans="1:8" ht="15">
      <c r="A58" s="100" t="s">
        <v>715</v>
      </c>
      <c r="B58" s="967">
        <v>250000</v>
      </c>
      <c r="C58" s="952">
        <v>250000</v>
      </c>
      <c r="D58" s="595"/>
      <c r="E58" s="112"/>
      <c r="F58" s="972"/>
      <c r="G58" s="950"/>
      <c r="H58" s="593"/>
    </row>
    <row r="59" spans="1:8" ht="15.75" thickBot="1">
      <c r="A59" s="100" t="s">
        <v>716</v>
      </c>
      <c r="B59" s="967">
        <v>464718</v>
      </c>
      <c r="C59" s="957">
        <v>424899</v>
      </c>
      <c r="D59" s="683"/>
      <c r="E59" s="362"/>
      <c r="F59" s="974"/>
      <c r="G59" s="960"/>
      <c r="H59" s="821"/>
    </row>
    <row r="60" spans="1:8" ht="15" thickBot="1">
      <c r="A60" s="84" t="s">
        <v>689</v>
      </c>
      <c r="B60" s="970">
        <f>SUM(B53,B55)</f>
        <v>4964131</v>
      </c>
      <c r="C60" s="818">
        <f>SUM(C53,C55)</f>
        <v>4006245</v>
      </c>
      <c r="D60" s="665">
        <f>SUM(D53,D55)</f>
        <v>1412808</v>
      </c>
      <c r="E60" s="113" t="s">
        <v>689</v>
      </c>
      <c r="F60" s="975">
        <f>SUM(F53,F57)</f>
        <v>4964131</v>
      </c>
      <c r="G60" s="961">
        <f>SUM(G53,G57)</f>
        <v>4121532</v>
      </c>
      <c r="H60" s="822">
        <f>SUM(H53,H57)</f>
        <v>1467088</v>
      </c>
    </row>
    <row r="61" spans="1:8" ht="15">
      <c r="A61" s="114"/>
      <c r="B61" s="115"/>
      <c r="C61" s="115"/>
      <c r="D61" s="115"/>
      <c r="E61" s="114"/>
      <c r="F61" s="115"/>
      <c r="G61" s="68"/>
      <c r="H61" s="68"/>
    </row>
    <row r="62" spans="1:8" ht="14.25">
      <c r="A62" s="116" t="s">
        <v>717</v>
      </c>
      <c r="B62" s="117">
        <f>SUM(B30,B60)</f>
        <v>9546076</v>
      </c>
      <c r="C62" s="117">
        <f>SUM(C30,C60)</f>
        <v>9206078</v>
      </c>
      <c r="D62" s="117">
        <f>SUM(D30,D60)</f>
        <v>6502648</v>
      </c>
      <c r="E62" s="116" t="s">
        <v>718</v>
      </c>
      <c r="F62" s="118">
        <f>SUM(F30,F60)</f>
        <v>9546076</v>
      </c>
      <c r="G62" s="614">
        <f>SUM(G30,G60)</f>
        <v>9206078</v>
      </c>
      <c r="H62" s="614">
        <f>SUM(H30,H60)</f>
        <v>6502648</v>
      </c>
    </row>
    <row r="64" ht="12.75">
      <c r="A64" s="1411" t="s">
        <v>216</v>
      </c>
    </row>
    <row r="65" ht="12.75">
      <c r="A65" s="8" t="s">
        <v>217</v>
      </c>
    </row>
    <row r="66" ht="12.75">
      <c r="A66" s="8" t="s">
        <v>218</v>
      </c>
    </row>
    <row r="67" ht="12.75">
      <c r="A67" s="8" t="s">
        <v>219</v>
      </c>
    </row>
    <row r="68" ht="12.75">
      <c r="A68" s="8" t="s">
        <v>220</v>
      </c>
    </row>
  </sheetData>
  <mergeCells count="6">
    <mergeCell ref="A1:H1"/>
    <mergeCell ref="A3:D3"/>
    <mergeCell ref="A34:D34"/>
    <mergeCell ref="E3:H3"/>
    <mergeCell ref="E34:H34"/>
    <mergeCell ref="A32:H32"/>
  </mergeCells>
  <printOptions horizontalCentered="1"/>
  <pageMargins left="0.15748031496062992" right="0.15748031496062992" top="0.56" bottom="0.27" header="0.35" footer="0.15748031496062992"/>
  <pageSetup horizontalDpi="300" verticalDpi="300" orientation="landscape" paperSize="9" scale="50" r:id="rId1"/>
  <headerFooter alignWithMargins="0">
    <oddHeader>&amp;L2. melléklet a 2/2014.(II.27.) önkormányzati rendelethez
"2. melléklet az 1/2013.(II.01.) önkormányzati rendelethez"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M75"/>
  <sheetViews>
    <sheetView zoomScale="75" zoomScaleNormal="75" workbookViewId="0" topLeftCell="A43">
      <selection activeCell="B66" sqref="B66"/>
    </sheetView>
  </sheetViews>
  <sheetFormatPr defaultColWidth="9.00390625" defaultRowHeight="12.75"/>
  <cols>
    <col min="1" max="1" width="10.875" style="523" customWidth="1"/>
    <col min="2" max="2" width="70.875" style="585" customWidth="1"/>
    <col min="3" max="3" width="15.875" style="523" customWidth="1"/>
    <col min="4" max="4" width="7.625" style="578" customWidth="1"/>
    <col min="5" max="5" width="11.25390625" style="579" customWidth="1"/>
    <col min="6" max="6" width="15.75390625" style="580" hidden="1" customWidth="1"/>
    <col min="7" max="7" width="14.75390625" style="528" hidden="1" customWidth="1"/>
    <col min="8" max="9" width="13.875" style="355" hidden="1" customWidth="1"/>
    <col min="10" max="10" width="10.625" style="355" hidden="1" customWidth="1"/>
    <col min="11" max="11" width="9.25390625" style="523" hidden="1" customWidth="1"/>
    <col min="12" max="12" width="10.875" style="523" customWidth="1"/>
    <col min="13" max="13" width="12.75390625" style="523" customWidth="1"/>
    <col min="14" max="16384" width="9.125" style="355" customWidth="1"/>
  </cols>
  <sheetData>
    <row r="3" spans="1:13" ht="15.75">
      <c r="A3" s="1392" t="s">
        <v>173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92"/>
    </row>
    <row r="4" spans="1:13" ht="15.75">
      <c r="A4" s="1393" t="s">
        <v>624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</row>
    <row r="5" spans="1:10" ht="15.75">
      <c r="A5" s="520"/>
      <c r="B5" s="520"/>
      <c r="C5" s="520"/>
      <c r="D5" s="520"/>
      <c r="E5" s="520"/>
      <c r="F5" s="520"/>
      <c r="G5" s="521"/>
      <c r="H5" s="522"/>
      <c r="I5" s="522"/>
      <c r="J5" s="522"/>
    </row>
    <row r="6" spans="2:6" ht="16.5" thickBot="1">
      <c r="B6" s="524"/>
      <c r="C6" s="519"/>
      <c r="D6" s="525"/>
      <c r="E6" s="526"/>
      <c r="F6" s="527"/>
    </row>
    <row r="7" spans="1:13" ht="16.5" customHeight="1" thickTop="1">
      <c r="A7" s="1398" t="s">
        <v>174</v>
      </c>
      <c r="B7" s="1400" t="s">
        <v>175</v>
      </c>
      <c r="C7" s="1402" t="s">
        <v>176</v>
      </c>
      <c r="D7" s="1403"/>
      <c r="E7" s="1403"/>
      <c r="F7" s="1404"/>
      <c r="G7" s="1405" t="s">
        <v>526</v>
      </c>
      <c r="H7" s="1405" t="s">
        <v>527</v>
      </c>
      <c r="I7" s="1405" t="s">
        <v>528</v>
      </c>
      <c r="J7" s="1409" t="s">
        <v>474</v>
      </c>
      <c r="K7" s="1407" t="s">
        <v>796</v>
      </c>
      <c r="L7" s="1394" t="s">
        <v>630</v>
      </c>
      <c r="M7" s="1394" t="s">
        <v>391</v>
      </c>
    </row>
    <row r="8" spans="1:13" ht="39.75" customHeight="1" thickBot="1">
      <c r="A8" s="1399"/>
      <c r="B8" s="1401"/>
      <c r="C8" s="1396" t="s">
        <v>177</v>
      </c>
      <c r="D8" s="1397"/>
      <c r="E8" s="530" t="s">
        <v>178</v>
      </c>
      <c r="F8" s="529" t="s">
        <v>179</v>
      </c>
      <c r="G8" s="1406"/>
      <c r="H8" s="1406"/>
      <c r="I8" s="1406"/>
      <c r="J8" s="1410"/>
      <c r="K8" s="1408"/>
      <c r="L8" s="1395"/>
      <c r="M8" s="1395"/>
    </row>
    <row r="9" spans="1:13" ht="20.25" customHeight="1" thickTop="1">
      <c r="A9" s="805" t="s">
        <v>180</v>
      </c>
      <c r="B9" s="531" t="s">
        <v>181</v>
      </c>
      <c r="C9" s="532"/>
      <c r="D9" s="533"/>
      <c r="E9" s="534"/>
      <c r="F9" s="532"/>
      <c r="G9" s="535"/>
      <c r="H9" s="535"/>
      <c r="I9" s="535"/>
      <c r="J9" s="905"/>
      <c r="K9" s="906"/>
      <c r="L9" s="1141"/>
      <c r="M9" s="1141"/>
    </row>
    <row r="10" spans="1:13" ht="15.75">
      <c r="A10" s="801" t="s">
        <v>182</v>
      </c>
      <c r="B10" s="339" t="s">
        <v>183</v>
      </c>
      <c r="C10" s="536">
        <v>59.25</v>
      </c>
      <c r="D10" s="537" t="s">
        <v>184</v>
      </c>
      <c r="E10" s="538">
        <v>4580000</v>
      </c>
      <c r="F10" s="539">
        <f>C10*E10</f>
        <v>271365000</v>
      </c>
      <c r="G10" s="540">
        <f>F10/12*8</f>
        <v>180910000</v>
      </c>
      <c r="H10" s="348">
        <v>71325866.66666667</v>
      </c>
      <c r="I10" s="348">
        <f>H10+G10</f>
        <v>252235866.6666667</v>
      </c>
      <c r="J10" s="347">
        <f>252236-22419</f>
        <v>229817</v>
      </c>
      <c r="K10" s="907"/>
      <c r="L10" s="1142">
        <f>J10+K10</f>
        <v>229817</v>
      </c>
      <c r="M10" s="1142">
        <f>K10+L10</f>
        <v>229817</v>
      </c>
    </row>
    <row r="11" spans="1:13" ht="15.75">
      <c r="A11" s="802" t="s">
        <v>185</v>
      </c>
      <c r="B11" s="340" t="s">
        <v>186</v>
      </c>
      <c r="C11" s="541"/>
      <c r="D11" s="542"/>
      <c r="E11" s="351"/>
      <c r="F11" s="350"/>
      <c r="G11" s="351"/>
      <c r="H11" s="351"/>
      <c r="I11" s="351"/>
      <c r="J11" s="350"/>
      <c r="K11" s="907"/>
      <c r="L11" s="1143"/>
      <c r="M11" s="1143"/>
    </row>
    <row r="12" spans="1:13" ht="15.75">
      <c r="A12" s="803" t="s">
        <v>187</v>
      </c>
      <c r="B12" s="341" t="s">
        <v>188</v>
      </c>
      <c r="C12" s="351">
        <v>1675</v>
      </c>
      <c r="D12" s="542" t="s">
        <v>189</v>
      </c>
      <c r="E12" s="351">
        <v>22261</v>
      </c>
      <c r="F12" s="343">
        <v>37289401</v>
      </c>
      <c r="G12" s="344">
        <f aca="true" t="shared" si="0" ref="G12:G21">F12/12*8</f>
        <v>24859600.666666668</v>
      </c>
      <c r="H12" s="344">
        <v>12429800.333333334</v>
      </c>
      <c r="I12" s="344">
        <f aca="true" t="shared" si="1" ref="I12:I21">H12+G12</f>
        <v>37289401</v>
      </c>
      <c r="J12" s="343">
        <v>37289</v>
      </c>
      <c r="K12" s="907">
        <v>441</v>
      </c>
      <c r="L12" s="1144">
        <f>J12+K12</f>
        <v>37730</v>
      </c>
      <c r="M12" s="1144">
        <v>37730</v>
      </c>
    </row>
    <row r="13" spans="1:13" s="546" customFormat="1" ht="15.75">
      <c r="A13" s="803" t="s">
        <v>190</v>
      </c>
      <c r="B13" s="342" t="s">
        <v>191</v>
      </c>
      <c r="C13" s="543"/>
      <c r="D13" s="544" t="s">
        <v>192</v>
      </c>
      <c r="E13" s="545"/>
      <c r="F13" s="343">
        <v>52736600</v>
      </c>
      <c r="G13" s="344">
        <f t="shared" si="0"/>
        <v>35157733.333333336</v>
      </c>
      <c r="H13" s="344">
        <v>17578866.666666668</v>
      </c>
      <c r="I13" s="344">
        <f t="shared" si="1"/>
        <v>52736600</v>
      </c>
      <c r="J13" s="343">
        <v>52737</v>
      </c>
      <c r="K13" s="908"/>
      <c r="L13" s="1144">
        <f>J13+K13</f>
        <v>52737</v>
      </c>
      <c r="M13" s="1144">
        <f>K13+L13</f>
        <v>52737</v>
      </c>
    </row>
    <row r="14" spans="1:13" s="548" customFormat="1" ht="15.75">
      <c r="A14" s="803" t="s">
        <v>193</v>
      </c>
      <c r="B14" s="345" t="s">
        <v>194</v>
      </c>
      <c r="C14" s="547"/>
      <c r="D14" s="544" t="s">
        <v>192</v>
      </c>
      <c r="E14" s="344"/>
      <c r="F14" s="343">
        <v>5535200</v>
      </c>
      <c r="G14" s="344">
        <f t="shared" si="0"/>
        <v>3690133.3333333335</v>
      </c>
      <c r="H14" s="344">
        <v>1845066.6666666667</v>
      </c>
      <c r="I14" s="344">
        <f t="shared" si="1"/>
        <v>5535200</v>
      </c>
      <c r="J14" s="343">
        <v>5535</v>
      </c>
      <c r="K14" s="909"/>
      <c r="L14" s="1144">
        <f>J14+K14</f>
        <v>5535</v>
      </c>
      <c r="M14" s="1144">
        <f>K14+L14</f>
        <v>5535</v>
      </c>
    </row>
    <row r="15" spans="1:13" ht="15.75">
      <c r="A15" s="803" t="s">
        <v>195</v>
      </c>
      <c r="B15" s="345" t="s">
        <v>196</v>
      </c>
      <c r="C15" s="547"/>
      <c r="D15" s="544" t="s">
        <v>192</v>
      </c>
      <c r="E15" s="353"/>
      <c r="F15" s="343">
        <v>30179985</v>
      </c>
      <c r="G15" s="344">
        <f t="shared" si="0"/>
        <v>20119990</v>
      </c>
      <c r="H15" s="344">
        <v>10059995</v>
      </c>
      <c r="I15" s="344">
        <f t="shared" si="1"/>
        <v>30179985</v>
      </c>
      <c r="J15" s="343">
        <v>30180</v>
      </c>
      <c r="K15" s="907"/>
      <c r="L15" s="1144">
        <f>J15+K15</f>
        <v>30180</v>
      </c>
      <c r="M15" s="1144">
        <f>K15+L15</f>
        <v>30180</v>
      </c>
    </row>
    <row r="16" spans="1:13" ht="15.75">
      <c r="A16" s="804" t="s">
        <v>185</v>
      </c>
      <c r="B16" s="346" t="s">
        <v>197</v>
      </c>
      <c r="C16" s="549"/>
      <c r="D16" s="544"/>
      <c r="E16" s="550"/>
      <c r="F16" s="347">
        <f>SUM(F12:F15)</f>
        <v>125741186</v>
      </c>
      <c r="G16" s="348">
        <f t="shared" si="0"/>
        <v>83827457.33333333</v>
      </c>
      <c r="H16" s="348">
        <v>41913728.666666664</v>
      </c>
      <c r="I16" s="348">
        <f t="shared" si="1"/>
        <v>125741186</v>
      </c>
      <c r="J16" s="347">
        <f>SUM(J12:J15)</f>
        <v>125741</v>
      </c>
      <c r="K16" s="904">
        <f>SUM(K12:K15)</f>
        <v>441</v>
      </c>
      <c r="L16" s="1145">
        <f>SUM(L12:L15)</f>
        <v>126182</v>
      </c>
      <c r="M16" s="1145">
        <f>SUM(M12:M15)</f>
        <v>126182</v>
      </c>
    </row>
    <row r="17" spans="1:13" ht="15.75">
      <c r="A17" s="803"/>
      <c r="B17" s="349" t="s">
        <v>198</v>
      </c>
      <c r="C17" s="547"/>
      <c r="D17" s="544"/>
      <c r="E17" s="353"/>
      <c r="F17" s="350">
        <f>F10+F16</f>
        <v>397106186</v>
      </c>
      <c r="G17" s="351">
        <f t="shared" si="0"/>
        <v>264737457.33333334</v>
      </c>
      <c r="H17" s="351">
        <v>113239595.33333333</v>
      </c>
      <c r="I17" s="351">
        <f t="shared" si="1"/>
        <v>377977052.6666667</v>
      </c>
      <c r="J17" s="350">
        <f>377977-22419</f>
        <v>355558</v>
      </c>
      <c r="K17" s="931">
        <f>K10+K16</f>
        <v>441</v>
      </c>
      <c r="L17" s="1146">
        <f>J17+K17</f>
        <v>355999</v>
      </c>
      <c r="M17" s="1146">
        <v>355999</v>
      </c>
    </row>
    <row r="18" spans="1:13" ht="15.75">
      <c r="A18" s="803"/>
      <c r="B18" s="349" t="s">
        <v>199</v>
      </c>
      <c r="C18" s="549">
        <v>53051297000</v>
      </c>
      <c r="D18" s="544"/>
      <c r="E18" s="551" t="s">
        <v>797</v>
      </c>
      <c r="F18" s="343">
        <f>C18*E18</f>
        <v>265256485</v>
      </c>
      <c r="G18" s="344">
        <f t="shared" si="0"/>
        <v>176837656.66666666</v>
      </c>
      <c r="H18" s="344">
        <v>88418828.33333333</v>
      </c>
      <c r="I18" s="344">
        <f t="shared" si="1"/>
        <v>265256485</v>
      </c>
      <c r="J18" s="343">
        <v>265257</v>
      </c>
      <c r="K18" s="907"/>
      <c r="L18" s="1146">
        <f>J18+K18</f>
        <v>265257</v>
      </c>
      <c r="M18" s="1146">
        <f>K18+L18</f>
        <v>265257</v>
      </c>
    </row>
    <row r="19" spans="1:13" ht="15.75" customHeight="1">
      <c r="A19" s="804" t="s">
        <v>200</v>
      </c>
      <c r="B19" s="552" t="s">
        <v>399</v>
      </c>
      <c r="C19" s="354"/>
      <c r="D19" s="352"/>
      <c r="E19" s="353"/>
      <c r="F19" s="347">
        <f>F17-F18</f>
        <v>131849701</v>
      </c>
      <c r="G19" s="348">
        <f t="shared" si="0"/>
        <v>87899800.66666667</v>
      </c>
      <c r="H19" s="348">
        <v>24820767</v>
      </c>
      <c r="I19" s="348">
        <f t="shared" si="1"/>
        <v>112720567.66666667</v>
      </c>
      <c r="J19" s="347">
        <f>J17-J18</f>
        <v>90301</v>
      </c>
      <c r="K19" s="904">
        <f>K17-K18</f>
        <v>441</v>
      </c>
      <c r="L19" s="1145">
        <f>L17-L18</f>
        <v>90742</v>
      </c>
      <c r="M19" s="1145">
        <f>M17-M18</f>
        <v>90742</v>
      </c>
    </row>
    <row r="20" spans="1:13" ht="15.75">
      <c r="A20" s="804" t="s">
        <v>400</v>
      </c>
      <c r="B20" s="340" t="s">
        <v>402</v>
      </c>
      <c r="C20" s="351">
        <v>23767</v>
      </c>
      <c r="D20" s="352" t="s">
        <v>184</v>
      </c>
      <c r="E20" s="353">
        <v>2700</v>
      </c>
      <c r="F20" s="347">
        <f>C20*E20</f>
        <v>64170900</v>
      </c>
      <c r="G20" s="348">
        <f t="shared" si="0"/>
        <v>42780600</v>
      </c>
      <c r="H20" s="348">
        <v>21390300</v>
      </c>
      <c r="I20" s="348">
        <f t="shared" si="1"/>
        <v>64170900</v>
      </c>
      <c r="J20" s="347">
        <v>64171</v>
      </c>
      <c r="K20" s="907"/>
      <c r="L20" s="1142">
        <f>J20+K20</f>
        <v>64171</v>
      </c>
      <c r="M20" s="1142">
        <f>K20+L20</f>
        <v>64171</v>
      </c>
    </row>
    <row r="21" spans="1:13" ht="15" customHeight="1">
      <c r="A21" s="806" t="s">
        <v>403</v>
      </c>
      <c r="B21" s="553" t="s">
        <v>405</v>
      </c>
      <c r="C21" s="554"/>
      <c r="D21" s="555"/>
      <c r="E21" s="556"/>
      <c r="F21" s="358">
        <f>F19+F20</f>
        <v>196020601</v>
      </c>
      <c r="G21" s="359">
        <f t="shared" si="0"/>
        <v>130680400.66666667</v>
      </c>
      <c r="H21" s="359">
        <v>46211067</v>
      </c>
      <c r="I21" s="359">
        <f t="shared" si="1"/>
        <v>176891467.6666667</v>
      </c>
      <c r="J21" s="358">
        <f>SUM(J19:J20)</f>
        <v>154472</v>
      </c>
      <c r="K21" s="910">
        <f>SUM(K19:K20)</f>
        <v>441</v>
      </c>
      <c r="L21" s="1147">
        <f>SUM(L19:L20)</f>
        <v>154913</v>
      </c>
      <c r="M21" s="1147">
        <f>SUM(M19:M20)</f>
        <v>154913</v>
      </c>
    </row>
    <row r="22" spans="1:13" ht="30" customHeight="1">
      <c r="A22" s="804" t="s">
        <v>406</v>
      </c>
      <c r="B22" s="557" t="s">
        <v>407</v>
      </c>
      <c r="C22" s="558"/>
      <c r="D22" s="352"/>
      <c r="E22" s="353"/>
      <c r="F22" s="347"/>
      <c r="G22" s="348"/>
      <c r="H22" s="348"/>
      <c r="I22" s="348"/>
      <c r="J22" s="347"/>
      <c r="K22" s="907"/>
      <c r="L22" s="1143"/>
      <c r="M22" s="1143"/>
    </row>
    <row r="23" spans="1:13" ht="15.75" customHeight="1">
      <c r="A23" s="804"/>
      <c r="B23" s="557" t="s">
        <v>408</v>
      </c>
      <c r="C23" s="558">
        <v>52</v>
      </c>
      <c r="D23" s="352" t="s">
        <v>184</v>
      </c>
      <c r="E23" s="353"/>
      <c r="F23" s="350">
        <v>98176000</v>
      </c>
      <c r="G23" s="351">
        <f>F23/12*8</f>
        <v>65450666.666666664</v>
      </c>
      <c r="H23" s="351">
        <v>32725333.333333332</v>
      </c>
      <c r="I23" s="351">
        <f>H23+G23</f>
        <v>98176000</v>
      </c>
      <c r="J23" s="350">
        <f>98176-1888</f>
        <v>96288</v>
      </c>
      <c r="K23" s="907"/>
      <c r="L23" s="1146">
        <f>J23+K23</f>
        <v>96288</v>
      </c>
      <c r="M23" s="1146">
        <f>K23+L23</f>
        <v>96288</v>
      </c>
    </row>
    <row r="24" spans="1:13" ht="15.75" customHeight="1">
      <c r="A24" s="804"/>
      <c r="B24" s="557" t="s">
        <v>409</v>
      </c>
      <c r="C24" s="558">
        <f>54+1</f>
        <v>55</v>
      </c>
      <c r="D24" s="352" t="s">
        <v>184</v>
      </c>
      <c r="E24" s="353"/>
      <c r="F24" s="350">
        <v>50976000</v>
      </c>
      <c r="G24" s="351">
        <f>F24/12*8</f>
        <v>33984000</v>
      </c>
      <c r="H24" s="351">
        <v>16992000</v>
      </c>
      <c r="I24" s="351">
        <f>H24+G24</f>
        <v>50976000</v>
      </c>
      <c r="J24" s="350">
        <v>50976</v>
      </c>
      <c r="K24" s="907">
        <f>944+14207</f>
        <v>15151</v>
      </c>
      <c r="L24" s="1146">
        <f>J24+K24</f>
        <v>66127</v>
      </c>
      <c r="M24" s="1146">
        <f>66127+263</f>
        <v>66390</v>
      </c>
    </row>
    <row r="25" spans="1:13" ht="15.75" customHeight="1">
      <c r="A25" s="804"/>
      <c r="B25" s="557" t="s">
        <v>410</v>
      </c>
      <c r="C25" s="558">
        <v>24</v>
      </c>
      <c r="D25" s="352" t="s">
        <v>184</v>
      </c>
      <c r="E25" s="353"/>
      <c r="F25" s="350">
        <v>26112000</v>
      </c>
      <c r="G25" s="351">
        <f>F25/12*8</f>
        <v>17408000</v>
      </c>
      <c r="H25" s="351">
        <v>8704000</v>
      </c>
      <c r="I25" s="351">
        <f>H25+G25</f>
        <v>26112000</v>
      </c>
      <c r="J25" s="350">
        <v>26112</v>
      </c>
      <c r="K25" s="907"/>
      <c r="L25" s="1146">
        <f>J25+K25</f>
        <v>26112</v>
      </c>
      <c r="M25" s="1146">
        <f>K25+L25</f>
        <v>26112</v>
      </c>
    </row>
    <row r="26" spans="1:13" ht="15.75" customHeight="1">
      <c r="A26" s="804"/>
      <c r="B26" s="557" t="s">
        <v>455</v>
      </c>
      <c r="C26" s="558">
        <v>35</v>
      </c>
      <c r="D26" s="352" t="s">
        <v>184</v>
      </c>
      <c r="E26" s="353"/>
      <c r="F26" s="350">
        <v>19040000</v>
      </c>
      <c r="G26" s="351">
        <f>F26/12*8</f>
        <v>12693333.333333334</v>
      </c>
      <c r="H26" s="351">
        <v>6346666.666666667</v>
      </c>
      <c r="I26" s="351">
        <f>H26+G26</f>
        <v>19040000</v>
      </c>
      <c r="J26" s="350">
        <f>19040-3808</f>
        <v>15232</v>
      </c>
      <c r="K26" s="907">
        <v>2176</v>
      </c>
      <c r="L26" s="1146">
        <f>J26+K26</f>
        <v>17408</v>
      </c>
      <c r="M26" s="1146">
        <v>17408</v>
      </c>
    </row>
    <row r="27" spans="1:13" ht="28.5" customHeight="1">
      <c r="A27" s="806" t="s">
        <v>406</v>
      </c>
      <c r="B27" s="559" t="s">
        <v>456</v>
      </c>
      <c r="C27" s="558"/>
      <c r="D27" s="352"/>
      <c r="E27" s="353"/>
      <c r="F27" s="358">
        <f>SUM(F23:F26)</f>
        <v>194304000</v>
      </c>
      <c r="G27" s="359">
        <f>F27/12*8</f>
        <v>129536000</v>
      </c>
      <c r="H27" s="359">
        <v>64768000</v>
      </c>
      <c r="I27" s="359">
        <f>H27+G27</f>
        <v>194304000</v>
      </c>
      <c r="J27" s="358">
        <f>SUM(J23:J26)</f>
        <v>188608</v>
      </c>
      <c r="K27" s="910">
        <f>SUM(K23:K26)</f>
        <v>17327</v>
      </c>
      <c r="L27" s="1147">
        <f>SUM(L23:L26)</f>
        <v>205935</v>
      </c>
      <c r="M27" s="1147">
        <f>SUM(M23:M26)</f>
        <v>206198</v>
      </c>
    </row>
    <row r="28" spans="1:13" ht="15.75">
      <c r="A28" s="804" t="s">
        <v>457</v>
      </c>
      <c r="B28" s="340" t="s">
        <v>458</v>
      </c>
      <c r="C28" s="354"/>
      <c r="D28" s="352"/>
      <c r="E28" s="353"/>
      <c r="F28" s="347"/>
      <c r="G28" s="348"/>
      <c r="H28" s="348"/>
      <c r="I28" s="348"/>
      <c r="J28" s="347"/>
      <c r="K28" s="907"/>
      <c r="L28" s="1143"/>
      <c r="M28" s="1143"/>
    </row>
    <row r="29" spans="1:13" ht="15.75">
      <c r="A29" s="804"/>
      <c r="B29" s="340" t="s">
        <v>459</v>
      </c>
      <c r="C29" s="354">
        <v>588</v>
      </c>
      <c r="D29" s="352" t="s">
        <v>184</v>
      </c>
      <c r="E29" s="353"/>
      <c r="F29" s="350">
        <v>21168000</v>
      </c>
      <c r="G29" s="351">
        <f>F29/12*8</f>
        <v>14112000</v>
      </c>
      <c r="H29" s="351">
        <v>7056000</v>
      </c>
      <c r="I29" s="351">
        <f>H29+G29</f>
        <v>21168000</v>
      </c>
      <c r="J29" s="350">
        <f>21168-72</f>
        <v>21096</v>
      </c>
      <c r="K29" s="907"/>
      <c r="L29" s="1146">
        <f>J29+K29</f>
        <v>21096</v>
      </c>
      <c r="M29" s="1146">
        <f>K29+L29</f>
        <v>21096</v>
      </c>
    </row>
    <row r="30" spans="1:13" ht="15.75">
      <c r="A30" s="804"/>
      <c r="B30" s="340" t="s">
        <v>460</v>
      </c>
      <c r="C30" s="354">
        <v>593</v>
      </c>
      <c r="D30" s="352" t="s">
        <v>184</v>
      </c>
      <c r="E30" s="353"/>
      <c r="F30" s="350">
        <v>10674000</v>
      </c>
      <c r="G30" s="351">
        <f>F30/12*8</f>
        <v>7116000</v>
      </c>
      <c r="H30" s="351">
        <v>3558000</v>
      </c>
      <c r="I30" s="351">
        <f>H30+G30</f>
        <v>10674000</v>
      </c>
      <c r="J30" s="350">
        <f>10674-36</f>
        <v>10638</v>
      </c>
      <c r="K30" s="907">
        <v>198</v>
      </c>
      <c r="L30" s="1146">
        <f>J30+K30</f>
        <v>10836</v>
      </c>
      <c r="M30" s="1146">
        <v>10836</v>
      </c>
    </row>
    <row r="31" spans="1:13" ht="15.75">
      <c r="A31" s="806" t="s">
        <v>457</v>
      </c>
      <c r="B31" s="356" t="s">
        <v>461</v>
      </c>
      <c r="C31" s="354"/>
      <c r="D31" s="352"/>
      <c r="E31" s="353"/>
      <c r="F31" s="358">
        <f>SUM(F29:F30)</f>
        <v>31842000</v>
      </c>
      <c r="G31" s="359">
        <f>F31/12*8</f>
        <v>21228000</v>
      </c>
      <c r="H31" s="359">
        <v>10614000</v>
      </c>
      <c r="I31" s="359">
        <f>H31+G31</f>
        <v>31842000</v>
      </c>
      <c r="J31" s="358">
        <f>SUM(J29:J30)</f>
        <v>31734</v>
      </c>
      <c r="K31" s="910">
        <f>SUM(K29:K30)</f>
        <v>198</v>
      </c>
      <c r="L31" s="1147">
        <f>SUM(L29:L30)</f>
        <v>31932</v>
      </c>
      <c r="M31" s="1147">
        <f>SUM(M29:M30)</f>
        <v>31932</v>
      </c>
    </row>
    <row r="32" spans="1:13" ht="15.75">
      <c r="A32" s="804" t="s">
        <v>462</v>
      </c>
      <c r="B32" s="346" t="s">
        <v>463</v>
      </c>
      <c r="C32" s="354"/>
      <c r="D32" s="352"/>
      <c r="E32" s="353"/>
      <c r="F32" s="347"/>
      <c r="G32" s="348"/>
      <c r="H32" s="348"/>
      <c r="I32" s="348"/>
      <c r="J32" s="347"/>
      <c r="K32" s="907"/>
      <c r="L32" s="1143"/>
      <c r="M32" s="1143"/>
    </row>
    <row r="33" spans="1:13" ht="29.25" customHeight="1">
      <c r="A33" s="803" t="s">
        <v>464</v>
      </c>
      <c r="B33" s="557" t="s">
        <v>465</v>
      </c>
      <c r="C33" s="354">
        <v>12</v>
      </c>
      <c r="D33" s="352" t="s">
        <v>466</v>
      </c>
      <c r="E33" s="353">
        <v>102000</v>
      </c>
      <c r="F33" s="350">
        <f>C33*E33</f>
        <v>1224000</v>
      </c>
      <c r="G33" s="351">
        <f aca="true" t="shared" si="2" ref="G33:G38">F33/12*8</f>
        <v>816000</v>
      </c>
      <c r="H33" s="351">
        <v>408000</v>
      </c>
      <c r="I33" s="351">
        <f aca="true" t="shared" si="3" ref="I33:I38">H33+G33</f>
        <v>1224000</v>
      </c>
      <c r="J33" s="350">
        <v>1224</v>
      </c>
      <c r="K33" s="907"/>
      <c r="L33" s="1146">
        <f>J33+K33</f>
        <v>1224</v>
      </c>
      <c r="M33" s="1146">
        <f>K33+L33</f>
        <v>1224</v>
      </c>
    </row>
    <row r="34" spans="1:13" ht="15.75">
      <c r="A34" s="803" t="s">
        <v>467</v>
      </c>
      <c r="B34" s="340" t="s">
        <v>468</v>
      </c>
      <c r="C34" s="560">
        <v>982</v>
      </c>
      <c r="D34" s="352" t="s">
        <v>466</v>
      </c>
      <c r="E34" s="353">
        <v>102000</v>
      </c>
      <c r="F34" s="350">
        <f>C34*E34</f>
        <v>100164000</v>
      </c>
      <c r="G34" s="351">
        <f t="shared" si="2"/>
        <v>66776000</v>
      </c>
      <c r="H34" s="351">
        <v>33388000</v>
      </c>
      <c r="I34" s="351">
        <f t="shared" si="3"/>
        <v>100164000</v>
      </c>
      <c r="J34" s="350">
        <f>100164-7956</f>
        <v>92208</v>
      </c>
      <c r="K34" s="907">
        <v>-2244</v>
      </c>
      <c r="L34" s="1146">
        <f>J34+K34</f>
        <v>89964</v>
      </c>
      <c r="M34" s="1146">
        <v>89964</v>
      </c>
    </row>
    <row r="35" spans="1:13" ht="15.75">
      <c r="A35" s="806" t="s">
        <v>462</v>
      </c>
      <c r="B35" s="356" t="s">
        <v>469</v>
      </c>
      <c r="C35" s="560"/>
      <c r="D35" s="352"/>
      <c r="E35" s="353"/>
      <c r="F35" s="350">
        <f>SUM(F33:F34)</f>
        <v>101388000</v>
      </c>
      <c r="G35" s="351">
        <f t="shared" si="2"/>
        <v>67592000</v>
      </c>
      <c r="H35" s="351">
        <v>33796000</v>
      </c>
      <c r="I35" s="351">
        <f t="shared" si="3"/>
        <v>101388000</v>
      </c>
      <c r="J35" s="350">
        <f>SUM(J33:J34)</f>
        <v>93432</v>
      </c>
      <c r="K35" s="911">
        <f>SUM(K33:K34)</f>
        <v>-2244</v>
      </c>
      <c r="L35" s="1148">
        <f>SUM(L33:L34)</f>
        <v>91188</v>
      </c>
      <c r="M35" s="1148">
        <f>SUM(M33:M34)</f>
        <v>91188</v>
      </c>
    </row>
    <row r="36" spans="1:13" ht="18" customHeight="1">
      <c r="A36" s="806" t="s">
        <v>470</v>
      </c>
      <c r="B36" s="559" t="s">
        <v>471</v>
      </c>
      <c r="C36" s="354"/>
      <c r="D36" s="352"/>
      <c r="E36" s="353"/>
      <c r="F36" s="358">
        <f>F27+F31+F35</f>
        <v>327534000</v>
      </c>
      <c r="G36" s="359">
        <f t="shared" si="2"/>
        <v>218356000</v>
      </c>
      <c r="H36" s="359">
        <v>109178000</v>
      </c>
      <c r="I36" s="359">
        <f t="shared" si="3"/>
        <v>327534000</v>
      </c>
      <c r="J36" s="358">
        <f>J27+J31+J35</f>
        <v>313774</v>
      </c>
      <c r="K36" s="910">
        <f>K27+K31+K35</f>
        <v>15281</v>
      </c>
      <c r="L36" s="1147">
        <f>L27+L31+L35</f>
        <v>329055</v>
      </c>
      <c r="M36" s="1147">
        <f>M27+M31+M35</f>
        <v>329318</v>
      </c>
    </row>
    <row r="37" spans="1:13" ht="18" customHeight="1">
      <c r="A37" s="806" t="s">
        <v>473</v>
      </c>
      <c r="B37" s="559" t="s">
        <v>476</v>
      </c>
      <c r="C37" s="354"/>
      <c r="D37" s="352"/>
      <c r="E37" s="353"/>
      <c r="F37" s="358">
        <v>77059000</v>
      </c>
      <c r="G37" s="359">
        <f t="shared" si="2"/>
        <v>51372666.666666664</v>
      </c>
      <c r="H37" s="359">
        <v>25686333.333333332</v>
      </c>
      <c r="I37" s="359">
        <f t="shared" si="3"/>
        <v>77059000</v>
      </c>
      <c r="J37" s="358">
        <v>77059</v>
      </c>
      <c r="K37" s="912"/>
      <c r="L37" s="1149">
        <f>J37+K37</f>
        <v>77059</v>
      </c>
      <c r="M37" s="1149">
        <v>85050</v>
      </c>
    </row>
    <row r="38" spans="1:13" ht="15.75" customHeight="1">
      <c r="A38" s="806" t="s">
        <v>477</v>
      </c>
      <c r="B38" s="559" t="s">
        <v>478</v>
      </c>
      <c r="C38" s="354"/>
      <c r="D38" s="352"/>
      <c r="E38" s="353"/>
      <c r="F38" s="358">
        <v>39707272</v>
      </c>
      <c r="G38" s="359">
        <f t="shared" si="2"/>
        <v>26471514.666666668</v>
      </c>
      <c r="H38" s="359">
        <v>13235757.333333334</v>
      </c>
      <c r="I38" s="359">
        <f t="shared" si="3"/>
        <v>39707272</v>
      </c>
      <c r="J38" s="358">
        <v>39707</v>
      </c>
      <c r="K38" s="912"/>
      <c r="L38" s="1149">
        <f>J38+K38</f>
        <v>39707</v>
      </c>
      <c r="M38" s="1149">
        <f>K38+L38</f>
        <v>39707</v>
      </c>
    </row>
    <row r="39" spans="1:13" ht="15.75">
      <c r="A39" s="807" t="s">
        <v>479</v>
      </c>
      <c r="B39" s="349" t="s">
        <v>480</v>
      </c>
      <c r="C39" s="354"/>
      <c r="D39" s="352"/>
      <c r="E39" s="353"/>
      <c r="F39" s="350"/>
      <c r="G39" s="351"/>
      <c r="H39" s="351"/>
      <c r="I39" s="351"/>
      <c r="J39" s="350"/>
      <c r="K39" s="907"/>
      <c r="L39" s="1143"/>
      <c r="M39" s="1143"/>
    </row>
    <row r="40" spans="1:13" ht="15.75">
      <c r="A40" s="807" t="s">
        <v>481</v>
      </c>
      <c r="B40" s="340" t="s">
        <v>482</v>
      </c>
      <c r="C40" s="561">
        <v>7.8602</v>
      </c>
      <c r="D40" s="352" t="s">
        <v>184</v>
      </c>
      <c r="E40" s="353">
        <v>3950000</v>
      </c>
      <c r="F40" s="350">
        <f>C40*3950000</f>
        <v>31047790</v>
      </c>
      <c r="G40" s="351">
        <f aca="true" t="shared" si="4" ref="G40:G52">F40/12*8</f>
        <v>20698526.666666668</v>
      </c>
      <c r="H40" s="351">
        <v>10349263.333333334</v>
      </c>
      <c r="I40" s="351">
        <f aca="true" t="shared" si="5" ref="I40:I47">H40+G40</f>
        <v>31047790</v>
      </c>
      <c r="J40" s="350">
        <v>31048</v>
      </c>
      <c r="K40" s="907"/>
      <c r="L40" s="1146">
        <f aca="true" t="shared" si="6" ref="L40:M50">J40+K40</f>
        <v>31048</v>
      </c>
      <c r="M40" s="1146">
        <f t="shared" si="6"/>
        <v>31048</v>
      </c>
    </row>
    <row r="41" spans="1:13" ht="15.75">
      <c r="A41" s="807" t="s">
        <v>483</v>
      </c>
      <c r="B41" s="340" t="s">
        <v>529</v>
      </c>
      <c r="C41" s="561" t="s">
        <v>798</v>
      </c>
      <c r="D41" s="352" t="s">
        <v>184</v>
      </c>
      <c r="E41" s="353">
        <v>300</v>
      </c>
      <c r="F41" s="350">
        <f>2*39301*300</f>
        <v>23580600</v>
      </c>
      <c r="G41" s="351">
        <f t="shared" si="4"/>
        <v>15720400</v>
      </c>
      <c r="H41" s="351">
        <v>7860200</v>
      </c>
      <c r="I41" s="351">
        <f t="shared" si="5"/>
        <v>23580600</v>
      </c>
      <c r="J41" s="350">
        <v>23580</v>
      </c>
      <c r="K41" s="907"/>
      <c r="L41" s="1146">
        <f t="shared" si="6"/>
        <v>23580</v>
      </c>
      <c r="M41" s="1146">
        <f t="shared" si="6"/>
        <v>23580</v>
      </c>
    </row>
    <row r="42" spans="1:13" ht="15.75">
      <c r="A42" s="804" t="s">
        <v>484</v>
      </c>
      <c r="B42" s="340" t="s">
        <v>485</v>
      </c>
      <c r="C42" s="561"/>
      <c r="D42" s="352"/>
      <c r="E42" s="353"/>
      <c r="F42" s="347">
        <f>SUM(F40:F41)</f>
        <v>54628390</v>
      </c>
      <c r="G42" s="348">
        <f t="shared" si="4"/>
        <v>36418926.666666664</v>
      </c>
      <c r="H42" s="348">
        <v>18209463.333333332</v>
      </c>
      <c r="I42" s="348">
        <f t="shared" si="5"/>
        <v>54628390</v>
      </c>
      <c r="J42" s="347">
        <f>SUM(J40:J41)</f>
        <v>54628</v>
      </c>
      <c r="K42" s="907"/>
      <c r="L42" s="1142">
        <f t="shared" si="6"/>
        <v>54628</v>
      </c>
      <c r="M42" s="1142">
        <f t="shared" si="6"/>
        <v>54628</v>
      </c>
    </row>
    <row r="43" spans="1:13" ht="15.75">
      <c r="A43" s="804" t="s">
        <v>486</v>
      </c>
      <c r="B43" s="340" t="s">
        <v>487</v>
      </c>
      <c r="C43" s="354">
        <v>100</v>
      </c>
      <c r="D43" s="352" t="s">
        <v>184</v>
      </c>
      <c r="E43" s="353">
        <v>55360</v>
      </c>
      <c r="F43" s="347">
        <f>C43*E43</f>
        <v>5536000</v>
      </c>
      <c r="G43" s="348">
        <f t="shared" si="4"/>
        <v>3690666.6666666665</v>
      </c>
      <c r="H43" s="348">
        <v>1845333.3333333333</v>
      </c>
      <c r="I43" s="348">
        <f t="shared" si="5"/>
        <v>5536000</v>
      </c>
      <c r="J43" s="347">
        <v>5536</v>
      </c>
      <c r="K43" s="907"/>
      <c r="L43" s="1142">
        <f t="shared" si="6"/>
        <v>5536</v>
      </c>
      <c r="M43" s="1142">
        <f t="shared" si="6"/>
        <v>5536</v>
      </c>
    </row>
    <row r="44" spans="1:13" ht="29.25" customHeight="1">
      <c r="A44" s="804" t="s">
        <v>488</v>
      </c>
      <c r="B44" s="557" t="s">
        <v>489</v>
      </c>
      <c r="C44" s="354">
        <v>18</v>
      </c>
      <c r="D44" s="352" t="s">
        <v>184</v>
      </c>
      <c r="E44" s="353">
        <v>145000</v>
      </c>
      <c r="F44" s="347">
        <f>C44*(E44*130%)</f>
        <v>3393000</v>
      </c>
      <c r="G44" s="348">
        <f t="shared" si="4"/>
        <v>2262000</v>
      </c>
      <c r="H44" s="348">
        <v>1131000</v>
      </c>
      <c r="I44" s="348">
        <f t="shared" si="5"/>
        <v>3393000</v>
      </c>
      <c r="J44" s="347">
        <v>3393</v>
      </c>
      <c r="K44" s="907"/>
      <c r="L44" s="1142">
        <f t="shared" si="6"/>
        <v>3393</v>
      </c>
      <c r="M44" s="1142">
        <f t="shared" si="6"/>
        <v>3393</v>
      </c>
    </row>
    <row r="45" spans="1:13" ht="31.5">
      <c r="A45" s="804" t="s">
        <v>490</v>
      </c>
      <c r="B45" s="557" t="s">
        <v>491</v>
      </c>
      <c r="C45" s="354">
        <v>65</v>
      </c>
      <c r="D45" s="352" t="s">
        <v>184</v>
      </c>
      <c r="E45" s="353">
        <v>109000</v>
      </c>
      <c r="F45" s="347">
        <f>C45*(E45*150%)</f>
        <v>10627500</v>
      </c>
      <c r="G45" s="348">
        <f t="shared" si="4"/>
        <v>7085000</v>
      </c>
      <c r="H45" s="348">
        <v>3542500</v>
      </c>
      <c r="I45" s="348">
        <f t="shared" si="5"/>
        <v>10627500</v>
      </c>
      <c r="J45" s="347">
        <v>10628</v>
      </c>
      <c r="K45" s="907"/>
      <c r="L45" s="1142">
        <f t="shared" si="6"/>
        <v>10628</v>
      </c>
      <c r="M45" s="1142">
        <f t="shared" si="6"/>
        <v>10628</v>
      </c>
    </row>
    <row r="46" spans="1:13" ht="31.5">
      <c r="A46" s="804" t="s">
        <v>492</v>
      </c>
      <c r="B46" s="557" t="s">
        <v>493</v>
      </c>
      <c r="C46" s="354">
        <v>25</v>
      </c>
      <c r="D46" s="352" t="s">
        <v>184</v>
      </c>
      <c r="E46" s="353">
        <v>500000</v>
      </c>
      <c r="F46" s="347">
        <f>C46*(E46*110%)</f>
        <v>13750000</v>
      </c>
      <c r="G46" s="348">
        <f t="shared" si="4"/>
        <v>9166666.666666666</v>
      </c>
      <c r="H46" s="348">
        <v>4583333.333333333</v>
      </c>
      <c r="I46" s="348">
        <f t="shared" si="5"/>
        <v>13750000</v>
      </c>
      <c r="J46" s="347">
        <f>13750+550</f>
        <v>14300</v>
      </c>
      <c r="K46" s="907"/>
      <c r="L46" s="1142">
        <f t="shared" si="6"/>
        <v>14300</v>
      </c>
      <c r="M46" s="1142">
        <f t="shared" si="6"/>
        <v>14300</v>
      </c>
    </row>
    <row r="47" spans="1:13" ht="31.5">
      <c r="A47" s="804" t="s">
        <v>494</v>
      </c>
      <c r="B47" s="557" t="s">
        <v>495</v>
      </c>
      <c r="C47" s="354">
        <v>36</v>
      </c>
      <c r="D47" s="352" t="s">
        <v>184</v>
      </c>
      <c r="E47" s="353">
        <v>206100</v>
      </c>
      <c r="F47" s="347">
        <f>C47*(E47*120%)</f>
        <v>8903520</v>
      </c>
      <c r="G47" s="348">
        <f t="shared" si="4"/>
        <v>5935680</v>
      </c>
      <c r="H47" s="348">
        <v>2967840</v>
      </c>
      <c r="I47" s="348">
        <f t="shared" si="5"/>
        <v>8903520</v>
      </c>
      <c r="J47" s="347">
        <v>8904</v>
      </c>
      <c r="K47" s="907"/>
      <c r="L47" s="1142">
        <f t="shared" si="6"/>
        <v>8904</v>
      </c>
      <c r="M47" s="1142">
        <f t="shared" si="6"/>
        <v>8904</v>
      </c>
    </row>
    <row r="48" spans="1:13" ht="15.75">
      <c r="A48" s="806" t="s">
        <v>496</v>
      </c>
      <c r="B48" s="356" t="s">
        <v>510</v>
      </c>
      <c r="C48" s="357"/>
      <c r="D48" s="352"/>
      <c r="E48" s="353"/>
      <c r="F48" s="358"/>
      <c r="G48" s="359">
        <f t="shared" si="4"/>
        <v>0</v>
      </c>
      <c r="H48" s="359">
        <v>0</v>
      </c>
      <c r="I48" s="359"/>
      <c r="J48" s="358"/>
      <c r="K48" s="907"/>
      <c r="L48" s="1142">
        <f t="shared" si="6"/>
        <v>0</v>
      </c>
      <c r="M48" s="1142">
        <f t="shared" si="6"/>
        <v>0</v>
      </c>
    </row>
    <row r="49" spans="1:13" ht="15.75">
      <c r="A49" s="803" t="s">
        <v>511</v>
      </c>
      <c r="B49" s="349" t="s">
        <v>93</v>
      </c>
      <c r="C49" s="354">
        <v>58</v>
      </c>
      <c r="D49" s="352" t="s">
        <v>184</v>
      </c>
      <c r="E49" s="353">
        <v>494100</v>
      </c>
      <c r="F49" s="347">
        <f>C49*E49</f>
        <v>28657800</v>
      </c>
      <c r="G49" s="348">
        <f t="shared" si="4"/>
        <v>19105200</v>
      </c>
      <c r="H49" s="348">
        <v>9552600</v>
      </c>
      <c r="I49" s="348">
        <f>H49+G49</f>
        <v>28657800</v>
      </c>
      <c r="J49" s="347">
        <v>28658</v>
      </c>
      <c r="K49" s="907"/>
      <c r="L49" s="1142">
        <f t="shared" si="6"/>
        <v>28658</v>
      </c>
      <c r="M49" s="1142">
        <f t="shared" si="6"/>
        <v>28658</v>
      </c>
    </row>
    <row r="50" spans="1:13" ht="31.5">
      <c r="A50" s="804" t="s">
        <v>512</v>
      </c>
      <c r="B50" s="557" t="s">
        <v>513</v>
      </c>
      <c r="C50" s="354">
        <v>40</v>
      </c>
      <c r="D50" s="352" t="s">
        <v>514</v>
      </c>
      <c r="E50" s="353">
        <v>468350</v>
      </c>
      <c r="F50" s="347">
        <f>C50*(E50*110%)</f>
        <v>20607400.000000004</v>
      </c>
      <c r="G50" s="348">
        <f t="shared" si="4"/>
        <v>13738266.66666667</v>
      </c>
      <c r="H50" s="348">
        <v>6869133.333333335</v>
      </c>
      <c r="I50" s="348">
        <f>H50+G50</f>
        <v>20607400.000000004</v>
      </c>
      <c r="J50" s="347">
        <v>20607</v>
      </c>
      <c r="K50" s="907"/>
      <c r="L50" s="1142">
        <f t="shared" si="6"/>
        <v>20607</v>
      </c>
      <c r="M50" s="1142">
        <f t="shared" si="6"/>
        <v>20607</v>
      </c>
    </row>
    <row r="51" spans="1:13" ht="15.75">
      <c r="A51" s="806" t="s">
        <v>479</v>
      </c>
      <c r="B51" s="356" t="s">
        <v>515</v>
      </c>
      <c r="C51" s="354"/>
      <c r="D51" s="352"/>
      <c r="E51" s="353"/>
      <c r="F51" s="358">
        <f>SUM(F42:F50)</f>
        <v>146103610</v>
      </c>
      <c r="G51" s="359">
        <f t="shared" si="4"/>
        <v>97402406.66666667</v>
      </c>
      <c r="H51" s="359">
        <v>48701203.333333336</v>
      </c>
      <c r="I51" s="359">
        <f>H51+G51</f>
        <v>146103610</v>
      </c>
      <c r="J51" s="358">
        <f>SUM(J42:J50)</f>
        <v>146654</v>
      </c>
      <c r="K51" s="910">
        <f>SUM(K42:K50)</f>
        <v>0</v>
      </c>
      <c r="L51" s="1147">
        <f>SUM(L42:L50)</f>
        <v>146654</v>
      </c>
      <c r="M51" s="1147">
        <f>SUM(M42:M50)</f>
        <v>146654</v>
      </c>
    </row>
    <row r="52" spans="1:13" ht="30.75" customHeight="1">
      <c r="A52" s="808" t="s">
        <v>516</v>
      </c>
      <c r="B52" s="559" t="s">
        <v>517</v>
      </c>
      <c r="C52" s="354"/>
      <c r="D52" s="352"/>
      <c r="E52" s="353"/>
      <c r="F52" s="358">
        <f>F38+F51</f>
        <v>185810882</v>
      </c>
      <c r="G52" s="359">
        <f t="shared" si="4"/>
        <v>123873921.33333333</v>
      </c>
      <c r="H52" s="359">
        <v>61936960.666666664</v>
      </c>
      <c r="I52" s="359">
        <f>H52+G52</f>
        <v>185810882</v>
      </c>
      <c r="J52" s="358">
        <f>J38+J51</f>
        <v>186361</v>
      </c>
      <c r="K52" s="910">
        <f>K38+K51</f>
        <v>0</v>
      </c>
      <c r="L52" s="1147">
        <f>L38+L51</f>
        <v>186361</v>
      </c>
      <c r="M52" s="1147">
        <f>M38+M51</f>
        <v>186361</v>
      </c>
    </row>
    <row r="53" spans="1:13" ht="15.75" customHeight="1">
      <c r="A53" s="806" t="s">
        <v>518</v>
      </c>
      <c r="B53" s="562" t="s">
        <v>519</v>
      </c>
      <c r="C53" s="354"/>
      <c r="D53" s="352"/>
      <c r="E53" s="353"/>
      <c r="F53" s="358"/>
      <c r="G53" s="359"/>
      <c r="H53" s="359"/>
      <c r="I53" s="359"/>
      <c r="J53" s="358"/>
      <c r="K53" s="907"/>
      <c r="L53" s="1143"/>
      <c r="M53" s="1143"/>
    </row>
    <row r="54" spans="1:13" ht="15.75" customHeight="1">
      <c r="A54" s="804" t="s">
        <v>520</v>
      </c>
      <c r="B54" s="557" t="s">
        <v>521</v>
      </c>
      <c r="C54" s="354"/>
      <c r="D54" s="352"/>
      <c r="E54" s="353"/>
      <c r="F54" s="347">
        <v>76000000</v>
      </c>
      <c r="G54" s="348">
        <f>F54/12*8</f>
        <v>50666666.666666664</v>
      </c>
      <c r="H54" s="348">
        <v>25333333.333333332</v>
      </c>
      <c r="I54" s="348">
        <f>H54+G54</f>
        <v>76000000</v>
      </c>
      <c r="J54" s="347">
        <v>76000</v>
      </c>
      <c r="K54" s="907"/>
      <c r="L54" s="1142">
        <f>J54+K54</f>
        <v>76000</v>
      </c>
      <c r="M54" s="1142">
        <f>K54+L54</f>
        <v>76000</v>
      </c>
    </row>
    <row r="55" spans="1:13" ht="15.75">
      <c r="A55" s="804" t="s">
        <v>522</v>
      </c>
      <c r="B55" s="340" t="s">
        <v>523</v>
      </c>
      <c r="C55" s="354">
        <v>23767</v>
      </c>
      <c r="D55" s="352" t="s">
        <v>184</v>
      </c>
      <c r="E55" s="353">
        <v>1140</v>
      </c>
      <c r="F55" s="347">
        <f>C55*E55</f>
        <v>27094380</v>
      </c>
      <c r="G55" s="348">
        <f>F55/12*8</f>
        <v>18062920</v>
      </c>
      <c r="H55" s="348">
        <v>9031460</v>
      </c>
      <c r="I55" s="348">
        <f>H55+G55</f>
        <v>27094380</v>
      </c>
      <c r="J55" s="347">
        <v>27094</v>
      </c>
      <c r="K55" s="907"/>
      <c r="L55" s="1142">
        <f>J55+K55</f>
        <v>27094</v>
      </c>
      <c r="M55" s="1142">
        <f>K55+L55</f>
        <v>27094</v>
      </c>
    </row>
    <row r="56" spans="1:13" ht="30" customHeight="1">
      <c r="A56" s="808" t="s">
        <v>524</v>
      </c>
      <c r="B56" s="356" t="s">
        <v>475</v>
      </c>
      <c r="C56" s="357"/>
      <c r="D56" s="563"/>
      <c r="E56" s="564"/>
      <c r="F56" s="565">
        <f>SUM(F54:F55)</f>
        <v>103094380</v>
      </c>
      <c r="G56" s="566">
        <f>F56/12*8</f>
        <v>68729586.66666667</v>
      </c>
      <c r="H56" s="359">
        <v>34364793.333333336</v>
      </c>
      <c r="I56" s="359">
        <f>H56+G56</f>
        <v>103094380</v>
      </c>
      <c r="J56" s="358">
        <f>SUM(J54:J55)</f>
        <v>103094</v>
      </c>
      <c r="K56" s="910">
        <f>SUM(K54:K55)</f>
        <v>0</v>
      </c>
      <c r="L56" s="1147">
        <f>SUM(L54:L55)</f>
        <v>103094</v>
      </c>
      <c r="M56" s="1147">
        <f>SUM(M54:M55)</f>
        <v>103094</v>
      </c>
    </row>
    <row r="57" spans="1:13" ht="30" customHeight="1">
      <c r="A57" s="808" t="s">
        <v>99</v>
      </c>
      <c r="B57" s="356" t="s">
        <v>119</v>
      </c>
      <c r="C57" s="350"/>
      <c r="D57" s="352"/>
      <c r="E57" s="567"/>
      <c r="F57" s="565"/>
      <c r="G57" s="566"/>
      <c r="H57" s="359"/>
      <c r="I57" s="359"/>
      <c r="J57" s="358">
        <f>76866+2511</f>
        <v>79377</v>
      </c>
      <c r="K57" s="907">
        <v>614</v>
      </c>
      <c r="L57" s="1149">
        <f>J57+K57</f>
        <v>79991</v>
      </c>
      <c r="M57" s="1149">
        <v>79991</v>
      </c>
    </row>
    <row r="58" spans="1:13" s="568" customFormat="1" ht="27.75" customHeight="1" thickBot="1">
      <c r="A58" s="809"/>
      <c r="B58" s="810" t="s">
        <v>525</v>
      </c>
      <c r="C58" s="811"/>
      <c r="D58" s="812"/>
      <c r="E58" s="813"/>
      <c r="F58" s="814">
        <f>F21+F36+F37+F52+F56+F57</f>
        <v>889518863</v>
      </c>
      <c r="G58" s="815">
        <f>F58/12*8</f>
        <v>593012575.3333334</v>
      </c>
      <c r="H58" s="815">
        <v>285126487.6666667</v>
      </c>
      <c r="I58" s="815">
        <f>H58+G58</f>
        <v>878139063</v>
      </c>
      <c r="J58" s="814">
        <f>J21+J36+J37+J52+J56+J57</f>
        <v>914137</v>
      </c>
      <c r="K58" s="913">
        <f>K21+K36+K37+K52+K56+K57</f>
        <v>16336</v>
      </c>
      <c r="L58" s="1150">
        <f>L21+L36+L37+L52+L56+L57</f>
        <v>930473</v>
      </c>
      <c r="M58" s="1150">
        <f>M21+M36+M37+M52+M56+M57</f>
        <v>938727</v>
      </c>
    </row>
    <row r="59" spans="1:13" s="575" customFormat="1" ht="16.5" thickTop="1">
      <c r="A59" s="569"/>
      <c r="B59" s="570"/>
      <c r="C59" s="569"/>
      <c r="D59" s="571"/>
      <c r="E59" s="572"/>
      <c r="F59" s="573"/>
      <c r="G59" s="574"/>
      <c r="K59" s="569"/>
      <c r="L59" s="569"/>
      <c r="M59" s="569"/>
    </row>
    <row r="60" spans="1:3" ht="15.75">
      <c r="A60" s="1411" t="s">
        <v>344</v>
      </c>
      <c r="B60" s="576"/>
      <c r="C60" s="577"/>
    </row>
    <row r="61" spans="1:3" ht="15.75">
      <c r="A61" s="8" t="s">
        <v>345</v>
      </c>
      <c r="B61" s="581"/>
      <c r="C61" s="582"/>
    </row>
    <row r="62" spans="1:3" ht="15.75">
      <c r="A62" s="8" t="s">
        <v>346</v>
      </c>
      <c r="B62" s="583"/>
      <c r="C62" s="584"/>
    </row>
    <row r="63" ht="15.75">
      <c r="A63" s="8" t="s">
        <v>347</v>
      </c>
    </row>
    <row r="64" ht="15.75">
      <c r="A64" s="8" t="s">
        <v>348</v>
      </c>
    </row>
    <row r="71" ht="15.75">
      <c r="E71" s="816"/>
    </row>
    <row r="72" ht="15.75">
      <c r="E72" s="816"/>
    </row>
    <row r="73" ht="15.75">
      <c r="E73" s="816"/>
    </row>
    <row r="74" ht="15.75">
      <c r="E74" s="816"/>
    </row>
    <row r="75" ht="15.75">
      <c r="E75" s="816"/>
    </row>
  </sheetData>
  <mergeCells count="13">
    <mergeCell ref="L7:L8"/>
    <mergeCell ref="I7:I8"/>
    <mergeCell ref="J7:J8"/>
    <mergeCell ref="A3:M3"/>
    <mergeCell ref="A4:M4"/>
    <mergeCell ref="M7:M8"/>
    <mergeCell ref="C8:D8"/>
    <mergeCell ref="A7:A8"/>
    <mergeCell ref="B7:B8"/>
    <mergeCell ref="C7:F7"/>
    <mergeCell ref="G7:G8"/>
    <mergeCell ref="H7:H8"/>
    <mergeCell ref="K7:K8"/>
  </mergeCells>
  <printOptions horizontalCentered="1"/>
  <pageMargins left="0.24" right="0.24" top="0.4724409448818898" bottom="0.35433070866141736" header="0.1968503937007874" footer="0.2362204724409449"/>
  <pageSetup horizontalDpi="600" verticalDpi="600" orientation="portrait" paperSize="9" scale="66" r:id="rId1"/>
  <headerFooter alignWithMargins="0">
    <oddHeader>&amp;L 15. melléklet a 2/2014.(II.27.) önkormányzati rendelethez
"17. melléklet az 1/2013.(II.01.) önkormányzati rendelethez"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212"/>
  <sheetViews>
    <sheetView workbookViewId="0" topLeftCell="A130">
      <selection activeCell="A129" sqref="A129"/>
    </sheetView>
  </sheetViews>
  <sheetFormatPr defaultColWidth="9.00390625" defaultRowHeight="12.75"/>
  <cols>
    <col min="1" max="1" width="47.625" style="1595" customWidth="1"/>
    <col min="2" max="2" width="77.875" style="1595" customWidth="1"/>
    <col min="3" max="16384" width="9.125" style="365" customWidth="1"/>
  </cols>
  <sheetData>
    <row r="1" spans="1:2" ht="33.75" customHeight="1">
      <c r="A1" s="1559" t="s">
        <v>349</v>
      </c>
      <c r="B1" s="1559"/>
    </row>
    <row r="2" spans="1:2" ht="19.5" customHeight="1" thickBot="1">
      <c r="A2" s="1560"/>
      <c r="B2" s="1560"/>
    </row>
    <row r="3" spans="1:2" ht="15" customHeight="1" thickTop="1">
      <c r="A3" s="1561" t="s">
        <v>350</v>
      </c>
      <c r="B3" s="1562" t="s">
        <v>776</v>
      </c>
    </row>
    <row r="4" spans="1:2" ht="15" customHeight="1">
      <c r="A4" s="1563" t="s">
        <v>351</v>
      </c>
      <c r="B4" s="1564">
        <v>40148</v>
      </c>
    </row>
    <row r="5" spans="1:2" ht="15" customHeight="1">
      <c r="A5" s="1563" t="s">
        <v>352</v>
      </c>
      <c r="B5" s="1565" t="s">
        <v>353</v>
      </c>
    </row>
    <row r="6" spans="1:2" ht="15" customHeight="1">
      <c r="A6" s="1563" t="s">
        <v>354</v>
      </c>
      <c r="B6" s="1566">
        <f>SUM(B7,B9)</f>
        <v>645453</v>
      </c>
    </row>
    <row r="7" spans="1:2" ht="15" customHeight="1">
      <c r="A7" s="1563" t="s">
        <v>355</v>
      </c>
      <c r="B7" s="1565">
        <f>B10-B9</f>
        <v>237363</v>
      </c>
    </row>
    <row r="8" spans="1:2" ht="15" customHeight="1">
      <c r="A8" s="1563" t="s">
        <v>356</v>
      </c>
      <c r="B8" s="1565">
        <v>117384</v>
      </c>
    </row>
    <row r="9" spans="1:2" ht="15" customHeight="1">
      <c r="A9" s="1563" t="s">
        <v>357</v>
      </c>
      <c r="B9" s="1565">
        <v>408090</v>
      </c>
    </row>
    <row r="10" spans="1:2" ht="15" customHeight="1">
      <c r="A10" s="1563" t="s">
        <v>358</v>
      </c>
      <c r="B10" s="1566">
        <v>645453</v>
      </c>
    </row>
    <row r="11" spans="1:2" ht="15" customHeight="1">
      <c r="A11" s="1567"/>
      <c r="B11" s="1568"/>
    </row>
    <row r="12" spans="1:2" ht="47.25">
      <c r="A12" s="1563" t="s">
        <v>350</v>
      </c>
      <c r="B12" s="1569" t="s">
        <v>778</v>
      </c>
    </row>
    <row r="13" spans="1:2" ht="15" customHeight="1">
      <c r="A13" s="1563" t="s">
        <v>351</v>
      </c>
      <c r="B13" s="1564">
        <v>40898</v>
      </c>
    </row>
    <row r="14" spans="1:2" ht="15" customHeight="1">
      <c r="A14" s="1563" t="s">
        <v>352</v>
      </c>
      <c r="B14" s="1565" t="s">
        <v>353</v>
      </c>
    </row>
    <row r="15" spans="1:2" ht="15" customHeight="1">
      <c r="A15" s="1563" t="s">
        <v>354</v>
      </c>
      <c r="B15" s="1566">
        <f>SUM(B16,B18)</f>
        <v>419980</v>
      </c>
    </row>
    <row r="16" spans="1:2" ht="15" customHeight="1">
      <c r="A16" s="1563" t="s">
        <v>355</v>
      </c>
      <c r="B16" s="1565">
        <f>B19-B18-B17+B17</f>
        <v>102845</v>
      </c>
    </row>
    <row r="17" spans="1:2" ht="15" customHeight="1">
      <c r="A17" s="1563" t="s">
        <v>356</v>
      </c>
      <c r="B17" s="1565">
        <v>101566</v>
      </c>
    </row>
    <row r="18" spans="1:2" ht="15" customHeight="1">
      <c r="A18" s="1563" t="s">
        <v>359</v>
      </c>
      <c r="B18" s="1565">
        <v>317135</v>
      </c>
    </row>
    <row r="19" spans="1:2" ht="15" customHeight="1">
      <c r="A19" s="1563" t="s">
        <v>358</v>
      </c>
      <c r="B19" s="1566">
        <v>419980</v>
      </c>
    </row>
    <row r="20" spans="1:2" ht="15" customHeight="1">
      <c r="A20" s="1567"/>
      <c r="B20" s="1568"/>
    </row>
    <row r="21" spans="1:2" ht="31.5">
      <c r="A21" s="1563" t="s">
        <v>350</v>
      </c>
      <c r="B21" s="1569" t="s">
        <v>834</v>
      </c>
    </row>
    <row r="22" spans="1:2" ht="15" customHeight="1">
      <c r="A22" s="1563" t="s">
        <v>360</v>
      </c>
      <c r="B22" s="1564" t="s">
        <v>361</v>
      </c>
    </row>
    <row r="23" spans="1:2" ht="15" customHeight="1">
      <c r="A23" s="1563" t="s">
        <v>352</v>
      </c>
      <c r="B23" s="1565" t="s">
        <v>362</v>
      </c>
    </row>
    <row r="24" spans="1:2" ht="15" customHeight="1">
      <c r="A24" s="1563" t="s">
        <v>354</v>
      </c>
      <c r="B24" s="1570">
        <v>185000</v>
      </c>
    </row>
    <row r="25" spans="1:2" ht="15" customHeight="1">
      <c r="A25" s="1563" t="s">
        <v>355</v>
      </c>
      <c r="B25" s="1571">
        <v>0</v>
      </c>
    </row>
    <row r="26" spans="1:2" ht="15" customHeight="1">
      <c r="A26" s="1563" t="s">
        <v>363</v>
      </c>
      <c r="B26" s="1565">
        <v>0</v>
      </c>
    </row>
    <row r="27" spans="1:2" ht="15" customHeight="1">
      <c r="A27" s="1563" t="s">
        <v>359</v>
      </c>
      <c r="B27" s="1565">
        <v>185000</v>
      </c>
    </row>
    <row r="28" spans="1:2" ht="15" customHeight="1">
      <c r="A28" s="1563" t="s">
        <v>358</v>
      </c>
      <c r="B28" s="1566">
        <v>185000</v>
      </c>
    </row>
    <row r="29" spans="1:2" ht="15" customHeight="1">
      <c r="A29" s="1567"/>
      <c r="B29" s="1568"/>
    </row>
    <row r="30" spans="1:2" ht="31.5">
      <c r="A30" s="1572" t="s">
        <v>350</v>
      </c>
      <c r="B30" s="1569" t="s">
        <v>835</v>
      </c>
    </row>
    <row r="31" spans="1:2" ht="15" customHeight="1">
      <c r="A31" s="1563" t="s">
        <v>351</v>
      </c>
      <c r="B31" s="1564">
        <v>41067</v>
      </c>
    </row>
    <row r="32" spans="1:2" ht="15" customHeight="1">
      <c r="A32" s="1563" t="s">
        <v>352</v>
      </c>
      <c r="B32" s="1573">
        <v>2014</v>
      </c>
    </row>
    <row r="33" spans="1:2" ht="15" customHeight="1">
      <c r="A33" s="1563" t="s">
        <v>354</v>
      </c>
      <c r="B33" s="1566">
        <f>SUM(B34,B36)</f>
        <v>1150106</v>
      </c>
    </row>
    <row r="34" spans="1:2" ht="15" customHeight="1">
      <c r="A34" s="1563" t="s">
        <v>355</v>
      </c>
      <c r="B34" s="1565">
        <f>B37-B36</f>
        <v>471173</v>
      </c>
    </row>
    <row r="35" spans="1:2" ht="15" customHeight="1">
      <c r="A35" s="1563" t="s">
        <v>356</v>
      </c>
      <c r="B35" s="1565">
        <v>121496</v>
      </c>
    </row>
    <row r="36" spans="1:2" ht="15" customHeight="1">
      <c r="A36" s="1563" t="s">
        <v>364</v>
      </c>
      <c r="B36" s="1565">
        <v>678933</v>
      </c>
    </row>
    <row r="37" spans="1:2" ht="15" customHeight="1">
      <c r="A37" s="1563" t="s">
        <v>358</v>
      </c>
      <c r="B37" s="1566">
        <v>1150106</v>
      </c>
    </row>
    <row r="38" spans="1:2" ht="15" customHeight="1">
      <c r="A38" s="1567"/>
      <c r="B38" s="1568"/>
    </row>
    <row r="39" spans="1:2" ht="31.5" customHeight="1">
      <c r="A39" s="1572" t="s">
        <v>350</v>
      </c>
      <c r="B39" s="1569" t="s">
        <v>780</v>
      </c>
    </row>
    <row r="40" spans="1:2" ht="15" customHeight="1">
      <c r="A40" s="1563" t="s">
        <v>351</v>
      </c>
      <c r="B40" s="1564">
        <v>41152</v>
      </c>
    </row>
    <row r="41" spans="1:2" ht="15" customHeight="1">
      <c r="A41" s="1563" t="s">
        <v>352</v>
      </c>
      <c r="B41" s="1573">
        <v>2013</v>
      </c>
    </row>
    <row r="42" spans="1:2" ht="15" customHeight="1">
      <c r="A42" s="1563" t="s">
        <v>354</v>
      </c>
      <c r="B42" s="1566">
        <f>SUM(B43:B45)</f>
        <v>12700</v>
      </c>
    </row>
    <row r="43" spans="1:2" ht="15" customHeight="1">
      <c r="A43" s="1563" t="s">
        <v>355</v>
      </c>
      <c r="B43" s="1565">
        <f>B46-B45</f>
        <v>1905</v>
      </c>
    </row>
    <row r="44" spans="1:2" ht="15" customHeight="1">
      <c r="A44" s="1563" t="s">
        <v>363</v>
      </c>
      <c r="B44" s="1565"/>
    </row>
    <row r="45" spans="1:2" ht="15" customHeight="1">
      <c r="A45" s="1563" t="s">
        <v>359</v>
      </c>
      <c r="B45" s="1565">
        <v>10795</v>
      </c>
    </row>
    <row r="46" spans="1:2" ht="15" customHeight="1">
      <c r="A46" s="1563" t="s">
        <v>358</v>
      </c>
      <c r="B46" s="1566">
        <v>12700</v>
      </c>
    </row>
    <row r="47" spans="1:2" ht="15" customHeight="1">
      <c r="A47" s="1567"/>
      <c r="B47" s="1568"/>
    </row>
    <row r="48" spans="1:2" ht="28.5" customHeight="1">
      <c r="A48" s="1574" t="s">
        <v>350</v>
      </c>
      <c r="B48" s="1575" t="s">
        <v>781</v>
      </c>
    </row>
    <row r="49" spans="1:2" ht="15" customHeight="1">
      <c r="A49" s="1563" t="s">
        <v>360</v>
      </c>
      <c r="B49" s="1564" t="s">
        <v>365</v>
      </c>
    </row>
    <row r="50" spans="1:2" ht="15" customHeight="1">
      <c r="A50" s="1563" t="s">
        <v>352</v>
      </c>
      <c r="B50" s="1573">
        <v>2013</v>
      </c>
    </row>
    <row r="51" spans="1:2" ht="15" customHeight="1">
      <c r="A51" s="1563" t="s">
        <v>354</v>
      </c>
      <c r="B51" s="1566">
        <v>25000</v>
      </c>
    </row>
    <row r="52" spans="1:2" ht="15" customHeight="1">
      <c r="A52" s="1563" t="s">
        <v>366</v>
      </c>
      <c r="B52" s="1565">
        <v>5000</v>
      </c>
    </row>
    <row r="53" spans="1:2" ht="15" customHeight="1">
      <c r="A53" s="1563" t="s">
        <v>363</v>
      </c>
      <c r="B53" s="1565"/>
    </row>
    <row r="54" spans="1:2" ht="15" customHeight="1">
      <c r="A54" s="1563" t="s">
        <v>359</v>
      </c>
      <c r="B54" s="1565">
        <v>20000</v>
      </c>
    </row>
    <row r="55" spans="1:2" ht="15" customHeight="1">
      <c r="A55" s="1563" t="s">
        <v>358</v>
      </c>
      <c r="B55" s="1566">
        <v>25000</v>
      </c>
    </row>
    <row r="56" spans="1:2" ht="15" customHeight="1">
      <c r="A56" s="1567"/>
      <c r="B56" s="1568"/>
    </row>
    <row r="57" spans="1:2" ht="30.75" customHeight="1">
      <c r="A57" s="1572" t="s">
        <v>350</v>
      </c>
      <c r="B57" s="1569" t="s">
        <v>367</v>
      </c>
    </row>
    <row r="58" spans="1:2" ht="15" customHeight="1">
      <c r="A58" s="1563" t="s">
        <v>360</v>
      </c>
      <c r="B58" s="1565" t="s">
        <v>368</v>
      </c>
    </row>
    <row r="59" spans="1:2" ht="15" customHeight="1">
      <c r="A59" s="1563" t="s">
        <v>352</v>
      </c>
      <c r="B59" s="1573">
        <v>2013</v>
      </c>
    </row>
    <row r="60" spans="1:2" ht="15" customHeight="1">
      <c r="A60" s="1563" t="s">
        <v>354</v>
      </c>
      <c r="B60" s="1566">
        <f>SUM(B61:B63)</f>
        <v>75674</v>
      </c>
    </row>
    <row r="61" spans="1:2" ht="15" customHeight="1">
      <c r="A61" s="1563" t="s">
        <v>355</v>
      </c>
      <c r="B61" s="1565">
        <f>B64-B63</f>
        <v>10241</v>
      </c>
    </row>
    <row r="62" spans="1:2" ht="15" customHeight="1">
      <c r="A62" s="1563" t="s">
        <v>363</v>
      </c>
      <c r="B62" s="1565"/>
    </row>
    <row r="63" spans="1:2" ht="15" customHeight="1">
      <c r="A63" s="1563" t="s">
        <v>359</v>
      </c>
      <c r="B63" s="1565">
        <v>65433</v>
      </c>
    </row>
    <row r="64" spans="1:2" ht="15" customHeight="1">
      <c r="A64" s="1563" t="s">
        <v>358</v>
      </c>
      <c r="B64" s="1566">
        <v>75674</v>
      </c>
    </row>
    <row r="65" spans="1:2" ht="15" customHeight="1" thickBot="1">
      <c r="A65" s="1576"/>
      <c r="B65" s="1577"/>
    </row>
    <row r="66" spans="1:2" ht="30.75" customHeight="1" thickTop="1">
      <c r="A66" s="1578" t="s">
        <v>350</v>
      </c>
      <c r="B66" s="1579" t="s">
        <v>369</v>
      </c>
    </row>
    <row r="67" spans="1:2" ht="15" customHeight="1">
      <c r="A67" s="1563" t="s">
        <v>360</v>
      </c>
      <c r="B67" s="1565" t="s">
        <v>370</v>
      </c>
    </row>
    <row r="68" spans="1:2" ht="15" customHeight="1">
      <c r="A68" s="1563" t="s">
        <v>352</v>
      </c>
      <c r="B68" s="1573">
        <v>2013</v>
      </c>
    </row>
    <row r="69" spans="1:2" ht="15" customHeight="1">
      <c r="A69" s="1563" t="s">
        <v>354</v>
      </c>
      <c r="B69" s="1566">
        <f>SUM(B70:B72)</f>
        <v>124135</v>
      </c>
    </row>
    <row r="70" spans="1:2" ht="15" customHeight="1">
      <c r="A70" s="1563" t="s">
        <v>355</v>
      </c>
      <c r="B70" s="1565">
        <f>B73-B72</f>
        <v>42845</v>
      </c>
    </row>
    <row r="71" spans="1:2" ht="15" customHeight="1">
      <c r="A71" s="1563" t="s">
        <v>363</v>
      </c>
      <c r="B71" s="1565"/>
    </row>
    <row r="72" spans="1:2" ht="15" customHeight="1">
      <c r="A72" s="1563" t="s">
        <v>359</v>
      </c>
      <c r="B72" s="1565">
        <v>81290</v>
      </c>
    </row>
    <row r="73" spans="1:2" ht="15" customHeight="1">
      <c r="A73" s="1563" t="s">
        <v>358</v>
      </c>
      <c r="B73" s="1566">
        <v>124135</v>
      </c>
    </row>
    <row r="74" spans="1:2" ht="15" customHeight="1">
      <c r="A74" s="1567"/>
      <c r="B74" s="1568"/>
    </row>
    <row r="75" spans="1:2" ht="46.5" customHeight="1">
      <c r="A75" s="1572" t="s">
        <v>350</v>
      </c>
      <c r="B75" s="1569" t="s">
        <v>371</v>
      </c>
    </row>
    <row r="76" spans="1:2" ht="15" customHeight="1">
      <c r="A76" s="1563" t="s">
        <v>372</v>
      </c>
      <c r="B76" s="1564">
        <v>40730</v>
      </c>
    </row>
    <row r="77" spans="1:2" ht="15" customHeight="1">
      <c r="A77" s="1563" t="s">
        <v>352</v>
      </c>
      <c r="B77" s="1573">
        <v>2013</v>
      </c>
    </row>
    <row r="78" spans="1:2" ht="15" customHeight="1">
      <c r="A78" s="1563" t="s">
        <v>354</v>
      </c>
      <c r="B78" s="1566">
        <f>SUM(B79:B81)</f>
        <v>507550</v>
      </c>
    </row>
    <row r="79" spans="1:2" ht="15" customHeight="1">
      <c r="A79" s="1563" t="s">
        <v>355</v>
      </c>
      <c r="B79" s="1565">
        <f>B82-B81</f>
        <v>63030</v>
      </c>
    </row>
    <row r="80" spans="1:2" ht="15" customHeight="1">
      <c r="A80" s="1563" t="s">
        <v>363</v>
      </c>
      <c r="B80" s="1565"/>
    </row>
    <row r="81" spans="1:2" ht="15" customHeight="1">
      <c r="A81" s="1563" t="s">
        <v>359</v>
      </c>
      <c r="B81" s="1565">
        <v>444520</v>
      </c>
    </row>
    <row r="82" spans="1:2" ht="15" customHeight="1">
      <c r="A82" s="1563" t="s">
        <v>358</v>
      </c>
      <c r="B82" s="1566">
        <v>507550</v>
      </c>
    </row>
    <row r="83" spans="1:2" ht="15" customHeight="1">
      <c r="A83" s="1567"/>
      <c r="B83" s="1580"/>
    </row>
    <row r="84" spans="1:2" ht="30.75" customHeight="1">
      <c r="A84" s="1572" t="s">
        <v>350</v>
      </c>
      <c r="B84" s="1569" t="s">
        <v>839</v>
      </c>
    </row>
    <row r="85" spans="1:2" ht="15" customHeight="1">
      <c r="A85" s="1563" t="s">
        <v>360</v>
      </c>
      <c r="B85" s="1565" t="s">
        <v>373</v>
      </c>
    </row>
    <row r="86" spans="1:2" ht="15" customHeight="1">
      <c r="A86" s="1563" t="s">
        <v>352</v>
      </c>
      <c r="B86" s="1573">
        <v>2013</v>
      </c>
    </row>
    <row r="87" spans="1:2" ht="15" customHeight="1">
      <c r="A87" s="1563" t="s">
        <v>354</v>
      </c>
      <c r="B87" s="1566">
        <v>90625</v>
      </c>
    </row>
    <row r="88" spans="1:2" ht="15" customHeight="1">
      <c r="A88" s="1563" t="s">
        <v>355</v>
      </c>
      <c r="B88" s="1565">
        <v>0</v>
      </c>
    </row>
    <row r="89" spans="1:2" ht="15" customHeight="1">
      <c r="A89" s="1563" t="s">
        <v>363</v>
      </c>
      <c r="B89" s="1565"/>
    </row>
    <row r="90" spans="1:2" ht="15" customHeight="1">
      <c r="A90" s="1563" t="s">
        <v>359</v>
      </c>
      <c r="B90" s="1565">
        <v>90625</v>
      </c>
    </row>
    <row r="91" spans="1:2" ht="15" customHeight="1">
      <c r="A91" s="1563" t="s">
        <v>358</v>
      </c>
      <c r="B91" s="1566">
        <v>90625</v>
      </c>
    </row>
    <row r="92" spans="1:2" ht="15" customHeight="1">
      <c r="A92" s="1567"/>
      <c r="B92" s="1568"/>
    </row>
    <row r="93" spans="1:2" ht="31.5">
      <c r="A93" s="1572" t="s">
        <v>350</v>
      </c>
      <c r="B93" s="1569" t="s">
        <v>897</v>
      </c>
    </row>
    <row r="94" spans="1:2" ht="15" customHeight="1">
      <c r="A94" s="1563" t="s">
        <v>351</v>
      </c>
      <c r="B94" s="1564" t="s">
        <v>374</v>
      </c>
    </row>
    <row r="95" spans="1:2" ht="15" customHeight="1">
      <c r="A95" s="1563" t="s">
        <v>352</v>
      </c>
      <c r="B95" s="1573">
        <v>2013</v>
      </c>
    </row>
    <row r="96" spans="1:2" ht="15" customHeight="1">
      <c r="A96" s="1563" t="s">
        <v>354</v>
      </c>
      <c r="B96" s="1566">
        <v>49966</v>
      </c>
    </row>
    <row r="97" spans="1:2" ht="15" customHeight="1">
      <c r="A97" s="1563" t="s">
        <v>355</v>
      </c>
      <c r="B97" s="1565">
        <v>0</v>
      </c>
    </row>
    <row r="98" spans="1:2" ht="15" customHeight="1">
      <c r="A98" s="1563" t="s">
        <v>363</v>
      </c>
      <c r="B98" s="1565"/>
    </row>
    <row r="99" spans="1:2" ht="15" customHeight="1">
      <c r="A99" s="1563" t="s">
        <v>359</v>
      </c>
      <c r="B99" s="1565">
        <v>49966</v>
      </c>
    </row>
    <row r="100" spans="1:2" ht="15" customHeight="1">
      <c r="A100" s="1563" t="s">
        <v>358</v>
      </c>
      <c r="B100" s="1566">
        <v>49966</v>
      </c>
    </row>
    <row r="101" spans="1:2" ht="15" customHeight="1">
      <c r="A101" s="1567"/>
      <c r="B101" s="1568"/>
    </row>
    <row r="102" spans="1:2" ht="45.75" customHeight="1">
      <c r="A102" s="1572" t="s">
        <v>350</v>
      </c>
      <c r="B102" s="1569" t="s">
        <v>898</v>
      </c>
    </row>
    <row r="103" spans="1:2" ht="15" customHeight="1">
      <c r="A103" s="1563" t="s">
        <v>351</v>
      </c>
      <c r="B103" s="1564" t="s">
        <v>375</v>
      </c>
    </row>
    <row r="104" spans="1:2" ht="15" customHeight="1">
      <c r="A104" s="1563" t="s">
        <v>352</v>
      </c>
      <c r="B104" s="1581">
        <v>2013</v>
      </c>
    </row>
    <row r="105" spans="1:2" ht="15" customHeight="1">
      <c r="A105" s="1563" t="s">
        <v>354</v>
      </c>
      <c r="B105" s="1566">
        <v>15000</v>
      </c>
    </row>
    <row r="106" spans="1:2" ht="15" customHeight="1">
      <c r="A106" s="1563" t="s">
        <v>355</v>
      </c>
      <c r="B106" s="1565">
        <v>0</v>
      </c>
    </row>
    <row r="107" spans="1:2" ht="15" customHeight="1">
      <c r="A107" s="1563" t="s">
        <v>363</v>
      </c>
      <c r="B107" s="1565"/>
    </row>
    <row r="108" spans="1:2" ht="15" customHeight="1">
      <c r="A108" s="1563" t="s">
        <v>359</v>
      </c>
      <c r="B108" s="1565">
        <v>15000</v>
      </c>
    </row>
    <row r="109" spans="1:2" ht="15" customHeight="1">
      <c r="A109" s="1563" t="s">
        <v>358</v>
      </c>
      <c r="B109" s="1566">
        <v>15000</v>
      </c>
    </row>
    <row r="110" spans="1:2" ht="15" customHeight="1">
      <c r="A110" s="1567"/>
      <c r="B110" s="1568"/>
    </row>
    <row r="111" spans="1:2" ht="30" customHeight="1">
      <c r="A111" s="1572" t="s">
        <v>350</v>
      </c>
      <c r="B111" s="1582" t="s">
        <v>376</v>
      </c>
    </row>
    <row r="112" spans="1:2" ht="15" customHeight="1">
      <c r="A112" s="1563" t="s">
        <v>351</v>
      </c>
      <c r="B112" s="1568" t="s">
        <v>377</v>
      </c>
    </row>
    <row r="113" spans="1:2" ht="15" customHeight="1">
      <c r="A113" s="1563" t="s">
        <v>352</v>
      </c>
      <c r="B113" s="1583">
        <v>2013</v>
      </c>
    </row>
    <row r="114" spans="1:2" ht="15" customHeight="1">
      <c r="A114" s="1563" t="s">
        <v>354</v>
      </c>
      <c r="B114" s="1580">
        <v>44957</v>
      </c>
    </row>
    <row r="115" spans="1:2" ht="15" customHeight="1">
      <c r="A115" s="1563" t="s">
        <v>355</v>
      </c>
      <c r="B115" s="1568">
        <v>0</v>
      </c>
    </row>
    <row r="116" spans="1:2" ht="15" customHeight="1">
      <c r="A116" s="1563" t="s">
        <v>363</v>
      </c>
      <c r="B116" s="1568"/>
    </row>
    <row r="117" spans="1:2" ht="15" customHeight="1">
      <c r="A117" s="1563" t="s">
        <v>359</v>
      </c>
      <c r="B117" s="1568">
        <v>44957</v>
      </c>
    </row>
    <row r="118" spans="1:2" ht="15" customHeight="1">
      <c r="A118" s="1563" t="s">
        <v>358</v>
      </c>
      <c r="B118" s="1580">
        <v>44957</v>
      </c>
    </row>
    <row r="119" spans="1:2" ht="15" customHeight="1">
      <c r="A119" s="1567"/>
      <c r="B119" s="1568"/>
    </row>
    <row r="120" spans="1:2" ht="15" customHeight="1">
      <c r="A120" s="1572" t="s">
        <v>350</v>
      </c>
      <c r="B120" s="1582" t="s">
        <v>901</v>
      </c>
    </row>
    <row r="121" spans="1:2" ht="15" customHeight="1">
      <c r="A121" s="1563" t="s">
        <v>351</v>
      </c>
      <c r="B121" s="1568" t="s">
        <v>375</v>
      </c>
    </row>
    <row r="122" spans="1:2" ht="15" customHeight="1">
      <c r="A122" s="1563" t="s">
        <v>352</v>
      </c>
      <c r="B122" s="1584">
        <v>2013</v>
      </c>
    </row>
    <row r="123" spans="1:2" ht="15" customHeight="1">
      <c r="A123" s="1563" t="s">
        <v>354</v>
      </c>
      <c r="B123" s="1580">
        <v>52290</v>
      </c>
    </row>
    <row r="124" spans="1:2" ht="15" customHeight="1">
      <c r="A124" s="1563" t="s">
        <v>355</v>
      </c>
      <c r="B124" s="1568">
        <v>0</v>
      </c>
    </row>
    <row r="125" spans="1:2" ht="15" customHeight="1">
      <c r="A125" s="1563" t="s">
        <v>363</v>
      </c>
      <c r="B125" s="1568"/>
    </row>
    <row r="126" spans="1:2" ht="15" customHeight="1">
      <c r="A126" s="1563" t="s">
        <v>359</v>
      </c>
      <c r="B126" s="1568">
        <v>52290</v>
      </c>
    </row>
    <row r="127" spans="1:2" ht="15" customHeight="1">
      <c r="A127" s="1563" t="s">
        <v>358</v>
      </c>
      <c r="B127" s="1580">
        <v>52290</v>
      </c>
    </row>
    <row r="128" spans="1:2" ht="15" customHeight="1" thickBot="1">
      <c r="A128" s="1576"/>
      <c r="B128" s="1577"/>
    </row>
    <row r="129" spans="1:2" ht="32.25" thickTop="1">
      <c r="A129" s="1578" t="s">
        <v>350</v>
      </c>
      <c r="B129" s="1585" t="s">
        <v>378</v>
      </c>
    </row>
    <row r="130" spans="1:2" ht="15" customHeight="1">
      <c r="A130" s="1563" t="s">
        <v>351</v>
      </c>
      <c r="B130" s="1586">
        <v>41191</v>
      </c>
    </row>
    <row r="131" spans="1:2" ht="15" customHeight="1">
      <c r="A131" s="1563" t="s">
        <v>352</v>
      </c>
      <c r="B131" s="1584">
        <v>2014</v>
      </c>
    </row>
    <row r="132" spans="1:2" ht="15" customHeight="1">
      <c r="A132" s="1563" t="s">
        <v>354</v>
      </c>
      <c r="B132" s="1580">
        <v>21760</v>
      </c>
    </row>
    <row r="133" spans="1:2" ht="15" customHeight="1">
      <c r="A133" s="1563" t="s">
        <v>355</v>
      </c>
      <c r="B133" s="1568">
        <v>0</v>
      </c>
    </row>
    <row r="134" spans="1:2" ht="15" customHeight="1">
      <c r="A134" s="1563" t="s">
        <v>363</v>
      </c>
      <c r="B134" s="1568"/>
    </row>
    <row r="135" spans="1:2" ht="15" customHeight="1">
      <c r="A135" s="1563" t="s">
        <v>359</v>
      </c>
      <c r="B135" s="1568">
        <v>21760</v>
      </c>
    </row>
    <row r="136" spans="1:2" ht="15" customHeight="1">
      <c r="A136" s="1563" t="s">
        <v>358</v>
      </c>
      <c r="B136" s="1580">
        <v>21760</v>
      </c>
    </row>
    <row r="137" spans="1:2" ht="15" customHeight="1">
      <c r="A137" s="1567"/>
      <c r="B137" s="1568"/>
    </row>
    <row r="138" spans="1:2" ht="15" customHeight="1">
      <c r="A138" s="1572" t="s">
        <v>350</v>
      </c>
      <c r="B138" s="1582" t="s">
        <v>379</v>
      </c>
    </row>
    <row r="139" spans="1:2" ht="15" customHeight="1">
      <c r="A139" s="1563" t="s">
        <v>351</v>
      </c>
      <c r="B139" s="1568" t="s">
        <v>380</v>
      </c>
    </row>
    <row r="140" spans="1:2" ht="15" customHeight="1">
      <c r="A140" s="1563" t="s">
        <v>352</v>
      </c>
      <c r="B140" s="1583">
        <v>2014</v>
      </c>
    </row>
    <row r="141" spans="1:2" ht="15" customHeight="1">
      <c r="A141" s="1563" t="s">
        <v>354</v>
      </c>
      <c r="B141" s="1580">
        <v>1874</v>
      </c>
    </row>
    <row r="142" spans="1:2" ht="15" customHeight="1">
      <c r="A142" s="1563" t="s">
        <v>355</v>
      </c>
      <c r="B142" s="1568">
        <v>0</v>
      </c>
    </row>
    <row r="143" spans="1:2" ht="15" customHeight="1">
      <c r="A143" s="1563" t="s">
        <v>363</v>
      </c>
      <c r="B143" s="1568"/>
    </row>
    <row r="144" spans="1:2" ht="15" customHeight="1">
      <c r="A144" s="1563" t="s">
        <v>359</v>
      </c>
      <c r="B144" s="1568">
        <v>1874</v>
      </c>
    </row>
    <row r="145" spans="1:2" ht="15" customHeight="1" thickBot="1">
      <c r="A145" s="1587" t="s">
        <v>358</v>
      </c>
      <c r="B145" s="1588">
        <v>1874</v>
      </c>
    </row>
    <row r="146" spans="1:2" s="1589" customFormat="1" ht="16.5" thickTop="1">
      <c r="A146" s="1560"/>
      <c r="B146" s="1560"/>
    </row>
    <row r="147" spans="1:2" s="1589" customFormat="1" ht="15.75">
      <c r="A147" s="1590" t="s">
        <v>381</v>
      </c>
      <c r="B147" s="1590"/>
    </row>
    <row r="148" spans="1:2" s="1589" customFormat="1" ht="16.5" thickBot="1">
      <c r="A148" s="1560"/>
      <c r="B148" s="1560"/>
    </row>
    <row r="149" spans="1:2" s="1589" customFormat="1" ht="16.5" thickTop="1">
      <c r="A149" s="1561" t="s">
        <v>382</v>
      </c>
      <c r="B149" s="1591" t="s">
        <v>383</v>
      </c>
    </row>
    <row r="150" spans="1:2" s="1589" customFormat="1" ht="15.75">
      <c r="A150" s="1563" t="s">
        <v>384</v>
      </c>
      <c r="B150" s="1592" t="s">
        <v>385</v>
      </c>
    </row>
    <row r="151" spans="1:2" s="1589" customFormat="1" ht="15.75">
      <c r="A151" s="1563" t="s">
        <v>386</v>
      </c>
      <c r="B151" s="1565">
        <f>15000+8824+7552</f>
        <v>31376</v>
      </c>
    </row>
    <row r="152" spans="1:2" s="1589" customFormat="1" ht="15.75">
      <c r="A152" s="1567"/>
      <c r="B152" s="1593"/>
    </row>
    <row r="153" spans="1:2" s="1589" customFormat="1" ht="15.75">
      <c r="A153" s="1563" t="s">
        <v>382</v>
      </c>
      <c r="B153" s="1592" t="s">
        <v>306</v>
      </c>
    </row>
    <row r="154" spans="1:2" s="1589" customFormat="1" ht="15.75">
      <c r="A154" s="1563" t="s">
        <v>384</v>
      </c>
      <c r="B154" s="1592" t="s">
        <v>387</v>
      </c>
    </row>
    <row r="155" spans="1:2" s="1589" customFormat="1" ht="16.5" thickBot="1">
      <c r="A155" s="1587" t="s">
        <v>386</v>
      </c>
      <c r="B155" s="1594">
        <v>65000</v>
      </c>
    </row>
    <row r="156" spans="1:2" s="1589" customFormat="1" ht="16.5" thickTop="1">
      <c r="A156" s="1560"/>
      <c r="B156" s="1560"/>
    </row>
    <row r="157" spans="1:2" s="1589" customFormat="1" ht="15.75">
      <c r="A157" s="8"/>
      <c r="B157" s="1560"/>
    </row>
    <row r="158" spans="1:2" s="1589" customFormat="1" ht="15.75">
      <c r="A158" s="8"/>
      <c r="B158" s="1560"/>
    </row>
    <row r="159" spans="1:2" s="1589" customFormat="1" ht="15.75">
      <c r="A159" s="8"/>
      <c r="B159" s="1560"/>
    </row>
    <row r="160" spans="1:2" s="1589" customFormat="1" ht="15.75">
      <c r="A160" s="8"/>
      <c r="B160" s="1560"/>
    </row>
    <row r="161" spans="1:2" s="1589" customFormat="1" ht="15.75">
      <c r="A161" s="1560"/>
      <c r="B161" s="1560"/>
    </row>
    <row r="162" spans="1:2" s="1589" customFormat="1" ht="15.75">
      <c r="A162" s="1560"/>
      <c r="B162" s="1560"/>
    </row>
    <row r="163" spans="1:2" s="1589" customFormat="1" ht="15.75">
      <c r="A163" s="1560"/>
      <c r="B163" s="1560"/>
    </row>
    <row r="164" spans="1:2" s="1589" customFormat="1" ht="15.75">
      <c r="A164" s="1560"/>
      <c r="B164" s="1560"/>
    </row>
    <row r="165" spans="1:2" s="1589" customFormat="1" ht="15.75">
      <c r="A165" s="1560"/>
      <c r="B165" s="1560"/>
    </row>
    <row r="166" spans="1:2" s="1589" customFormat="1" ht="15.75">
      <c r="A166" s="1560"/>
      <c r="B166" s="1560"/>
    </row>
    <row r="167" spans="1:2" s="1589" customFormat="1" ht="15.75">
      <c r="A167" s="1560"/>
      <c r="B167" s="1560"/>
    </row>
    <row r="168" spans="1:2" s="1589" customFormat="1" ht="15.75">
      <c r="A168" s="1560"/>
      <c r="B168" s="1560"/>
    </row>
    <row r="169" spans="1:2" s="1589" customFormat="1" ht="15.75">
      <c r="A169" s="1560"/>
      <c r="B169" s="1560"/>
    </row>
    <row r="170" spans="1:2" s="1589" customFormat="1" ht="15.75">
      <c r="A170" s="1560"/>
      <c r="B170" s="1560"/>
    </row>
    <row r="171" spans="1:2" s="1589" customFormat="1" ht="15.75">
      <c r="A171" s="1560"/>
      <c r="B171" s="1560"/>
    </row>
    <row r="172" spans="1:2" s="1589" customFormat="1" ht="15.75">
      <c r="A172" s="1560"/>
      <c r="B172" s="1560"/>
    </row>
    <row r="173" spans="1:2" s="1589" customFormat="1" ht="15.75">
      <c r="A173" s="1560"/>
      <c r="B173" s="1560"/>
    </row>
    <row r="174" spans="1:2" s="1589" customFormat="1" ht="15.75">
      <c r="A174" s="1560"/>
      <c r="B174" s="1560"/>
    </row>
    <row r="175" spans="1:2" s="1589" customFormat="1" ht="15.75">
      <c r="A175" s="1560"/>
      <c r="B175" s="1560"/>
    </row>
    <row r="176" spans="1:2" s="1589" customFormat="1" ht="15.75">
      <c r="A176" s="1560"/>
      <c r="B176" s="1560"/>
    </row>
    <row r="177" spans="1:2" s="1589" customFormat="1" ht="15.75">
      <c r="A177" s="1560"/>
      <c r="B177" s="1560"/>
    </row>
    <row r="178" spans="1:2" s="1589" customFormat="1" ht="15.75">
      <c r="A178" s="1560"/>
      <c r="B178" s="1560"/>
    </row>
    <row r="179" spans="1:2" s="1589" customFormat="1" ht="15.75">
      <c r="A179" s="1560"/>
      <c r="B179" s="1560"/>
    </row>
    <row r="180" spans="1:2" s="1589" customFormat="1" ht="15.75">
      <c r="A180" s="1560"/>
      <c r="B180" s="1560"/>
    </row>
    <row r="181" spans="1:2" s="1589" customFormat="1" ht="15.75">
      <c r="A181" s="1560"/>
      <c r="B181" s="1560"/>
    </row>
    <row r="182" spans="1:2" s="1589" customFormat="1" ht="15.75">
      <c r="A182" s="1560"/>
      <c r="B182" s="1560"/>
    </row>
    <row r="183" spans="1:2" s="1589" customFormat="1" ht="15.75">
      <c r="A183" s="1560"/>
      <c r="B183" s="1560"/>
    </row>
    <row r="184" spans="1:2" s="1589" customFormat="1" ht="15.75">
      <c r="A184" s="1560"/>
      <c r="B184" s="1560"/>
    </row>
    <row r="185" spans="1:2" s="1589" customFormat="1" ht="15.75">
      <c r="A185" s="1560"/>
      <c r="B185" s="1560"/>
    </row>
    <row r="186" spans="1:2" s="1589" customFormat="1" ht="15.75">
      <c r="A186" s="1560"/>
      <c r="B186" s="1560"/>
    </row>
    <row r="187" spans="1:2" s="1589" customFormat="1" ht="15.75">
      <c r="A187" s="1560"/>
      <c r="B187" s="1560"/>
    </row>
    <row r="188" spans="1:2" s="1589" customFormat="1" ht="15.75">
      <c r="A188" s="1560"/>
      <c r="B188" s="1560"/>
    </row>
    <row r="189" spans="1:2" s="1589" customFormat="1" ht="15.75">
      <c r="A189" s="1560"/>
      <c r="B189" s="1560"/>
    </row>
    <row r="190" spans="1:2" s="1589" customFormat="1" ht="15.75">
      <c r="A190" s="1560"/>
      <c r="B190" s="1560"/>
    </row>
    <row r="191" spans="1:2" s="1589" customFormat="1" ht="15.75">
      <c r="A191" s="1560"/>
      <c r="B191" s="1560"/>
    </row>
    <row r="192" spans="1:2" s="1589" customFormat="1" ht="15.75">
      <c r="A192" s="1560"/>
      <c r="B192" s="1560"/>
    </row>
    <row r="193" spans="1:2" s="1589" customFormat="1" ht="15.75">
      <c r="A193" s="1560"/>
      <c r="B193" s="1560"/>
    </row>
    <row r="194" spans="1:2" s="1589" customFormat="1" ht="15.75">
      <c r="A194" s="1560"/>
      <c r="B194" s="1560"/>
    </row>
    <row r="195" spans="1:2" s="1589" customFormat="1" ht="15.75">
      <c r="A195" s="1560"/>
      <c r="B195" s="1560"/>
    </row>
    <row r="196" spans="1:2" s="1589" customFormat="1" ht="15.75">
      <c r="A196" s="1560"/>
      <c r="B196" s="1560"/>
    </row>
    <row r="197" spans="1:2" s="1589" customFormat="1" ht="15.75">
      <c r="A197" s="1560"/>
      <c r="B197" s="1560"/>
    </row>
    <row r="198" spans="1:2" s="1589" customFormat="1" ht="15.75">
      <c r="A198" s="1560"/>
      <c r="B198" s="1560"/>
    </row>
    <row r="199" spans="1:2" s="1589" customFormat="1" ht="15.75">
      <c r="A199" s="1560"/>
      <c r="B199" s="1560"/>
    </row>
    <row r="200" spans="1:2" s="1589" customFormat="1" ht="15.75">
      <c r="A200" s="1560"/>
      <c r="B200" s="1560"/>
    </row>
    <row r="201" spans="1:2" s="1589" customFormat="1" ht="15.75">
      <c r="A201" s="1560"/>
      <c r="B201" s="1560"/>
    </row>
    <row r="202" spans="1:2" s="1589" customFormat="1" ht="15.75">
      <c r="A202" s="1560"/>
      <c r="B202" s="1560"/>
    </row>
    <row r="203" spans="1:2" s="1589" customFormat="1" ht="15.75">
      <c r="A203" s="1560"/>
      <c r="B203" s="1560"/>
    </row>
    <row r="204" spans="1:2" s="1589" customFormat="1" ht="15.75">
      <c r="A204" s="1560"/>
      <c r="B204" s="1560"/>
    </row>
    <row r="205" spans="1:2" s="1589" customFormat="1" ht="15.75">
      <c r="A205" s="1560"/>
      <c r="B205" s="1560"/>
    </row>
    <row r="206" spans="1:2" s="1589" customFormat="1" ht="15.75">
      <c r="A206" s="1560"/>
      <c r="B206" s="1560"/>
    </row>
    <row r="207" spans="1:2" s="1589" customFormat="1" ht="15.75">
      <c r="A207" s="1560"/>
      <c r="B207" s="1560"/>
    </row>
    <row r="208" spans="1:2" s="1589" customFormat="1" ht="15.75">
      <c r="A208" s="1560"/>
      <c r="B208" s="1560"/>
    </row>
    <row r="209" spans="1:2" s="1589" customFormat="1" ht="15.75">
      <c r="A209" s="1560"/>
      <c r="B209" s="1560"/>
    </row>
    <row r="210" spans="1:2" s="1589" customFormat="1" ht="15.75">
      <c r="A210" s="1560"/>
      <c r="B210" s="1560"/>
    </row>
    <row r="211" spans="1:2" s="1589" customFormat="1" ht="15.75">
      <c r="A211" s="1560"/>
      <c r="B211" s="1560"/>
    </row>
    <row r="212" spans="1:2" s="1589" customFormat="1" ht="15.75">
      <c r="A212" s="1560"/>
      <c r="B212" s="1560"/>
    </row>
  </sheetData>
  <mergeCells count="2">
    <mergeCell ref="A1:B1"/>
    <mergeCell ref="A147:B147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5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="75" zoomScaleSheetLayoutView="75" workbookViewId="0" topLeftCell="A33">
      <selection activeCell="G58" sqref="G58"/>
    </sheetView>
  </sheetViews>
  <sheetFormatPr defaultColWidth="9.00390625" defaultRowHeight="12.75"/>
  <cols>
    <col min="1" max="1" width="59.25390625" style="365" customWidth="1"/>
    <col min="2" max="2" width="11.375" style="365" customWidth="1"/>
    <col min="3" max="3" width="14.75390625" style="365" customWidth="1"/>
    <col min="4" max="4" width="14.25390625" style="365" customWidth="1"/>
    <col min="5" max="5" width="10.75390625" style="365" customWidth="1"/>
    <col min="6" max="6" width="14.75390625" style="365" customWidth="1"/>
    <col min="7" max="7" width="14.125" style="365" customWidth="1"/>
    <col min="8" max="8" width="10.125" style="365" customWidth="1"/>
    <col min="9" max="9" width="14.25390625" style="365" customWidth="1"/>
    <col min="10" max="10" width="14.00390625" style="365" customWidth="1"/>
    <col min="11" max="11" width="14.625" style="365" customWidth="1"/>
    <col min="12" max="12" width="14.00390625" style="365" customWidth="1"/>
    <col min="13" max="13" width="10.875" style="365" customWidth="1"/>
    <col min="14" max="14" width="14.25390625" style="365" customWidth="1"/>
    <col min="15" max="15" width="14.00390625" style="365" customWidth="1"/>
    <col min="16" max="16" width="10.00390625" style="365" customWidth="1"/>
    <col min="17" max="17" width="15.00390625" style="365" customWidth="1"/>
    <col min="18" max="18" width="14.125" style="365" customWidth="1"/>
    <col min="19" max="19" width="11.25390625" style="365" customWidth="1"/>
    <col min="20" max="20" width="14.375" style="365" customWidth="1"/>
    <col min="21" max="21" width="14.25390625" style="365" customWidth="1"/>
    <col min="22" max="16384" width="9.125" style="365" customWidth="1"/>
  </cols>
  <sheetData>
    <row r="1" spans="1:19" ht="15.75">
      <c r="A1" s="36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1" ht="15.75">
      <c r="A2" s="1223" t="s">
        <v>530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1223"/>
      <c r="T2" s="1223"/>
      <c r="U2" s="1223"/>
    </row>
    <row r="3" spans="1:19" ht="16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ht="45.75" customHeight="1">
      <c r="A4" s="366" t="s">
        <v>531</v>
      </c>
      <c r="B4" s="1247" t="s">
        <v>532</v>
      </c>
      <c r="C4" s="1248"/>
      <c r="D4" s="1222"/>
      <c r="E4" s="1247" t="s">
        <v>533</v>
      </c>
      <c r="F4" s="1248"/>
      <c r="G4" s="1222"/>
      <c r="H4" s="1247" t="s">
        <v>534</v>
      </c>
      <c r="I4" s="1248"/>
      <c r="J4" s="1222"/>
      <c r="K4" s="1247" t="s">
        <v>535</v>
      </c>
      <c r="L4" s="1222"/>
      <c r="M4" s="1247" t="s">
        <v>536</v>
      </c>
      <c r="N4" s="1248"/>
      <c r="O4" s="1222"/>
      <c r="P4" s="1247" t="s">
        <v>537</v>
      </c>
      <c r="Q4" s="1248"/>
      <c r="R4" s="1222"/>
      <c r="S4" s="1224" t="s">
        <v>538</v>
      </c>
      <c r="T4" s="1225"/>
      <c r="U4" s="1221"/>
    </row>
    <row r="5" spans="1:21" ht="18.75" customHeight="1">
      <c r="A5" s="367"/>
      <c r="B5" s="368" t="s">
        <v>539</v>
      </c>
      <c r="C5" s="368" t="s">
        <v>915</v>
      </c>
      <c r="D5" s="368" t="s">
        <v>741</v>
      </c>
      <c r="E5" s="369" t="s">
        <v>539</v>
      </c>
      <c r="F5" s="368" t="s">
        <v>915</v>
      </c>
      <c r="G5" s="368" t="s">
        <v>741</v>
      </c>
      <c r="H5" s="369" t="s">
        <v>539</v>
      </c>
      <c r="I5" s="368" t="s">
        <v>915</v>
      </c>
      <c r="J5" s="368" t="s">
        <v>741</v>
      </c>
      <c r="K5" s="368" t="s">
        <v>915</v>
      </c>
      <c r="L5" s="368" t="s">
        <v>741</v>
      </c>
      <c r="M5" s="368" t="s">
        <v>539</v>
      </c>
      <c r="N5" s="368" t="s">
        <v>915</v>
      </c>
      <c r="O5" s="368" t="s">
        <v>741</v>
      </c>
      <c r="P5" s="368" t="s">
        <v>539</v>
      </c>
      <c r="Q5" s="368" t="s">
        <v>915</v>
      </c>
      <c r="R5" s="368" t="s">
        <v>741</v>
      </c>
      <c r="S5" s="370" t="s">
        <v>540</v>
      </c>
      <c r="T5" s="370" t="s">
        <v>915</v>
      </c>
      <c r="U5" s="371" t="s">
        <v>741</v>
      </c>
    </row>
    <row r="6" spans="1:21" ht="19.5" customHeight="1">
      <c r="A6" s="372" t="s">
        <v>541</v>
      </c>
      <c r="B6" s="373">
        <f aca="true" t="shared" si="0" ref="B6:P6">SUM(B7,B8,B12)</f>
        <v>1852019</v>
      </c>
      <c r="C6" s="373">
        <f t="shared" si="0"/>
        <v>2049474</v>
      </c>
      <c r="D6" s="373">
        <f t="shared" si="0"/>
        <v>2043369</v>
      </c>
      <c r="E6" s="373">
        <f t="shared" si="0"/>
        <v>2000</v>
      </c>
      <c r="F6" s="373">
        <f>SUM(F7,F8,F12)</f>
        <v>2000</v>
      </c>
      <c r="G6" s="373">
        <f t="shared" si="0"/>
        <v>1872</v>
      </c>
      <c r="H6" s="373">
        <f t="shared" si="0"/>
        <v>7723</v>
      </c>
      <c r="I6" s="373">
        <f>SUM(I7,I8,I12)</f>
        <v>489</v>
      </c>
      <c r="J6" s="373">
        <f t="shared" si="0"/>
        <v>489</v>
      </c>
      <c r="K6" s="373">
        <f>SUM(K7,K8,K12)</f>
        <v>6399</v>
      </c>
      <c r="L6" s="373">
        <f t="shared" si="0"/>
        <v>6399</v>
      </c>
      <c r="M6" s="373">
        <f t="shared" si="0"/>
        <v>168371</v>
      </c>
      <c r="N6" s="373">
        <f>SUM(N7,N8,N12)</f>
        <v>188814</v>
      </c>
      <c r="O6" s="373">
        <f>SUM(O7,O8,O12)</f>
        <v>199230</v>
      </c>
      <c r="P6" s="373">
        <f t="shared" si="0"/>
        <v>15466</v>
      </c>
      <c r="Q6" s="373">
        <f>SUM(Q7,Q8,Q12)</f>
        <v>29473</v>
      </c>
      <c r="R6" s="373">
        <f>SUM(R7,R8,R12)</f>
        <v>30949</v>
      </c>
      <c r="S6" s="374">
        <f>SUM(S7+S8+S12)</f>
        <v>2045579</v>
      </c>
      <c r="T6" s="374">
        <f>SUM(T7+T8+T12)</f>
        <v>2276649</v>
      </c>
      <c r="U6" s="481">
        <f>SUM(U7+U8+U12)</f>
        <v>2282308</v>
      </c>
    </row>
    <row r="7" spans="1:21" s="378" customFormat="1" ht="19.5" customHeight="1">
      <c r="A7" s="375" t="s">
        <v>542</v>
      </c>
      <c r="B7" s="376"/>
      <c r="C7" s="376"/>
      <c r="D7" s="376"/>
      <c r="E7" s="376"/>
      <c r="F7" s="376"/>
      <c r="G7" s="376"/>
      <c r="H7" s="376">
        <v>1000</v>
      </c>
      <c r="I7" s="376">
        <v>296</v>
      </c>
      <c r="J7" s="376">
        <v>296</v>
      </c>
      <c r="K7" s="376"/>
      <c r="L7" s="376"/>
      <c r="M7" s="376">
        <v>0</v>
      </c>
      <c r="N7" s="376"/>
      <c r="O7" s="376"/>
      <c r="P7" s="376">
        <v>0</v>
      </c>
      <c r="Q7" s="863"/>
      <c r="R7" s="863"/>
      <c r="S7" s="377">
        <f aca="true" t="shared" si="1" ref="S7:S52">SUM(B7+E7+H7+M7+P7)</f>
        <v>1000</v>
      </c>
      <c r="T7" s="377">
        <f aca="true" t="shared" si="2" ref="T7:U53">SUM(C7+F7+I7+K7+N7+Q7)</f>
        <v>296</v>
      </c>
      <c r="U7" s="925">
        <f t="shared" si="2"/>
        <v>296</v>
      </c>
    </row>
    <row r="8" spans="1:21" s="378" customFormat="1" ht="19.5" customHeight="1">
      <c r="A8" s="375" t="s">
        <v>543</v>
      </c>
      <c r="B8" s="376">
        <f aca="true" t="shared" si="3" ref="B8:P8">SUM(B9:B11)</f>
        <v>80139</v>
      </c>
      <c r="C8" s="376">
        <f>SUM(C9:C11)</f>
        <v>223474</v>
      </c>
      <c r="D8" s="376">
        <f t="shared" si="3"/>
        <v>242893</v>
      </c>
      <c r="E8" s="376">
        <f t="shared" si="3"/>
        <v>0</v>
      </c>
      <c r="F8" s="376">
        <f>SUM(F9:F11)</f>
        <v>0</v>
      </c>
      <c r="G8" s="376">
        <f>SUM(G9:G11)</f>
        <v>0</v>
      </c>
      <c r="H8" s="376">
        <f t="shared" si="3"/>
        <v>6723</v>
      </c>
      <c r="I8" s="376">
        <f>SUM(I9:I11)</f>
        <v>193</v>
      </c>
      <c r="J8" s="376">
        <f t="shared" si="3"/>
        <v>193</v>
      </c>
      <c r="K8" s="376">
        <f>SUM(K9:K11)</f>
        <v>6399</v>
      </c>
      <c r="L8" s="376">
        <f t="shared" si="3"/>
        <v>6399</v>
      </c>
      <c r="M8" s="376">
        <f t="shared" si="3"/>
        <v>168371</v>
      </c>
      <c r="N8" s="376">
        <f>SUM(N9:N11)</f>
        <v>188814</v>
      </c>
      <c r="O8" s="376">
        <f t="shared" si="3"/>
        <v>199230</v>
      </c>
      <c r="P8" s="376">
        <f t="shared" si="3"/>
        <v>15466</v>
      </c>
      <c r="Q8" s="376">
        <f>SUM(Q9:Q11)</f>
        <v>29365</v>
      </c>
      <c r="R8" s="376">
        <f>SUM(R9:R11)</f>
        <v>30841</v>
      </c>
      <c r="S8" s="377">
        <f t="shared" si="1"/>
        <v>270699</v>
      </c>
      <c r="T8" s="377">
        <f t="shared" si="2"/>
        <v>448245</v>
      </c>
      <c r="U8" s="925">
        <f t="shared" si="2"/>
        <v>479556</v>
      </c>
    </row>
    <row r="9" spans="1:21" ht="30" customHeight="1">
      <c r="A9" s="379" t="s">
        <v>544</v>
      </c>
      <c r="B9" s="380">
        <v>47472</v>
      </c>
      <c r="C9" s="380">
        <v>100845</v>
      </c>
      <c r="D9" s="380">
        <v>103634</v>
      </c>
      <c r="E9" s="380"/>
      <c r="F9" s="380"/>
      <c r="G9" s="380"/>
      <c r="H9" s="380">
        <v>6048</v>
      </c>
      <c r="I9" s="380">
        <v>136</v>
      </c>
      <c r="J9" s="380">
        <v>136</v>
      </c>
      <c r="K9" s="380">
        <v>5781</v>
      </c>
      <c r="L9" s="380">
        <v>5781</v>
      </c>
      <c r="M9" s="380">
        <v>129030</v>
      </c>
      <c r="N9" s="380">
        <v>147865</v>
      </c>
      <c r="O9" s="380">
        <v>151816</v>
      </c>
      <c r="P9" s="380">
        <v>12435</v>
      </c>
      <c r="Q9" s="864">
        <v>20290</v>
      </c>
      <c r="R9" s="864">
        <v>21409</v>
      </c>
      <c r="S9" s="382">
        <f t="shared" si="1"/>
        <v>194985</v>
      </c>
      <c r="T9" s="381">
        <f t="shared" si="2"/>
        <v>274917</v>
      </c>
      <c r="U9" s="924">
        <f t="shared" si="2"/>
        <v>282776</v>
      </c>
    </row>
    <row r="10" spans="1:21" ht="19.5" customHeight="1">
      <c r="A10" s="383" t="s">
        <v>545</v>
      </c>
      <c r="B10" s="380">
        <v>29667</v>
      </c>
      <c r="C10" s="380">
        <v>106638</v>
      </c>
      <c r="D10" s="380">
        <v>122950</v>
      </c>
      <c r="E10" s="380"/>
      <c r="F10" s="380"/>
      <c r="G10" s="380"/>
      <c r="H10" s="380">
        <v>475</v>
      </c>
      <c r="I10" s="380">
        <v>37</v>
      </c>
      <c r="J10" s="380">
        <v>37</v>
      </c>
      <c r="K10" s="380">
        <v>438</v>
      </c>
      <c r="L10" s="380">
        <v>438</v>
      </c>
      <c r="M10" s="380">
        <v>39341</v>
      </c>
      <c r="N10" s="380">
        <v>40949</v>
      </c>
      <c r="O10" s="380">
        <v>47414</v>
      </c>
      <c r="P10" s="380">
        <v>3031</v>
      </c>
      <c r="Q10" s="864">
        <v>8473</v>
      </c>
      <c r="R10" s="864">
        <v>8742</v>
      </c>
      <c r="S10" s="382">
        <f t="shared" si="1"/>
        <v>72514</v>
      </c>
      <c r="T10" s="381">
        <f t="shared" si="2"/>
        <v>156535</v>
      </c>
      <c r="U10" s="924">
        <f t="shared" si="2"/>
        <v>179581</v>
      </c>
    </row>
    <row r="11" spans="1:21" ht="19.5" customHeight="1">
      <c r="A11" s="383" t="s">
        <v>546</v>
      </c>
      <c r="B11" s="380">
        <v>3000</v>
      </c>
      <c r="C11" s="380">
        <v>15991</v>
      </c>
      <c r="D11" s="380">
        <v>16309</v>
      </c>
      <c r="E11" s="380"/>
      <c r="F11" s="380"/>
      <c r="G11" s="380"/>
      <c r="H11" s="380">
        <v>200</v>
      </c>
      <c r="I11" s="380">
        <v>20</v>
      </c>
      <c r="J11" s="380">
        <v>20</v>
      </c>
      <c r="K11" s="380">
        <v>180</v>
      </c>
      <c r="L11" s="380">
        <v>180</v>
      </c>
      <c r="M11" s="380"/>
      <c r="N11" s="380"/>
      <c r="O11" s="380"/>
      <c r="P11" s="380"/>
      <c r="Q11" s="864">
        <v>602</v>
      </c>
      <c r="R11" s="864">
        <v>690</v>
      </c>
      <c r="S11" s="382">
        <f t="shared" si="1"/>
        <v>3200</v>
      </c>
      <c r="T11" s="381">
        <f t="shared" si="2"/>
        <v>16793</v>
      </c>
      <c r="U11" s="924">
        <f t="shared" si="2"/>
        <v>17199</v>
      </c>
    </row>
    <row r="12" spans="1:21" s="378" customFormat="1" ht="19.5" customHeight="1">
      <c r="A12" s="375" t="s">
        <v>547</v>
      </c>
      <c r="B12" s="376">
        <f aca="true" t="shared" si="4" ref="B12:P12">SUM(B13,B20,B23,B24,B25,B26)</f>
        <v>1771880</v>
      </c>
      <c r="C12" s="376">
        <f>SUM(C13,C20,C23,C24,C25,C26)</f>
        <v>1826000</v>
      </c>
      <c r="D12" s="376">
        <f t="shared" si="4"/>
        <v>1800476</v>
      </c>
      <c r="E12" s="376">
        <f t="shared" si="4"/>
        <v>2000</v>
      </c>
      <c r="F12" s="376">
        <f>SUM(F13,F20,F23,F24,F25,F26)</f>
        <v>2000</v>
      </c>
      <c r="G12" s="376">
        <f t="shared" si="4"/>
        <v>1872</v>
      </c>
      <c r="H12" s="376">
        <f t="shared" si="4"/>
        <v>0</v>
      </c>
      <c r="I12" s="376">
        <f>SUM(I13,I20,I23,I24,I25,I26)</f>
        <v>0</v>
      </c>
      <c r="J12" s="376">
        <f t="shared" si="4"/>
        <v>0</v>
      </c>
      <c r="K12" s="376">
        <f>SUM(K13,K20,K23,K24,K25,K26)</f>
        <v>0</v>
      </c>
      <c r="L12" s="376">
        <f t="shared" si="4"/>
        <v>0</v>
      </c>
      <c r="M12" s="376">
        <f t="shared" si="4"/>
        <v>0</v>
      </c>
      <c r="N12" s="376">
        <f>SUM(N13,N20,N23,N24,N25,N26)</f>
        <v>0</v>
      </c>
      <c r="O12" s="376">
        <f t="shared" si="4"/>
        <v>0</v>
      </c>
      <c r="P12" s="376">
        <f t="shared" si="4"/>
        <v>0</v>
      </c>
      <c r="Q12" s="376">
        <f>SUM(Q13,Q20,Q23,Q24,Q25,Q26)</f>
        <v>108</v>
      </c>
      <c r="R12" s="376">
        <f>SUM(R13,R20,R23,R24,R25,R26)</f>
        <v>108</v>
      </c>
      <c r="S12" s="377">
        <f t="shared" si="1"/>
        <v>1773880</v>
      </c>
      <c r="T12" s="377">
        <f t="shared" si="2"/>
        <v>1828108</v>
      </c>
      <c r="U12" s="925">
        <f t="shared" si="2"/>
        <v>1802456</v>
      </c>
    </row>
    <row r="13" spans="1:21" ht="19.5" customHeight="1">
      <c r="A13" s="383" t="s">
        <v>548</v>
      </c>
      <c r="B13" s="380">
        <f>SUM(B14:B19)</f>
        <v>1567000</v>
      </c>
      <c r="C13" s="380">
        <f>SUM(C14:C19)</f>
        <v>1621120</v>
      </c>
      <c r="D13" s="380">
        <f>SUM(D14:D19)</f>
        <v>1589500</v>
      </c>
      <c r="E13" s="380">
        <f>SUM(E14:E19)</f>
        <v>0</v>
      </c>
      <c r="F13" s="380"/>
      <c r="G13" s="380"/>
      <c r="H13" s="380"/>
      <c r="I13" s="380"/>
      <c r="J13" s="380"/>
      <c r="K13" s="380"/>
      <c r="L13" s="380"/>
      <c r="M13" s="380">
        <f>SUM(M14:M19)</f>
        <v>0</v>
      </c>
      <c r="N13" s="380"/>
      <c r="O13" s="380"/>
      <c r="P13" s="380">
        <f>SUM(P14:P19)</f>
        <v>0</v>
      </c>
      <c r="Q13" s="864"/>
      <c r="R13" s="864"/>
      <c r="S13" s="382">
        <f t="shared" si="1"/>
        <v>1567000</v>
      </c>
      <c r="T13" s="381">
        <f t="shared" si="2"/>
        <v>1621120</v>
      </c>
      <c r="U13" s="924">
        <f t="shared" si="2"/>
        <v>1589500</v>
      </c>
    </row>
    <row r="14" spans="1:21" s="386" customFormat="1" ht="19.5" customHeight="1">
      <c r="A14" s="384" t="s">
        <v>549</v>
      </c>
      <c r="B14" s="385">
        <v>305000</v>
      </c>
      <c r="C14" s="385">
        <v>308000</v>
      </c>
      <c r="D14" s="385">
        <v>311000</v>
      </c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865"/>
      <c r="R14" s="865"/>
      <c r="S14" s="382">
        <f t="shared" si="1"/>
        <v>305000</v>
      </c>
      <c r="T14" s="381">
        <f t="shared" si="2"/>
        <v>308000</v>
      </c>
      <c r="U14" s="924">
        <f t="shared" si="2"/>
        <v>311000</v>
      </c>
    </row>
    <row r="15" spans="1:21" s="386" customFormat="1" ht="19.5" customHeight="1">
      <c r="A15" s="384" t="s">
        <v>550</v>
      </c>
      <c r="B15" s="385">
        <v>90000</v>
      </c>
      <c r="C15" s="385">
        <v>90000</v>
      </c>
      <c r="D15" s="385">
        <v>103000</v>
      </c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865"/>
      <c r="R15" s="865"/>
      <c r="S15" s="382">
        <f t="shared" si="1"/>
        <v>90000</v>
      </c>
      <c r="T15" s="381">
        <f t="shared" si="2"/>
        <v>90000</v>
      </c>
      <c r="U15" s="924">
        <f t="shared" si="2"/>
        <v>103000</v>
      </c>
    </row>
    <row r="16" spans="1:21" s="386" customFormat="1" ht="19.5" customHeight="1">
      <c r="A16" s="384" t="s">
        <v>551</v>
      </c>
      <c r="B16" s="385">
        <v>22000</v>
      </c>
      <c r="C16" s="385">
        <v>26000</v>
      </c>
      <c r="D16" s="385">
        <v>27000</v>
      </c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865"/>
      <c r="R16" s="865"/>
      <c r="S16" s="382">
        <f t="shared" si="1"/>
        <v>22000</v>
      </c>
      <c r="T16" s="381">
        <f t="shared" si="2"/>
        <v>26000</v>
      </c>
      <c r="U16" s="924">
        <f t="shared" si="2"/>
        <v>27000</v>
      </c>
    </row>
    <row r="17" spans="1:21" s="386" customFormat="1" ht="19.5" customHeight="1">
      <c r="A17" s="384" t="s">
        <v>552</v>
      </c>
      <c r="B17" s="385">
        <v>1135000</v>
      </c>
      <c r="C17" s="385">
        <v>1182120</v>
      </c>
      <c r="D17" s="385">
        <v>1133500</v>
      </c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865"/>
      <c r="R17" s="865"/>
      <c r="S17" s="382">
        <f t="shared" si="1"/>
        <v>1135000</v>
      </c>
      <c r="T17" s="381">
        <f t="shared" si="2"/>
        <v>1182120</v>
      </c>
      <c r="U17" s="924">
        <f t="shared" si="2"/>
        <v>1133500</v>
      </c>
    </row>
    <row r="18" spans="1:21" s="386" customFormat="1" ht="19.5" customHeight="1">
      <c r="A18" s="384" t="s">
        <v>553</v>
      </c>
      <c r="B18" s="387">
        <v>14000</v>
      </c>
      <c r="C18" s="387">
        <v>14000</v>
      </c>
      <c r="D18" s="387">
        <v>14000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866"/>
      <c r="R18" s="866"/>
      <c r="S18" s="382">
        <f t="shared" si="1"/>
        <v>14000</v>
      </c>
      <c r="T18" s="381">
        <f t="shared" si="2"/>
        <v>14000</v>
      </c>
      <c r="U18" s="924">
        <f t="shared" si="2"/>
        <v>14000</v>
      </c>
    </row>
    <row r="19" spans="1:21" s="386" customFormat="1" ht="19.5" customHeight="1">
      <c r="A19" s="388" t="s">
        <v>554</v>
      </c>
      <c r="B19" s="385">
        <v>1000</v>
      </c>
      <c r="C19" s="385">
        <v>1000</v>
      </c>
      <c r="D19" s="385">
        <v>1000</v>
      </c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865"/>
      <c r="R19" s="865"/>
      <c r="S19" s="382">
        <f t="shared" si="1"/>
        <v>1000</v>
      </c>
      <c r="T19" s="381">
        <f t="shared" si="2"/>
        <v>1000</v>
      </c>
      <c r="U19" s="924">
        <f t="shared" si="2"/>
        <v>1000</v>
      </c>
    </row>
    <row r="20" spans="1:21" ht="19.5" customHeight="1">
      <c r="A20" s="383" t="s">
        <v>555</v>
      </c>
      <c r="B20" s="389">
        <f>SUM(B21:B22)</f>
        <v>115200</v>
      </c>
      <c r="C20" s="389">
        <f>SUM(C21:C22)</f>
        <v>115200</v>
      </c>
      <c r="D20" s="389">
        <f>SUM(D21:D22)</f>
        <v>106200</v>
      </c>
      <c r="E20" s="389">
        <f>SUM(E21:E22)</f>
        <v>0</v>
      </c>
      <c r="F20" s="389"/>
      <c r="G20" s="389"/>
      <c r="H20" s="389"/>
      <c r="I20" s="389"/>
      <c r="J20" s="389"/>
      <c r="K20" s="389"/>
      <c r="L20" s="389"/>
      <c r="M20" s="389">
        <f>SUM(M21:M22)</f>
        <v>0</v>
      </c>
      <c r="N20" s="389"/>
      <c r="O20" s="389"/>
      <c r="P20" s="389">
        <f>SUM(P21:P22)</f>
        <v>0</v>
      </c>
      <c r="Q20" s="867"/>
      <c r="R20" s="867"/>
      <c r="S20" s="382">
        <f t="shared" si="1"/>
        <v>115200</v>
      </c>
      <c r="T20" s="381">
        <f t="shared" si="2"/>
        <v>115200</v>
      </c>
      <c r="U20" s="924">
        <f t="shared" si="2"/>
        <v>106200</v>
      </c>
    </row>
    <row r="21" spans="1:21" s="386" customFormat="1" ht="19.5" customHeight="1">
      <c r="A21" s="384" t="s">
        <v>556</v>
      </c>
      <c r="B21" s="387">
        <v>115000</v>
      </c>
      <c r="C21" s="387">
        <v>115000</v>
      </c>
      <c r="D21" s="387">
        <v>106000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866"/>
      <c r="R21" s="866"/>
      <c r="S21" s="382">
        <f t="shared" si="1"/>
        <v>115000</v>
      </c>
      <c r="T21" s="381">
        <f t="shared" si="2"/>
        <v>115000</v>
      </c>
      <c r="U21" s="924">
        <f t="shared" si="2"/>
        <v>106000</v>
      </c>
    </row>
    <row r="22" spans="1:21" s="386" customFormat="1" ht="19.5" customHeight="1">
      <c r="A22" s="384" t="s">
        <v>557</v>
      </c>
      <c r="B22" s="387">
        <v>200</v>
      </c>
      <c r="C22" s="387">
        <v>200</v>
      </c>
      <c r="D22" s="387">
        <v>200</v>
      </c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866"/>
      <c r="R22" s="866"/>
      <c r="S22" s="382">
        <f t="shared" si="1"/>
        <v>200</v>
      </c>
      <c r="T22" s="381">
        <f t="shared" si="2"/>
        <v>200</v>
      </c>
      <c r="U22" s="924">
        <f t="shared" si="2"/>
        <v>200</v>
      </c>
    </row>
    <row r="23" spans="1:21" ht="19.5" customHeight="1">
      <c r="A23" s="383" t="s">
        <v>558</v>
      </c>
      <c r="B23" s="389">
        <v>300</v>
      </c>
      <c r="C23" s="389">
        <v>300</v>
      </c>
      <c r="D23" s="389">
        <v>300</v>
      </c>
      <c r="E23" s="389">
        <v>2000</v>
      </c>
      <c r="F23" s="389">
        <v>2000</v>
      </c>
      <c r="G23" s="389">
        <v>1872</v>
      </c>
      <c r="H23" s="389"/>
      <c r="I23" s="389"/>
      <c r="J23" s="389"/>
      <c r="K23" s="389"/>
      <c r="L23" s="389"/>
      <c r="M23" s="389"/>
      <c r="N23" s="389"/>
      <c r="O23" s="389"/>
      <c r="P23" s="389"/>
      <c r="Q23" s="867"/>
      <c r="R23" s="867"/>
      <c r="S23" s="382">
        <f t="shared" si="1"/>
        <v>2300</v>
      </c>
      <c r="T23" s="381">
        <f t="shared" si="2"/>
        <v>2300</v>
      </c>
      <c r="U23" s="924">
        <f t="shared" si="2"/>
        <v>2172</v>
      </c>
    </row>
    <row r="24" spans="1:21" ht="19.5" customHeight="1">
      <c r="A24" s="383" t="s">
        <v>559</v>
      </c>
      <c r="B24" s="389">
        <v>10000</v>
      </c>
      <c r="C24" s="389">
        <v>10000</v>
      </c>
      <c r="D24" s="389">
        <v>10000</v>
      </c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867"/>
      <c r="R24" s="867"/>
      <c r="S24" s="382">
        <f t="shared" si="1"/>
        <v>10000</v>
      </c>
      <c r="T24" s="381">
        <f t="shared" si="2"/>
        <v>10000</v>
      </c>
      <c r="U24" s="924">
        <f t="shared" si="2"/>
        <v>10000</v>
      </c>
    </row>
    <row r="25" spans="1:21" ht="19.5" customHeight="1">
      <c r="A25" s="383" t="s">
        <v>560</v>
      </c>
      <c r="B25" s="389">
        <v>32380</v>
      </c>
      <c r="C25" s="389">
        <v>32380</v>
      </c>
      <c r="D25" s="389">
        <v>38576</v>
      </c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867">
        <v>108</v>
      </c>
      <c r="R25" s="867">
        <v>108</v>
      </c>
      <c r="S25" s="382">
        <f t="shared" si="1"/>
        <v>32380</v>
      </c>
      <c r="T25" s="381">
        <f t="shared" si="2"/>
        <v>32488</v>
      </c>
      <c r="U25" s="924">
        <f t="shared" si="2"/>
        <v>38684</v>
      </c>
    </row>
    <row r="26" spans="1:21" ht="19.5" customHeight="1">
      <c r="A26" s="383" t="s">
        <v>561</v>
      </c>
      <c r="B26" s="389">
        <v>47000</v>
      </c>
      <c r="C26" s="389">
        <v>47000</v>
      </c>
      <c r="D26" s="389">
        <v>55900</v>
      </c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867"/>
      <c r="R26" s="867"/>
      <c r="S26" s="382">
        <f t="shared" si="1"/>
        <v>47000</v>
      </c>
      <c r="T26" s="381">
        <f t="shared" si="2"/>
        <v>47000</v>
      </c>
      <c r="U26" s="924">
        <f t="shared" si="2"/>
        <v>55900</v>
      </c>
    </row>
    <row r="27" spans="1:21" s="394" customFormat="1" ht="19.5" customHeight="1">
      <c r="A27" s="391" t="s">
        <v>562</v>
      </c>
      <c r="B27" s="392">
        <f aca="true" t="shared" si="5" ref="B27:P27">SUM(B28:B29)</f>
        <v>855379</v>
      </c>
      <c r="C27" s="392">
        <f>SUM(C28:C30)</f>
        <v>1006242</v>
      </c>
      <c r="D27" s="392">
        <f>SUM(D28:D30)</f>
        <v>1008608</v>
      </c>
      <c r="E27" s="392">
        <f t="shared" si="5"/>
        <v>0</v>
      </c>
      <c r="F27" s="392">
        <f>SUM(F28:F29)</f>
        <v>0</v>
      </c>
      <c r="G27" s="392">
        <f t="shared" si="5"/>
        <v>0</v>
      </c>
      <c r="H27" s="392">
        <f t="shared" si="5"/>
        <v>0</v>
      </c>
      <c r="I27" s="392">
        <f>SUM(I28:I29)</f>
        <v>0</v>
      </c>
      <c r="J27" s="392">
        <f t="shared" si="5"/>
        <v>0</v>
      </c>
      <c r="K27" s="392">
        <f>SUM(K28:K29)</f>
        <v>0</v>
      </c>
      <c r="L27" s="392">
        <f t="shared" si="5"/>
        <v>0</v>
      </c>
      <c r="M27" s="392">
        <f t="shared" si="5"/>
        <v>0</v>
      </c>
      <c r="N27" s="392">
        <f>SUM(N28:N29)</f>
        <v>0</v>
      </c>
      <c r="O27" s="392">
        <f t="shared" si="5"/>
        <v>0</v>
      </c>
      <c r="P27" s="392">
        <f t="shared" si="5"/>
        <v>0</v>
      </c>
      <c r="Q27" s="868">
        <v>0</v>
      </c>
      <c r="R27" s="868">
        <v>0</v>
      </c>
      <c r="S27" s="374">
        <f>SUM(S28:S30)</f>
        <v>855379</v>
      </c>
      <c r="T27" s="374">
        <f>SUM(T28:T30)</f>
        <v>1006242</v>
      </c>
      <c r="U27" s="481">
        <f>SUM(U28:U30)</f>
        <v>1008608</v>
      </c>
    </row>
    <row r="28" spans="1:21" ht="19.5" customHeight="1">
      <c r="A28" s="383" t="s">
        <v>563</v>
      </c>
      <c r="B28" s="389">
        <v>778320</v>
      </c>
      <c r="C28" s="389">
        <v>860922</v>
      </c>
      <c r="D28" s="389">
        <v>853677</v>
      </c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867"/>
      <c r="R28" s="867"/>
      <c r="S28" s="382">
        <f t="shared" si="1"/>
        <v>778320</v>
      </c>
      <c r="T28" s="381">
        <f t="shared" si="2"/>
        <v>860922</v>
      </c>
      <c r="U28" s="924">
        <f t="shared" si="2"/>
        <v>853677</v>
      </c>
    </row>
    <row r="29" spans="1:21" s="386" customFormat="1" ht="19.5" customHeight="1">
      <c r="A29" s="395" t="s">
        <v>564</v>
      </c>
      <c r="B29" s="396">
        <v>77059</v>
      </c>
      <c r="C29" s="396">
        <v>77059</v>
      </c>
      <c r="D29" s="396">
        <v>85050</v>
      </c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869"/>
      <c r="R29" s="869"/>
      <c r="S29" s="382">
        <f t="shared" si="1"/>
        <v>77059</v>
      </c>
      <c r="T29" s="381">
        <f t="shared" si="2"/>
        <v>77059</v>
      </c>
      <c r="U29" s="924">
        <f t="shared" si="2"/>
        <v>85050</v>
      </c>
    </row>
    <row r="30" spans="1:21" s="386" customFormat="1" ht="19.5" customHeight="1">
      <c r="A30" s="395" t="s">
        <v>401</v>
      </c>
      <c r="B30" s="396"/>
      <c r="C30" s="396">
        <v>68261</v>
      </c>
      <c r="D30" s="396">
        <v>69881</v>
      </c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869"/>
      <c r="R30" s="869"/>
      <c r="S30" s="382"/>
      <c r="T30" s="381">
        <f t="shared" si="2"/>
        <v>68261</v>
      </c>
      <c r="U30" s="924">
        <f t="shared" si="2"/>
        <v>69881</v>
      </c>
    </row>
    <row r="31" spans="1:21" s="394" customFormat="1" ht="19.5" customHeight="1">
      <c r="A31" s="391" t="s">
        <v>565</v>
      </c>
      <c r="B31" s="392">
        <f aca="true" t="shared" si="6" ref="B31:P31">SUM(B32:B34)</f>
        <v>76210</v>
      </c>
      <c r="C31" s="392">
        <f>SUM(C32:C34)</f>
        <v>95578</v>
      </c>
      <c r="D31" s="392">
        <f t="shared" si="6"/>
        <v>108733</v>
      </c>
      <c r="E31" s="392">
        <f t="shared" si="6"/>
        <v>0</v>
      </c>
      <c r="F31" s="392">
        <f>SUM(F32:F34)</f>
        <v>0</v>
      </c>
      <c r="G31" s="392">
        <f t="shared" si="6"/>
        <v>0</v>
      </c>
      <c r="H31" s="392">
        <f t="shared" si="6"/>
        <v>8431</v>
      </c>
      <c r="I31" s="392">
        <f>SUM(I32:I34)</f>
        <v>0</v>
      </c>
      <c r="J31" s="392">
        <f t="shared" si="6"/>
        <v>0</v>
      </c>
      <c r="K31" s="392">
        <f>SUM(K32:K34)</f>
        <v>52149</v>
      </c>
      <c r="L31" s="392">
        <f t="shared" si="6"/>
        <v>52307</v>
      </c>
      <c r="M31" s="392">
        <f t="shared" si="6"/>
        <v>19880</v>
      </c>
      <c r="N31" s="392">
        <f>SUM(N32:N34)</f>
        <v>43353</v>
      </c>
      <c r="O31" s="392">
        <f t="shared" si="6"/>
        <v>57912</v>
      </c>
      <c r="P31" s="392">
        <f t="shared" si="6"/>
        <v>500</v>
      </c>
      <c r="Q31" s="392">
        <f>SUM(Q32:Q34)</f>
        <v>3743</v>
      </c>
      <c r="R31" s="392">
        <f>SUM(R32:R34)</f>
        <v>3843</v>
      </c>
      <c r="S31" s="374">
        <f>SUM(S32:S34)</f>
        <v>105021</v>
      </c>
      <c r="T31" s="374">
        <f>SUM(T32:T34)</f>
        <v>194823</v>
      </c>
      <c r="U31" s="481">
        <f>SUM(U32:U34)</f>
        <v>222795</v>
      </c>
    </row>
    <row r="32" spans="1:21" ht="19.5" customHeight="1">
      <c r="A32" s="383" t="s">
        <v>566</v>
      </c>
      <c r="B32" s="389">
        <v>72410</v>
      </c>
      <c r="C32" s="389">
        <v>84082</v>
      </c>
      <c r="D32" s="389">
        <v>97237</v>
      </c>
      <c r="E32" s="389"/>
      <c r="F32" s="389"/>
      <c r="G32" s="389"/>
      <c r="H32" s="389"/>
      <c r="I32" s="389"/>
      <c r="J32" s="389"/>
      <c r="K32" s="389">
        <v>52149</v>
      </c>
      <c r="L32" s="389">
        <v>52307</v>
      </c>
      <c r="M32" s="389">
        <v>10000</v>
      </c>
      <c r="N32" s="389">
        <v>18350</v>
      </c>
      <c r="O32" s="389">
        <v>30198</v>
      </c>
      <c r="P32" s="389"/>
      <c r="Q32" s="867"/>
      <c r="R32" s="867">
        <v>3843</v>
      </c>
      <c r="S32" s="382">
        <f t="shared" si="1"/>
        <v>82410</v>
      </c>
      <c r="T32" s="381">
        <f t="shared" si="2"/>
        <v>154581</v>
      </c>
      <c r="U32" s="924">
        <f t="shared" si="2"/>
        <v>183585</v>
      </c>
    </row>
    <row r="33" spans="1:21" ht="19.5" customHeight="1">
      <c r="A33" s="383" t="s">
        <v>795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>
        <v>23363</v>
      </c>
      <c r="O33" s="389">
        <v>25993</v>
      </c>
      <c r="P33" s="389"/>
      <c r="Q33" s="867"/>
      <c r="R33" s="867"/>
      <c r="S33" s="382">
        <f t="shared" si="1"/>
        <v>0</v>
      </c>
      <c r="T33" s="381">
        <f t="shared" si="2"/>
        <v>23363</v>
      </c>
      <c r="U33" s="924">
        <f t="shared" si="2"/>
        <v>25993</v>
      </c>
    </row>
    <row r="34" spans="1:21" ht="19.5" customHeight="1">
      <c r="A34" s="383" t="s">
        <v>567</v>
      </c>
      <c r="B34" s="389">
        <v>3800</v>
      </c>
      <c r="C34" s="389">
        <v>11496</v>
      </c>
      <c r="D34" s="389">
        <v>11496</v>
      </c>
      <c r="E34" s="389"/>
      <c r="F34" s="389"/>
      <c r="G34" s="389"/>
      <c r="H34" s="389">
        <v>8431</v>
      </c>
      <c r="I34" s="389"/>
      <c r="J34" s="389"/>
      <c r="K34" s="389"/>
      <c r="L34" s="389"/>
      <c r="M34" s="389">
        <v>9880</v>
      </c>
      <c r="N34" s="389">
        <v>1640</v>
      </c>
      <c r="O34" s="389">
        <v>1721</v>
      </c>
      <c r="P34" s="389">
        <v>500</v>
      </c>
      <c r="Q34" s="867">
        <v>3743</v>
      </c>
      <c r="R34" s="867"/>
      <c r="S34" s="382">
        <f t="shared" si="1"/>
        <v>22611</v>
      </c>
      <c r="T34" s="381">
        <f t="shared" si="2"/>
        <v>16879</v>
      </c>
      <c r="U34" s="924">
        <f t="shared" si="2"/>
        <v>13217</v>
      </c>
    </row>
    <row r="35" spans="1:21" ht="19.5" customHeight="1">
      <c r="A35" s="398" t="s">
        <v>568</v>
      </c>
      <c r="B35" s="392">
        <f aca="true" t="shared" si="7" ref="B35:P35">SUM(B36:B41)</f>
        <v>450279</v>
      </c>
      <c r="C35" s="392">
        <f>SUM(C36:C42)</f>
        <v>489276</v>
      </c>
      <c r="D35" s="392">
        <f>SUM(D36:D42)</f>
        <v>88526</v>
      </c>
      <c r="E35" s="392">
        <f t="shared" si="7"/>
        <v>0</v>
      </c>
      <c r="F35" s="392">
        <f>SUM(F36:F41)</f>
        <v>0</v>
      </c>
      <c r="G35" s="392">
        <f t="shared" si="7"/>
        <v>0</v>
      </c>
      <c r="H35" s="392">
        <f t="shared" si="7"/>
        <v>0</v>
      </c>
      <c r="I35" s="392">
        <f>SUM(I36:I41)</f>
        <v>0</v>
      </c>
      <c r="J35" s="392">
        <f t="shared" si="7"/>
        <v>0</v>
      </c>
      <c r="K35" s="392">
        <f>SUM(K36:K41)</f>
        <v>0</v>
      </c>
      <c r="L35" s="392">
        <f t="shared" si="7"/>
        <v>0</v>
      </c>
      <c r="M35" s="392">
        <f t="shared" si="7"/>
        <v>0</v>
      </c>
      <c r="N35" s="392">
        <f>SUM(N36:N41)</f>
        <v>0</v>
      </c>
      <c r="O35" s="392">
        <f t="shared" si="7"/>
        <v>0</v>
      </c>
      <c r="P35" s="392">
        <f t="shared" si="7"/>
        <v>0</v>
      </c>
      <c r="Q35" s="392">
        <f>SUM(Q36:Q41)</f>
        <v>0</v>
      </c>
      <c r="R35" s="392">
        <f>SUM(R36:R41)</f>
        <v>0</v>
      </c>
      <c r="S35" s="374">
        <f>SUM(S36:S42)</f>
        <v>450279</v>
      </c>
      <c r="T35" s="374">
        <f>SUM(T36:T42)</f>
        <v>489276</v>
      </c>
      <c r="U35" s="481">
        <f>SUM(U36:U42)</f>
        <v>88526</v>
      </c>
    </row>
    <row r="36" spans="1:21" ht="19.5" customHeight="1">
      <c r="A36" s="383" t="s">
        <v>569</v>
      </c>
      <c r="B36" s="389">
        <v>250</v>
      </c>
      <c r="C36" s="389">
        <v>4935</v>
      </c>
      <c r="D36" s="389">
        <v>4685</v>
      </c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867"/>
      <c r="R36" s="867"/>
      <c r="S36" s="382">
        <f t="shared" si="1"/>
        <v>250</v>
      </c>
      <c r="T36" s="381">
        <f t="shared" si="2"/>
        <v>4935</v>
      </c>
      <c r="U36" s="924">
        <f t="shared" si="2"/>
        <v>4685</v>
      </c>
    </row>
    <row r="37" spans="1:21" ht="19.5" customHeight="1">
      <c r="A37" s="383" t="s">
        <v>570</v>
      </c>
      <c r="B37" s="389">
        <v>277977</v>
      </c>
      <c r="C37" s="389">
        <v>277977</v>
      </c>
      <c r="D37" s="389">
        <v>4977</v>
      </c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867"/>
      <c r="R37" s="867"/>
      <c r="S37" s="382">
        <f t="shared" si="1"/>
        <v>277977</v>
      </c>
      <c r="T37" s="381">
        <f t="shared" si="2"/>
        <v>277977</v>
      </c>
      <c r="U37" s="924">
        <f t="shared" si="2"/>
        <v>4977</v>
      </c>
    </row>
    <row r="38" spans="1:21" ht="19.5" customHeight="1">
      <c r="A38" s="383" t="s">
        <v>571</v>
      </c>
      <c r="B38" s="389">
        <v>162972</v>
      </c>
      <c r="C38" s="389">
        <v>162972</v>
      </c>
      <c r="D38" s="389">
        <v>42472</v>
      </c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867"/>
      <c r="R38" s="867"/>
      <c r="S38" s="382">
        <f t="shared" si="1"/>
        <v>162972</v>
      </c>
      <c r="T38" s="381">
        <f t="shared" si="2"/>
        <v>162972</v>
      </c>
      <c r="U38" s="924">
        <f t="shared" si="2"/>
        <v>42472</v>
      </c>
    </row>
    <row r="39" spans="1:21" ht="19.5" customHeight="1">
      <c r="A39" s="383" t="s">
        <v>572</v>
      </c>
      <c r="B39" s="389">
        <v>7080</v>
      </c>
      <c r="C39" s="389">
        <v>13080</v>
      </c>
      <c r="D39" s="389">
        <v>13080</v>
      </c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867"/>
      <c r="R39" s="867"/>
      <c r="S39" s="382">
        <f t="shared" si="1"/>
        <v>7080</v>
      </c>
      <c r="T39" s="381">
        <f t="shared" si="2"/>
        <v>13080</v>
      </c>
      <c r="U39" s="924">
        <f t="shared" si="2"/>
        <v>13080</v>
      </c>
    </row>
    <row r="40" spans="1:21" ht="19.5" customHeight="1">
      <c r="A40" s="383" t="s">
        <v>573</v>
      </c>
      <c r="B40" s="389">
        <v>2000</v>
      </c>
      <c r="C40" s="389">
        <v>29600</v>
      </c>
      <c r="D40" s="389">
        <v>21600</v>
      </c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867"/>
      <c r="R40" s="867"/>
      <c r="S40" s="382">
        <f t="shared" si="1"/>
        <v>2000</v>
      </c>
      <c r="T40" s="381">
        <f t="shared" si="2"/>
        <v>29600</v>
      </c>
      <c r="U40" s="924">
        <f t="shared" si="2"/>
        <v>21600</v>
      </c>
    </row>
    <row r="41" spans="1:21" ht="19.5" customHeight="1">
      <c r="A41" s="399" t="s">
        <v>574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867"/>
      <c r="R41" s="867"/>
      <c r="S41" s="382">
        <f t="shared" si="1"/>
        <v>0</v>
      </c>
      <c r="T41" s="381">
        <f t="shared" si="2"/>
        <v>0</v>
      </c>
      <c r="U41" s="924">
        <f t="shared" si="2"/>
        <v>0</v>
      </c>
    </row>
    <row r="42" spans="1:21" ht="19.5" customHeight="1">
      <c r="A42" s="399" t="s">
        <v>115</v>
      </c>
      <c r="B42" s="389"/>
      <c r="C42" s="389">
        <v>712</v>
      </c>
      <c r="D42" s="389">
        <v>1712</v>
      </c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867"/>
      <c r="R42" s="867"/>
      <c r="S42" s="382">
        <f t="shared" si="1"/>
        <v>0</v>
      </c>
      <c r="T42" s="381">
        <f t="shared" si="2"/>
        <v>712</v>
      </c>
      <c r="U42" s="924">
        <f t="shared" si="2"/>
        <v>1712</v>
      </c>
    </row>
    <row r="43" spans="1:21" s="394" customFormat="1" ht="19.5" customHeight="1">
      <c r="A43" s="398" t="s">
        <v>575</v>
      </c>
      <c r="B43" s="392">
        <f aca="true" t="shared" si="8" ref="B43:P43">SUM(B45,B44)</f>
        <v>3256122</v>
      </c>
      <c r="C43" s="392">
        <f>SUM(C45,C44)</f>
        <v>1990389</v>
      </c>
      <c r="D43" s="392">
        <f t="shared" si="8"/>
        <v>461169</v>
      </c>
      <c r="E43" s="392">
        <f t="shared" si="8"/>
        <v>0</v>
      </c>
      <c r="F43" s="392">
        <f>SUM(F45,F44)</f>
        <v>0</v>
      </c>
      <c r="G43" s="392">
        <f t="shared" si="8"/>
        <v>0</v>
      </c>
      <c r="H43" s="392">
        <f t="shared" si="8"/>
        <v>0</v>
      </c>
      <c r="I43" s="392">
        <f>SUM(I45,I44)</f>
        <v>0</v>
      </c>
      <c r="J43" s="392">
        <f t="shared" si="8"/>
        <v>0</v>
      </c>
      <c r="K43" s="392">
        <f>SUM(K45,K44)</f>
        <v>0</v>
      </c>
      <c r="L43" s="392">
        <f t="shared" si="8"/>
        <v>0</v>
      </c>
      <c r="M43" s="392">
        <f t="shared" si="8"/>
        <v>0</v>
      </c>
      <c r="N43" s="392">
        <f>SUM(N45,N44)</f>
        <v>285</v>
      </c>
      <c r="O43" s="392">
        <f t="shared" si="8"/>
        <v>285</v>
      </c>
      <c r="P43" s="392">
        <f t="shared" si="8"/>
        <v>0</v>
      </c>
      <c r="Q43" s="392">
        <f>SUM(Q45,Q44)</f>
        <v>0</v>
      </c>
      <c r="R43" s="392">
        <f>SUM(R45,R44)</f>
        <v>0</v>
      </c>
      <c r="S43" s="374">
        <f>SUM(S44:S45)</f>
        <v>3256122</v>
      </c>
      <c r="T43" s="374">
        <f>SUM(T44:T45)</f>
        <v>1990674</v>
      </c>
      <c r="U43" s="481">
        <f>SUM(U44:U45)</f>
        <v>461454</v>
      </c>
    </row>
    <row r="44" spans="1:21" ht="19.5" customHeight="1">
      <c r="A44" s="399" t="s">
        <v>576</v>
      </c>
      <c r="B44" s="389">
        <v>0</v>
      </c>
      <c r="C44" s="389">
        <v>1099</v>
      </c>
      <c r="D44" s="389">
        <v>3599</v>
      </c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867"/>
      <c r="R44" s="867"/>
      <c r="S44" s="382">
        <f t="shared" si="1"/>
        <v>0</v>
      </c>
      <c r="T44" s="381">
        <f t="shared" si="2"/>
        <v>1099</v>
      </c>
      <c r="U44" s="924">
        <f t="shared" si="2"/>
        <v>3599</v>
      </c>
    </row>
    <row r="45" spans="1:21" ht="19.5" customHeight="1">
      <c r="A45" s="399" t="s">
        <v>577</v>
      </c>
      <c r="B45" s="389">
        <f aca="true" t="shared" si="9" ref="B45:P45">SUM(B46:B48)</f>
        <v>3256122</v>
      </c>
      <c r="C45" s="389">
        <f>SUM(C46:C48)</f>
        <v>1989290</v>
      </c>
      <c r="D45" s="389">
        <f>SUM(D46:D48)</f>
        <v>457570</v>
      </c>
      <c r="E45" s="389">
        <f t="shared" si="9"/>
        <v>0</v>
      </c>
      <c r="F45" s="389">
        <f>SUM(F46:F48)</f>
        <v>0</v>
      </c>
      <c r="G45" s="389">
        <f t="shared" si="9"/>
        <v>0</v>
      </c>
      <c r="H45" s="389">
        <f t="shared" si="9"/>
        <v>0</v>
      </c>
      <c r="I45" s="389">
        <f>SUM(I46:I48)</f>
        <v>0</v>
      </c>
      <c r="J45" s="389">
        <f t="shared" si="9"/>
        <v>0</v>
      </c>
      <c r="K45" s="389">
        <f>SUM(K46:K48)</f>
        <v>0</v>
      </c>
      <c r="L45" s="389">
        <f t="shared" si="9"/>
        <v>0</v>
      </c>
      <c r="M45" s="389">
        <f t="shared" si="9"/>
        <v>0</v>
      </c>
      <c r="N45" s="389">
        <f>SUM(N46:N48)</f>
        <v>285</v>
      </c>
      <c r="O45" s="389">
        <f t="shared" si="9"/>
        <v>285</v>
      </c>
      <c r="P45" s="389">
        <f t="shared" si="9"/>
        <v>0</v>
      </c>
      <c r="Q45" s="560">
        <v>0</v>
      </c>
      <c r="R45" s="560">
        <v>0</v>
      </c>
      <c r="S45" s="382">
        <f>SUM(S46:S48)</f>
        <v>3256122</v>
      </c>
      <c r="T45" s="382">
        <f>SUM(T46:T48)</f>
        <v>1989575</v>
      </c>
      <c r="U45" s="929">
        <f>SUM(U46:U48)</f>
        <v>457855</v>
      </c>
    </row>
    <row r="46" spans="1:21" s="386" customFormat="1" ht="19.5" customHeight="1">
      <c r="A46" s="400" t="s">
        <v>578</v>
      </c>
      <c r="B46" s="401">
        <v>1537265</v>
      </c>
      <c r="C46" s="401">
        <v>1984240</v>
      </c>
      <c r="D46" s="401">
        <v>452520</v>
      </c>
      <c r="E46" s="401"/>
      <c r="F46" s="401"/>
      <c r="G46" s="401"/>
      <c r="H46" s="401"/>
      <c r="I46" s="401"/>
      <c r="J46" s="401"/>
      <c r="K46" s="401"/>
      <c r="L46" s="401"/>
      <c r="M46" s="401"/>
      <c r="N46" s="401">
        <v>285</v>
      </c>
      <c r="O46" s="401">
        <v>285</v>
      </c>
      <c r="P46" s="401"/>
      <c r="Q46" s="870"/>
      <c r="R46" s="870"/>
      <c r="S46" s="382">
        <f t="shared" si="1"/>
        <v>1537265</v>
      </c>
      <c r="T46" s="381">
        <f t="shared" si="2"/>
        <v>1984525</v>
      </c>
      <c r="U46" s="924">
        <f t="shared" si="2"/>
        <v>452805</v>
      </c>
    </row>
    <row r="47" spans="1:21" s="386" customFormat="1" ht="31.5">
      <c r="A47" s="402" t="s">
        <v>579</v>
      </c>
      <c r="B47" s="401">
        <f>1591726+127081</f>
        <v>1718807</v>
      </c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870"/>
      <c r="R47" s="870"/>
      <c r="S47" s="382">
        <f t="shared" si="1"/>
        <v>1718807</v>
      </c>
      <c r="T47" s="381">
        <f t="shared" si="2"/>
        <v>0</v>
      </c>
      <c r="U47" s="924">
        <f t="shared" si="2"/>
        <v>0</v>
      </c>
    </row>
    <row r="48" spans="1:21" s="386" customFormat="1" ht="19.5" customHeight="1">
      <c r="A48" s="400" t="s">
        <v>580</v>
      </c>
      <c r="B48" s="401">
        <v>50</v>
      </c>
      <c r="C48" s="401">
        <v>5050</v>
      </c>
      <c r="D48" s="401">
        <v>5050</v>
      </c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870"/>
      <c r="R48" s="870"/>
      <c r="S48" s="382">
        <f t="shared" si="1"/>
        <v>50</v>
      </c>
      <c r="T48" s="381">
        <f t="shared" si="2"/>
        <v>5050</v>
      </c>
      <c r="U48" s="924">
        <f t="shared" si="2"/>
        <v>5050</v>
      </c>
    </row>
    <row r="49" spans="1:21" s="394" customFormat="1" ht="19.5" customHeight="1">
      <c r="A49" s="398" t="s">
        <v>581</v>
      </c>
      <c r="B49" s="392">
        <v>107757</v>
      </c>
      <c r="C49" s="392">
        <v>171697</v>
      </c>
      <c r="D49" s="392">
        <v>26239</v>
      </c>
      <c r="E49" s="392">
        <v>0</v>
      </c>
      <c r="F49" s="392"/>
      <c r="G49" s="392"/>
      <c r="H49" s="392">
        <v>1692</v>
      </c>
      <c r="I49" s="392">
        <v>209</v>
      </c>
      <c r="J49" s="392">
        <v>209</v>
      </c>
      <c r="K49" s="392">
        <v>1483</v>
      </c>
      <c r="L49" s="392">
        <v>1483</v>
      </c>
      <c r="M49" s="392">
        <v>0</v>
      </c>
      <c r="N49" s="392"/>
      <c r="O49" s="392"/>
      <c r="P49" s="392">
        <v>0</v>
      </c>
      <c r="Q49" s="871"/>
      <c r="R49" s="871"/>
      <c r="S49" s="374">
        <f t="shared" si="1"/>
        <v>109449</v>
      </c>
      <c r="T49" s="403">
        <f t="shared" si="2"/>
        <v>173389</v>
      </c>
      <c r="U49" s="481">
        <f t="shared" si="2"/>
        <v>27931</v>
      </c>
    </row>
    <row r="50" spans="1:21" s="406" customFormat="1" ht="30.75" customHeight="1">
      <c r="A50" s="404" t="s">
        <v>582</v>
      </c>
      <c r="B50" s="405"/>
      <c r="C50" s="405"/>
      <c r="D50" s="405"/>
      <c r="E50" s="405">
        <v>14726</v>
      </c>
      <c r="F50" s="405">
        <v>15714</v>
      </c>
      <c r="G50" s="405">
        <v>15714</v>
      </c>
      <c r="H50" s="405">
        <v>578880</v>
      </c>
      <c r="I50" s="405">
        <v>112951</v>
      </c>
      <c r="J50" s="405">
        <v>112951</v>
      </c>
      <c r="K50" s="405">
        <v>504331</v>
      </c>
      <c r="L50" s="405">
        <v>512506</v>
      </c>
      <c r="M50" s="405">
        <v>779538</v>
      </c>
      <c r="N50" s="405">
        <v>757958</v>
      </c>
      <c r="O50" s="405">
        <v>758153</v>
      </c>
      <c r="P50" s="405">
        <v>134516</v>
      </c>
      <c r="Q50" s="872">
        <v>136421</v>
      </c>
      <c r="R50" s="872">
        <v>138951</v>
      </c>
      <c r="S50" s="374">
        <f t="shared" si="1"/>
        <v>1507660</v>
      </c>
      <c r="T50" s="403">
        <f t="shared" si="2"/>
        <v>1527375</v>
      </c>
      <c r="U50" s="481">
        <f t="shared" si="2"/>
        <v>1538275</v>
      </c>
    </row>
    <row r="51" spans="1:21" ht="19.5" customHeight="1">
      <c r="A51" s="398" t="s">
        <v>583</v>
      </c>
      <c r="B51" s="392">
        <v>501869</v>
      </c>
      <c r="C51" s="392">
        <v>778737</v>
      </c>
      <c r="D51" s="392">
        <v>778737</v>
      </c>
      <c r="E51" s="392">
        <v>0</v>
      </c>
      <c r="F51" s="392">
        <v>2000</v>
      </c>
      <c r="G51" s="392">
        <v>2000</v>
      </c>
      <c r="H51" s="392">
        <v>0</v>
      </c>
      <c r="I51" s="392">
        <v>16949</v>
      </c>
      <c r="J51" s="392">
        <v>16949</v>
      </c>
      <c r="K51" s="392"/>
      <c r="L51" s="392"/>
      <c r="M51" s="392">
        <v>0</v>
      </c>
      <c r="N51" s="392">
        <v>27601</v>
      </c>
      <c r="O51" s="392">
        <v>27601</v>
      </c>
      <c r="P51" s="392">
        <v>0</v>
      </c>
      <c r="Q51" s="871"/>
      <c r="R51" s="871"/>
      <c r="S51" s="374">
        <f t="shared" si="1"/>
        <v>501869</v>
      </c>
      <c r="T51" s="403">
        <f t="shared" si="2"/>
        <v>825287</v>
      </c>
      <c r="U51" s="481">
        <f t="shared" si="2"/>
        <v>825287</v>
      </c>
    </row>
    <row r="52" spans="1:21" ht="19.5" customHeight="1">
      <c r="A52" s="398" t="s">
        <v>584</v>
      </c>
      <c r="B52" s="392">
        <v>714718</v>
      </c>
      <c r="C52" s="392">
        <v>674899</v>
      </c>
      <c r="D52" s="392">
        <v>0</v>
      </c>
      <c r="E52" s="392"/>
      <c r="F52" s="392"/>
      <c r="G52" s="392"/>
      <c r="H52" s="392"/>
      <c r="I52" s="392"/>
      <c r="J52" s="392"/>
      <c r="K52" s="392"/>
      <c r="L52" s="392"/>
      <c r="M52" s="392">
        <v>0</v>
      </c>
      <c r="N52" s="392"/>
      <c r="O52" s="392"/>
      <c r="P52" s="392">
        <v>0</v>
      </c>
      <c r="Q52" s="871"/>
      <c r="R52" s="871"/>
      <c r="S52" s="374">
        <f t="shared" si="1"/>
        <v>714718</v>
      </c>
      <c r="T52" s="403">
        <f t="shared" si="2"/>
        <v>674899</v>
      </c>
      <c r="U52" s="481">
        <f t="shared" si="2"/>
        <v>0</v>
      </c>
    </row>
    <row r="53" spans="1:21" ht="19.5" customHeight="1">
      <c r="A53" s="489" t="s">
        <v>425</v>
      </c>
      <c r="B53" s="490"/>
      <c r="C53" s="490">
        <v>102</v>
      </c>
      <c r="D53" s="490">
        <v>102</v>
      </c>
      <c r="E53" s="490"/>
      <c r="F53" s="490"/>
      <c r="G53" s="490"/>
      <c r="H53" s="490"/>
      <c r="I53" s="490"/>
      <c r="J53" s="490"/>
      <c r="K53" s="490"/>
      <c r="L53" s="490"/>
      <c r="M53" s="490"/>
      <c r="N53" s="490">
        <v>17676</v>
      </c>
      <c r="O53" s="490">
        <v>17676</v>
      </c>
      <c r="P53" s="490"/>
      <c r="Q53" s="873">
        <v>29686</v>
      </c>
      <c r="R53" s="873">
        <v>29686</v>
      </c>
      <c r="S53" s="491"/>
      <c r="T53" s="492">
        <f>C53+N53+Q53</f>
        <v>47464</v>
      </c>
      <c r="U53" s="481">
        <f t="shared" si="2"/>
        <v>47464</v>
      </c>
    </row>
    <row r="54" spans="1:21" ht="19.5" customHeight="1" thickBot="1">
      <c r="A54" s="407" t="s">
        <v>585</v>
      </c>
      <c r="B54" s="408">
        <f aca="true" t="shared" si="10" ref="B54:M54">SUM(B6,B27,B31,B35,B43,B49,B51,B52,B50)</f>
        <v>7814353</v>
      </c>
      <c r="C54" s="408">
        <f>SUM(C6,C27,C31,C35,C43,C49,C51,C52,C50+C53)</f>
        <v>7256394</v>
      </c>
      <c r="D54" s="408">
        <f>SUM(D6,D27,D31,D35,D43,D49,D51,D52,D50+D53)</f>
        <v>4515483</v>
      </c>
      <c r="E54" s="408">
        <f t="shared" si="10"/>
        <v>16726</v>
      </c>
      <c r="F54" s="408">
        <f>SUM(F6,F27,F31,F35,F43,F49,F51,F52,F50)</f>
        <v>19714</v>
      </c>
      <c r="G54" s="408">
        <f t="shared" si="10"/>
        <v>19586</v>
      </c>
      <c r="H54" s="408">
        <f t="shared" si="10"/>
        <v>596726</v>
      </c>
      <c r="I54" s="408">
        <f>SUM(I6,I27,I31,I35,I43,I49,I51,I52,I50)</f>
        <v>130598</v>
      </c>
      <c r="J54" s="408">
        <f t="shared" si="10"/>
        <v>130598</v>
      </c>
      <c r="K54" s="408">
        <f>SUM(K6,K27,K31,K35,K43,K49,K51,K52,K50)</f>
        <v>564362</v>
      </c>
      <c r="L54" s="408">
        <f t="shared" si="10"/>
        <v>572695</v>
      </c>
      <c r="M54" s="408">
        <f t="shared" si="10"/>
        <v>967789</v>
      </c>
      <c r="N54" s="408">
        <f>SUM(N6,N27,N31,N35,N43,N49,N51,N52,N50,N53)</f>
        <v>1035687</v>
      </c>
      <c r="O54" s="408">
        <f>SUM(O6,O27,O31,O35,O43,O49,O51,O52,O50,O53)</f>
        <v>1060857</v>
      </c>
      <c r="P54" s="408">
        <f>SUM(P6,P27,P31,P35,P43,P49,P51,P52,P50,P53)</f>
        <v>150482</v>
      </c>
      <c r="Q54" s="408">
        <f>SUM(Q6,Q27,Q31,Q35,Q43,Q49,Q51,Q52,Q50,Q53)</f>
        <v>199323</v>
      </c>
      <c r="R54" s="408">
        <f>SUM(R6,R27,R31,R35,R43,R49,R51,R52,R50,R53)</f>
        <v>203429</v>
      </c>
      <c r="S54" s="408">
        <f>SUM(S6+S27+S31+S35+S43+S49+S50+S51+S52+S53)</f>
        <v>9546076</v>
      </c>
      <c r="T54" s="408">
        <f>SUM(T6+T27+T31+T35+T43+T49+T50+T51+T52+T53)</f>
        <v>9206078</v>
      </c>
      <c r="U54" s="486">
        <f>SUM(U6+U27+U31+U35+U43+U49+U50+U51+U52+U53)</f>
        <v>6502648</v>
      </c>
    </row>
    <row r="55" spans="1:19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ht="15">
      <c r="A56" s="1411" t="s">
        <v>221</v>
      </c>
    </row>
    <row r="57" ht="15">
      <c r="A57" s="8" t="s">
        <v>222</v>
      </c>
    </row>
    <row r="58" ht="15">
      <c r="A58" s="8" t="s">
        <v>223</v>
      </c>
    </row>
    <row r="59" ht="15">
      <c r="A59" s="8" t="s">
        <v>224</v>
      </c>
    </row>
    <row r="60" ht="15">
      <c r="A60" s="8" t="s">
        <v>225</v>
      </c>
    </row>
  </sheetData>
  <sheetProtection/>
  <mergeCells count="8">
    <mergeCell ref="B4:D4"/>
    <mergeCell ref="E4:G4"/>
    <mergeCell ref="H4:J4"/>
    <mergeCell ref="A2:U2"/>
    <mergeCell ref="K4:L4"/>
    <mergeCell ref="M4:O4"/>
    <mergeCell ref="P4:R4"/>
    <mergeCell ref="S4:U4"/>
  </mergeCells>
  <printOptions horizontalCentered="1"/>
  <pageMargins left="0.07874015748031496" right="0.07874015748031496" top="0.7480314960629921" bottom="0.23" header="0.5118110236220472" footer="0.15748031496062992"/>
  <pageSetup horizontalDpi="600" verticalDpi="600" orientation="landscape" paperSize="9" scale="43" r:id="rId1"/>
  <headerFooter alignWithMargins="0">
    <oddHeader>&amp;L&amp;11 3. melléklet a 2/2014.(II.27.) önkormányzati rendelethez
"3. melléklet az 1/2013.(II.01.)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3"/>
  <sheetViews>
    <sheetView view="pageBreakPreview" zoomScaleSheetLayoutView="100" workbookViewId="0" topLeftCell="C32">
      <selection activeCell="C46" sqref="C46"/>
    </sheetView>
  </sheetViews>
  <sheetFormatPr defaultColWidth="9.00390625" defaultRowHeight="25.5" customHeight="1"/>
  <cols>
    <col min="1" max="1" width="0.12890625" style="11" hidden="1" customWidth="1"/>
    <col min="2" max="2" width="0" style="11" hidden="1" customWidth="1"/>
    <col min="3" max="3" width="61.875" style="11" customWidth="1"/>
    <col min="4" max="4" width="11.875" style="11" customWidth="1"/>
    <col min="5" max="5" width="14.25390625" style="11" customWidth="1"/>
    <col min="6" max="6" width="13.625" style="11" customWidth="1"/>
    <col min="7" max="7" width="10.875" style="11" customWidth="1"/>
    <col min="8" max="8" width="14.625" style="11" customWidth="1"/>
    <col min="9" max="9" width="13.25390625" style="11" customWidth="1"/>
    <col min="10" max="10" width="10.875" style="11" customWidth="1"/>
    <col min="11" max="11" width="14.625" style="11" customWidth="1"/>
    <col min="12" max="12" width="13.375" style="11" customWidth="1"/>
    <col min="13" max="13" width="14.75390625" style="11" customWidth="1"/>
    <col min="14" max="14" width="13.00390625" style="11" customWidth="1"/>
    <col min="15" max="15" width="11.00390625" style="11" customWidth="1"/>
    <col min="16" max="16" width="14.625" style="11" customWidth="1"/>
    <col min="17" max="17" width="13.375" style="11" customWidth="1"/>
    <col min="18" max="18" width="11.75390625" style="11" customWidth="1"/>
    <col min="19" max="19" width="14.75390625" style="11" customWidth="1"/>
    <col min="20" max="20" width="13.875" style="11" customWidth="1"/>
    <col min="21" max="21" width="12.00390625" style="11" customWidth="1"/>
    <col min="22" max="22" width="14.375" style="11" customWidth="1"/>
    <col min="23" max="23" width="13.00390625" style="11" customWidth="1"/>
    <col min="24" max="16384" width="9.125" style="11" customWidth="1"/>
  </cols>
  <sheetData>
    <row r="1" spans="3:23" s="10" customFormat="1" ht="18" customHeight="1">
      <c r="C1" s="1216" t="s">
        <v>586</v>
      </c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  <c r="Q1" s="1216"/>
      <c r="R1" s="1216"/>
      <c r="S1" s="1216"/>
      <c r="T1" s="1216"/>
      <c r="U1" s="1216"/>
      <c r="V1" s="1216"/>
      <c r="W1" s="1216"/>
    </row>
    <row r="2" spans="3:21" s="10" customFormat="1" ht="18" customHeight="1">
      <c r="C2" s="1217" t="s">
        <v>587</v>
      </c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  <c r="T2" s="1217"/>
      <c r="U2" s="1218"/>
    </row>
    <row r="3" spans="3:20" s="10" customFormat="1" ht="18" customHeight="1" thickBot="1"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</row>
    <row r="4" spans="1:33" ht="63" customHeight="1">
      <c r="A4" s="410"/>
      <c r="B4" s="10"/>
      <c r="C4" s="411" t="s">
        <v>588</v>
      </c>
      <c r="D4" s="1247" t="s">
        <v>532</v>
      </c>
      <c r="E4" s="1248"/>
      <c r="F4" s="1222"/>
      <c r="G4" s="1219" t="s">
        <v>533</v>
      </c>
      <c r="H4" s="1219"/>
      <c r="I4" s="1219"/>
      <c r="J4" s="1248" t="s">
        <v>534</v>
      </c>
      <c r="K4" s="1248"/>
      <c r="L4" s="1222"/>
      <c r="M4" s="1247" t="s">
        <v>535</v>
      </c>
      <c r="N4" s="1222"/>
      <c r="O4" s="1247" t="s">
        <v>536</v>
      </c>
      <c r="P4" s="1248"/>
      <c r="Q4" s="1222"/>
      <c r="R4" s="1247" t="s">
        <v>589</v>
      </c>
      <c r="S4" s="1248"/>
      <c r="T4" s="1222"/>
      <c r="U4" s="1224" t="s">
        <v>538</v>
      </c>
      <c r="V4" s="1225"/>
      <c r="W4" s="1221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8.75" customHeight="1">
      <c r="A5" s="412"/>
      <c r="B5" s="413"/>
      <c r="C5" s="414"/>
      <c r="D5" s="415" t="s">
        <v>539</v>
      </c>
      <c r="E5" s="415" t="s">
        <v>915</v>
      </c>
      <c r="F5" s="415" t="s">
        <v>741</v>
      </c>
      <c r="G5" s="415" t="s">
        <v>539</v>
      </c>
      <c r="H5" s="415" t="s">
        <v>915</v>
      </c>
      <c r="I5" s="415" t="s">
        <v>741</v>
      </c>
      <c r="J5" s="416" t="s">
        <v>539</v>
      </c>
      <c r="K5" s="415" t="s">
        <v>915</v>
      </c>
      <c r="L5" s="415" t="s">
        <v>741</v>
      </c>
      <c r="M5" s="415" t="s">
        <v>915</v>
      </c>
      <c r="N5" s="415" t="s">
        <v>741</v>
      </c>
      <c r="O5" s="415" t="s">
        <v>539</v>
      </c>
      <c r="P5" s="415" t="s">
        <v>915</v>
      </c>
      <c r="Q5" s="415" t="s">
        <v>741</v>
      </c>
      <c r="R5" s="415" t="s">
        <v>539</v>
      </c>
      <c r="S5" s="415" t="s">
        <v>915</v>
      </c>
      <c r="T5" s="415" t="s">
        <v>741</v>
      </c>
      <c r="U5" s="417" t="s">
        <v>540</v>
      </c>
      <c r="V5" s="417" t="s">
        <v>915</v>
      </c>
      <c r="W5" s="826" t="s">
        <v>741</v>
      </c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364" customFormat="1" ht="19.5" customHeight="1">
      <c r="A6" s="418"/>
      <c r="B6" s="409"/>
      <c r="C6" s="51" t="s">
        <v>590</v>
      </c>
      <c r="D6" s="419">
        <v>88155</v>
      </c>
      <c r="E6" s="419">
        <v>108703</v>
      </c>
      <c r="F6" s="419">
        <v>112421</v>
      </c>
      <c r="G6" s="419">
        <v>10203</v>
      </c>
      <c r="H6" s="419">
        <v>12323</v>
      </c>
      <c r="I6" s="419">
        <v>12323</v>
      </c>
      <c r="J6" s="420">
        <v>283587</v>
      </c>
      <c r="K6" s="421">
        <v>66730</v>
      </c>
      <c r="L6" s="421">
        <v>66730</v>
      </c>
      <c r="M6" s="421">
        <v>266170</v>
      </c>
      <c r="N6" s="421">
        <v>265684</v>
      </c>
      <c r="O6" s="421">
        <v>384911</v>
      </c>
      <c r="P6" s="421">
        <v>385358</v>
      </c>
      <c r="Q6" s="421">
        <v>385550</v>
      </c>
      <c r="R6" s="421">
        <v>70787</v>
      </c>
      <c r="S6" s="874">
        <v>72875</v>
      </c>
      <c r="T6" s="874">
        <v>72898</v>
      </c>
      <c r="U6" s="393">
        <f aca="true" t="shared" si="0" ref="U6:U41">SUM(D6+G6+J6+O6+R6)</f>
        <v>837643</v>
      </c>
      <c r="V6" s="393">
        <f aca="true" t="shared" si="1" ref="V6:V41">SUM(E6+H6+K6+M6+P6+S6)</f>
        <v>912159</v>
      </c>
      <c r="W6" s="485">
        <f>SUM(F6+I6+L6+N6+Q6+T6)</f>
        <v>915606</v>
      </c>
      <c r="X6" s="409"/>
      <c r="Y6" s="409"/>
      <c r="Z6" s="409"/>
      <c r="AA6" s="409"/>
      <c r="AB6" s="409"/>
      <c r="AC6" s="409"/>
      <c r="AD6" s="409"/>
      <c r="AE6" s="409"/>
      <c r="AF6" s="409"/>
      <c r="AG6" s="409"/>
    </row>
    <row r="7" spans="1:33" s="364" customFormat="1" ht="19.5" customHeight="1">
      <c r="A7" s="418"/>
      <c r="B7" s="409"/>
      <c r="C7" s="51" t="s">
        <v>591</v>
      </c>
      <c r="D7" s="419">
        <v>28033</v>
      </c>
      <c r="E7" s="419">
        <v>32839</v>
      </c>
      <c r="F7" s="419">
        <v>36511</v>
      </c>
      <c r="G7" s="419">
        <v>2388</v>
      </c>
      <c r="H7" s="419">
        <v>2954</v>
      </c>
      <c r="I7" s="419">
        <v>3027</v>
      </c>
      <c r="J7" s="422">
        <v>72958</v>
      </c>
      <c r="K7" s="423">
        <v>17470</v>
      </c>
      <c r="L7" s="423">
        <v>17470</v>
      </c>
      <c r="M7" s="423">
        <v>66535</v>
      </c>
      <c r="N7" s="423">
        <v>66377</v>
      </c>
      <c r="O7" s="423">
        <v>100643</v>
      </c>
      <c r="P7" s="423">
        <v>100471</v>
      </c>
      <c r="Q7" s="423">
        <v>100523</v>
      </c>
      <c r="R7" s="423">
        <v>18942</v>
      </c>
      <c r="S7" s="875">
        <v>17326</v>
      </c>
      <c r="T7" s="875">
        <v>17333</v>
      </c>
      <c r="U7" s="393">
        <f t="shared" si="0"/>
        <v>222964</v>
      </c>
      <c r="V7" s="393">
        <f t="shared" si="1"/>
        <v>237595</v>
      </c>
      <c r="W7" s="485">
        <f aca="true" t="shared" si="2" ref="V7:W41">SUM(F7+I7+L7+N7+Q7+T7)</f>
        <v>241241</v>
      </c>
      <c r="X7" s="409"/>
      <c r="Y7" s="409"/>
      <c r="Z7" s="409"/>
      <c r="AA7" s="409"/>
      <c r="AB7" s="409"/>
      <c r="AC7" s="409"/>
      <c r="AD7" s="409"/>
      <c r="AE7" s="409"/>
      <c r="AF7" s="409"/>
      <c r="AG7" s="409"/>
    </row>
    <row r="8" spans="1:33" s="364" customFormat="1" ht="19.5" customHeight="1">
      <c r="A8" s="418"/>
      <c r="B8" s="409"/>
      <c r="C8" s="424" t="s">
        <v>592</v>
      </c>
      <c r="D8" s="425">
        <f>685648+5000</f>
        <v>690648</v>
      </c>
      <c r="E8" s="425">
        <v>792857</v>
      </c>
      <c r="F8" s="425">
        <v>787048</v>
      </c>
      <c r="G8" s="425">
        <v>4135</v>
      </c>
      <c r="H8" s="425">
        <v>4335</v>
      </c>
      <c r="I8" s="425">
        <v>3482</v>
      </c>
      <c r="J8" s="426">
        <v>129278</v>
      </c>
      <c r="K8" s="425">
        <v>21782</v>
      </c>
      <c r="L8" s="425">
        <v>21782</v>
      </c>
      <c r="M8" s="425">
        <v>122477</v>
      </c>
      <c r="N8" s="425">
        <v>120759</v>
      </c>
      <c r="O8" s="425">
        <v>468022</v>
      </c>
      <c r="P8" s="425">
        <v>517975</v>
      </c>
      <c r="Q8" s="425">
        <v>527708</v>
      </c>
      <c r="R8" s="419">
        <v>48195</v>
      </c>
      <c r="S8" s="875">
        <v>75305</v>
      </c>
      <c r="T8" s="875">
        <v>76881</v>
      </c>
      <c r="U8" s="393">
        <f t="shared" si="0"/>
        <v>1340278</v>
      </c>
      <c r="V8" s="393">
        <f t="shared" si="1"/>
        <v>1534731</v>
      </c>
      <c r="W8" s="485">
        <f t="shared" si="2"/>
        <v>1537660</v>
      </c>
      <c r="X8" s="409"/>
      <c r="Y8" s="409"/>
      <c r="Z8" s="409"/>
      <c r="AA8" s="409"/>
      <c r="AB8" s="409"/>
      <c r="AC8" s="409"/>
      <c r="AD8" s="409"/>
      <c r="AE8" s="409"/>
      <c r="AF8" s="409"/>
      <c r="AG8" s="409"/>
    </row>
    <row r="9" spans="1:33" s="364" customFormat="1" ht="19.5" customHeight="1">
      <c r="A9" s="418"/>
      <c r="B9" s="409"/>
      <c r="C9" s="427" t="s">
        <v>593</v>
      </c>
      <c r="D9" s="428">
        <v>52213</v>
      </c>
      <c r="E9" s="428">
        <v>33329</v>
      </c>
      <c r="F9" s="428">
        <v>33329</v>
      </c>
      <c r="G9" s="428"/>
      <c r="H9" s="428"/>
      <c r="I9" s="428"/>
      <c r="J9" s="429"/>
      <c r="K9" s="430"/>
      <c r="L9" s="430"/>
      <c r="M9" s="430"/>
      <c r="N9" s="430"/>
      <c r="O9" s="430"/>
      <c r="P9" s="430"/>
      <c r="Q9" s="430"/>
      <c r="R9" s="430"/>
      <c r="S9" s="876"/>
      <c r="T9" s="876"/>
      <c r="U9" s="390">
        <f t="shared" si="0"/>
        <v>52213</v>
      </c>
      <c r="V9" s="390">
        <f t="shared" si="1"/>
        <v>33329</v>
      </c>
      <c r="W9" s="781">
        <f t="shared" si="2"/>
        <v>33329</v>
      </c>
      <c r="X9" s="409"/>
      <c r="Y9" s="409"/>
      <c r="Z9" s="409"/>
      <c r="AA9" s="409"/>
      <c r="AB9" s="409"/>
      <c r="AC9" s="409"/>
      <c r="AD9" s="409"/>
      <c r="AE9" s="409"/>
      <c r="AF9" s="409"/>
      <c r="AG9" s="409"/>
    </row>
    <row r="10" spans="1:33" s="364" customFormat="1" ht="19.5" customHeight="1">
      <c r="A10" s="418"/>
      <c r="B10" s="409"/>
      <c r="C10" s="424" t="s">
        <v>594</v>
      </c>
      <c r="D10" s="425">
        <f aca="true" t="shared" si="3" ref="D10:R10">SUM(D11:D13)</f>
        <v>468242</v>
      </c>
      <c r="E10" s="425">
        <f>SUM(E11:E13)</f>
        <v>703927</v>
      </c>
      <c r="F10" s="425">
        <f>SUM(F11:F13)</f>
        <v>705904</v>
      </c>
      <c r="G10" s="425">
        <f t="shared" si="3"/>
        <v>0</v>
      </c>
      <c r="H10" s="425">
        <f t="shared" si="3"/>
        <v>0</v>
      </c>
      <c r="I10" s="425">
        <f t="shared" si="3"/>
        <v>652</v>
      </c>
      <c r="J10" s="426">
        <f t="shared" si="3"/>
        <v>108103</v>
      </c>
      <c r="K10" s="426">
        <f>SUM(K11:K13)</f>
        <v>23626</v>
      </c>
      <c r="L10" s="426">
        <f t="shared" si="3"/>
        <v>23626</v>
      </c>
      <c r="M10" s="426">
        <f>SUM(M11:M13)</f>
        <v>102370</v>
      </c>
      <c r="N10" s="426">
        <f t="shared" si="3"/>
        <v>112165</v>
      </c>
      <c r="O10" s="425">
        <f t="shared" si="3"/>
        <v>0</v>
      </c>
      <c r="P10" s="425">
        <f>SUM(P11:P13)</f>
        <v>766</v>
      </c>
      <c r="Q10" s="425">
        <f t="shared" si="3"/>
        <v>12463</v>
      </c>
      <c r="R10" s="425">
        <f t="shared" si="3"/>
        <v>0</v>
      </c>
      <c r="S10" s="877">
        <v>0</v>
      </c>
      <c r="T10" s="877">
        <v>0</v>
      </c>
      <c r="U10" s="393">
        <f t="shared" si="0"/>
        <v>576345</v>
      </c>
      <c r="V10" s="393">
        <f t="shared" si="1"/>
        <v>830689</v>
      </c>
      <c r="W10" s="485">
        <f t="shared" si="2"/>
        <v>854810</v>
      </c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</row>
    <row r="11" spans="1:33" ht="31.5" customHeight="1">
      <c r="A11" s="410"/>
      <c r="B11" s="10"/>
      <c r="C11" s="431" t="s">
        <v>595</v>
      </c>
      <c r="D11" s="428">
        <v>406892</v>
      </c>
      <c r="E11" s="428">
        <v>639571</v>
      </c>
      <c r="F11" s="428">
        <v>641548</v>
      </c>
      <c r="G11" s="428"/>
      <c r="H11" s="428"/>
      <c r="I11" s="428">
        <v>652</v>
      </c>
      <c r="J11" s="429">
        <v>13739</v>
      </c>
      <c r="K11" s="430">
        <v>5349</v>
      </c>
      <c r="L11" s="430">
        <v>5349</v>
      </c>
      <c r="M11" s="430">
        <v>7769</v>
      </c>
      <c r="N11" s="430">
        <v>7769</v>
      </c>
      <c r="O11" s="430"/>
      <c r="P11" s="430">
        <v>766</v>
      </c>
      <c r="Q11" s="430">
        <v>12463</v>
      </c>
      <c r="R11" s="430"/>
      <c r="S11" s="876"/>
      <c r="T11" s="876"/>
      <c r="U11" s="390">
        <f t="shared" si="0"/>
        <v>420631</v>
      </c>
      <c r="V11" s="390">
        <f t="shared" si="1"/>
        <v>653455</v>
      </c>
      <c r="W11" s="781">
        <f t="shared" si="2"/>
        <v>667781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364" customFormat="1" ht="19.5" customHeight="1">
      <c r="A12" s="418"/>
      <c r="B12" s="409"/>
      <c r="C12" s="432" t="s">
        <v>596</v>
      </c>
      <c r="D12" s="433">
        <v>61350</v>
      </c>
      <c r="E12" s="433">
        <v>64356</v>
      </c>
      <c r="F12" s="433">
        <v>64356</v>
      </c>
      <c r="G12" s="433"/>
      <c r="H12" s="433"/>
      <c r="I12" s="433"/>
      <c r="J12" s="434">
        <v>94364</v>
      </c>
      <c r="K12" s="435">
        <v>18277</v>
      </c>
      <c r="L12" s="435">
        <v>18277</v>
      </c>
      <c r="M12" s="435">
        <v>94601</v>
      </c>
      <c r="N12" s="435">
        <v>104396</v>
      </c>
      <c r="O12" s="435"/>
      <c r="P12" s="435"/>
      <c r="Q12" s="435"/>
      <c r="R12" s="435"/>
      <c r="S12" s="878"/>
      <c r="T12" s="878"/>
      <c r="U12" s="390">
        <f t="shared" si="0"/>
        <v>155714</v>
      </c>
      <c r="V12" s="390">
        <f t="shared" si="1"/>
        <v>177234</v>
      </c>
      <c r="W12" s="781">
        <f t="shared" si="2"/>
        <v>187029</v>
      </c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</row>
    <row r="13" spans="1:33" s="364" customFormat="1" ht="19.5" customHeight="1">
      <c r="A13" s="418"/>
      <c r="B13" s="409"/>
      <c r="C13" s="432" t="s">
        <v>597</v>
      </c>
      <c r="D13" s="433"/>
      <c r="E13" s="433"/>
      <c r="F13" s="433"/>
      <c r="G13" s="433"/>
      <c r="H13" s="433"/>
      <c r="I13" s="433"/>
      <c r="J13" s="434"/>
      <c r="K13" s="435"/>
      <c r="L13" s="435"/>
      <c r="M13" s="435"/>
      <c r="N13" s="435"/>
      <c r="O13" s="435"/>
      <c r="P13" s="435"/>
      <c r="Q13" s="435"/>
      <c r="R13" s="435"/>
      <c r="S13" s="878"/>
      <c r="T13" s="878"/>
      <c r="U13" s="397">
        <f t="shared" si="0"/>
        <v>0</v>
      </c>
      <c r="V13" s="390">
        <f t="shared" si="1"/>
        <v>0</v>
      </c>
      <c r="W13" s="781">
        <f t="shared" si="2"/>
        <v>0</v>
      </c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</row>
    <row r="14" spans="1:33" s="364" customFormat="1" ht="19.5" customHeight="1" thickBot="1">
      <c r="A14" s="436"/>
      <c r="B14" s="437"/>
      <c r="C14" s="51" t="s">
        <v>598</v>
      </c>
      <c r="D14" s="419">
        <v>2129489</v>
      </c>
      <c r="E14" s="419">
        <v>3291917</v>
      </c>
      <c r="F14" s="419">
        <v>709047</v>
      </c>
      <c r="G14" s="419"/>
      <c r="H14" s="419"/>
      <c r="I14" s="419"/>
      <c r="J14" s="422">
        <v>1000</v>
      </c>
      <c r="K14" s="423">
        <v>390</v>
      </c>
      <c r="L14" s="423">
        <v>390</v>
      </c>
      <c r="M14" s="423">
        <v>5610</v>
      </c>
      <c r="N14" s="423">
        <v>6510</v>
      </c>
      <c r="O14" s="423">
        <v>4813</v>
      </c>
      <c r="P14" s="423">
        <v>4041</v>
      </c>
      <c r="Q14" s="423">
        <v>5653</v>
      </c>
      <c r="R14" s="423">
        <v>1635</v>
      </c>
      <c r="S14" s="875">
        <v>22894</v>
      </c>
      <c r="T14" s="875">
        <v>22894</v>
      </c>
      <c r="U14" s="393">
        <f t="shared" si="0"/>
        <v>2136937</v>
      </c>
      <c r="V14" s="393">
        <f t="shared" si="1"/>
        <v>3324852</v>
      </c>
      <c r="W14" s="485">
        <f t="shared" si="2"/>
        <v>744494</v>
      </c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</row>
    <row r="15" spans="1:33" s="364" customFormat="1" ht="19.5" customHeight="1">
      <c r="A15" s="409"/>
      <c r="B15" s="409"/>
      <c r="C15" s="51" t="s">
        <v>599</v>
      </c>
      <c r="D15" s="419">
        <v>118226</v>
      </c>
      <c r="E15" s="419">
        <v>160203</v>
      </c>
      <c r="F15" s="419">
        <v>137173</v>
      </c>
      <c r="G15" s="419"/>
      <c r="H15" s="419"/>
      <c r="I15" s="419"/>
      <c r="J15" s="422"/>
      <c r="K15" s="423"/>
      <c r="L15" s="423"/>
      <c r="M15" s="423"/>
      <c r="N15" s="423"/>
      <c r="O15" s="423">
        <v>9400</v>
      </c>
      <c r="P15" s="423">
        <v>9400</v>
      </c>
      <c r="Q15" s="423">
        <v>11284</v>
      </c>
      <c r="R15" s="423">
        <v>10923</v>
      </c>
      <c r="S15" s="875">
        <v>10923</v>
      </c>
      <c r="T15" s="875">
        <v>13423</v>
      </c>
      <c r="U15" s="393">
        <f t="shared" si="0"/>
        <v>138549</v>
      </c>
      <c r="V15" s="393">
        <f t="shared" si="1"/>
        <v>180526</v>
      </c>
      <c r="W15" s="485">
        <f t="shared" si="2"/>
        <v>161880</v>
      </c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</row>
    <row r="16" spans="1:33" s="443" customFormat="1" ht="19.5" customHeight="1">
      <c r="A16" s="438"/>
      <c r="B16" s="438"/>
      <c r="C16" s="439" t="s">
        <v>600</v>
      </c>
      <c r="D16" s="440">
        <v>134081</v>
      </c>
      <c r="E16" s="440">
        <v>82931</v>
      </c>
      <c r="F16" s="440">
        <v>98431</v>
      </c>
      <c r="G16" s="440"/>
      <c r="H16" s="440"/>
      <c r="I16" s="440"/>
      <c r="J16" s="441"/>
      <c r="K16" s="442"/>
      <c r="L16" s="442"/>
      <c r="M16" s="442"/>
      <c r="N16" s="442"/>
      <c r="O16" s="442"/>
      <c r="P16" s="442"/>
      <c r="Q16" s="442"/>
      <c r="R16" s="442"/>
      <c r="S16" s="879"/>
      <c r="T16" s="879"/>
      <c r="U16" s="393">
        <f t="shared" si="0"/>
        <v>134081</v>
      </c>
      <c r="V16" s="393">
        <f t="shared" si="1"/>
        <v>82931</v>
      </c>
      <c r="W16" s="485">
        <f t="shared" si="2"/>
        <v>98431</v>
      </c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</row>
    <row r="17" spans="1:33" s="443" customFormat="1" ht="19.5" customHeight="1">
      <c r="A17" s="438"/>
      <c r="B17" s="438"/>
      <c r="C17" s="439" t="s">
        <v>601</v>
      </c>
      <c r="D17" s="440">
        <v>13000</v>
      </c>
      <c r="E17" s="440">
        <v>2645</v>
      </c>
      <c r="F17" s="440"/>
      <c r="G17" s="440"/>
      <c r="H17" s="440"/>
      <c r="I17" s="440"/>
      <c r="J17" s="441"/>
      <c r="K17" s="442"/>
      <c r="L17" s="442"/>
      <c r="M17" s="442"/>
      <c r="N17" s="442"/>
      <c r="O17" s="442"/>
      <c r="P17" s="442"/>
      <c r="Q17" s="442"/>
      <c r="R17" s="442"/>
      <c r="S17" s="879"/>
      <c r="T17" s="879"/>
      <c r="U17" s="393">
        <f t="shared" si="0"/>
        <v>13000</v>
      </c>
      <c r="V17" s="393">
        <f t="shared" si="1"/>
        <v>2645</v>
      </c>
      <c r="W17" s="485">
        <f t="shared" si="2"/>
        <v>0</v>
      </c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</row>
    <row r="18" spans="1:33" s="443" customFormat="1" ht="19.5" customHeight="1">
      <c r="A18" s="438"/>
      <c r="B18" s="438"/>
      <c r="C18" s="439" t="s">
        <v>602</v>
      </c>
      <c r="D18" s="440">
        <v>100000</v>
      </c>
      <c r="E18" s="440">
        <v>36999</v>
      </c>
      <c r="F18" s="440">
        <v>369</v>
      </c>
      <c r="G18" s="440"/>
      <c r="H18" s="440"/>
      <c r="I18" s="440"/>
      <c r="J18" s="441"/>
      <c r="K18" s="442"/>
      <c r="L18" s="442"/>
      <c r="M18" s="442"/>
      <c r="N18" s="442"/>
      <c r="O18" s="442"/>
      <c r="P18" s="442"/>
      <c r="Q18" s="442"/>
      <c r="R18" s="442"/>
      <c r="S18" s="879"/>
      <c r="T18" s="879"/>
      <c r="U18" s="393">
        <f t="shared" si="0"/>
        <v>100000</v>
      </c>
      <c r="V18" s="393">
        <f t="shared" si="1"/>
        <v>36999</v>
      </c>
      <c r="W18" s="485">
        <f t="shared" si="2"/>
        <v>369</v>
      </c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</row>
    <row r="19" spans="1:33" s="443" customFormat="1" ht="19.5" customHeight="1">
      <c r="A19" s="438"/>
      <c r="B19" s="438"/>
      <c r="C19" s="439" t="s">
        <v>603</v>
      </c>
      <c r="D19" s="440">
        <f>37632+9000</f>
        <v>46632</v>
      </c>
      <c r="E19" s="440">
        <v>58321</v>
      </c>
      <c r="F19" s="440">
        <v>3567</v>
      </c>
      <c r="G19" s="440"/>
      <c r="H19" s="440"/>
      <c r="I19" s="440"/>
      <c r="J19" s="441"/>
      <c r="K19" s="442"/>
      <c r="L19" s="442"/>
      <c r="M19" s="442"/>
      <c r="N19" s="442"/>
      <c r="O19" s="442"/>
      <c r="P19" s="442"/>
      <c r="Q19" s="442"/>
      <c r="R19" s="442"/>
      <c r="S19" s="879"/>
      <c r="T19" s="879"/>
      <c r="U19" s="393">
        <f t="shared" si="0"/>
        <v>46632</v>
      </c>
      <c r="V19" s="393">
        <f t="shared" si="1"/>
        <v>58321</v>
      </c>
      <c r="W19" s="485">
        <f t="shared" si="2"/>
        <v>3567</v>
      </c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</row>
    <row r="20" spans="1:33" s="443" customFormat="1" ht="19.5" customHeight="1">
      <c r="A20" s="438"/>
      <c r="B20" s="438"/>
      <c r="C20" s="444" t="s">
        <v>650</v>
      </c>
      <c r="D20" s="440">
        <v>50000</v>
      </c>
      <c r="E20" s="440">
        <v>13189</v>
      </c>
      <c r="F20" s="440">
        <v>13189</v>
      </c>
      <c r="G20" s="440"/>
      <c r="H20" s="440"/>
      <c r="I20" s="440"/>
      <c r="J20" s="441"/>
      <c r="K20" s="442"/>
      <c r="L20" s="442"/>
      <c r="M20" s="442"/>
      <c r="N20" s="442"/>
      <c r="O20" s="442"/>
      <c r="P20" s="442"/>
      <c r="Q20" s="442"/>
      <c r="R20" s="442"/>
      <c r="S20" s="879"/>
      <c r="T20" s="879"/>
      <c r="U20" s="393">
        <f t="shared" si="0"/>
        <v>50000</v>
      </c>
      <c r="V20" s="393">
        <f t="shared" si="1"/>
        <v>13189</v>
      </c>
      <c r="W20" s="485">
        <f t="shared" si="2"/>
        <v>13189</v>
      </c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</row>
    <row r="21" spans="1:33" s="443" customFormat="1" ht="19.5" customHeight="1">
      <c r="A21" s="438"/>
      <c r="B21" s="438"/>
      <c r="C21" s="444" t="s">
        <v>412</v>
      </c>
      <c r="D21" s="440"/>
      <c r="E21" s="440">
        <v>78118</v>
      </c>
      <c r="F21" s="440">
        <v>7178</v>
      </c>
      <c r="G21" s="440"/>
      <c r="H21" s="440"/>
      <c r="I21" s="440"/>
      <c r="J21" s="441"/>
      <c r="K21" s="442"/>
      <c r="L21" s="442"/>
      <c r="M21" s="442"/>
      <c r="N21" s="442"/>
      <c r="O21" s="442"/>
      <c r="P21" s="442"/>
      <c r="Q21" s="442"/>
      <c r="R21" s="442"/>
      <c r="S21" s="879"/>
      <c r="T21" s="879"/>
      <c r="U21" s="393">
        <f t="shared" si="0"/>
        <v>0</v>
      </c>
      <c r="V21" s="393">
        <f t="shared" si="1"/>
        <v>78118</v>
      </c>
      <c r="W21" s="485">
        <f t="shared" si="2"/>
        <v>7178</v>
      </c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</row>
    <row r="22" spans="1:33" s="443" customFormat="1" ht="19.5" customHeight="1">
      <c r="A22" s="438"/>
      <c r="B22" s="438"/>
      <c r="C22" s="439" t="s">
        <v>605</v>
      </c>
      <c r="D22" s="440">
        <f>SUM(D23:D25)</f>
        <v>2280302</v>
      </c>
      <c r="E22" s="440">
        <f>SUM(E23:E25)</f>
        <v>0</v>
      </c>
      <c r="F22" s="440">
        <f>SUM(F23:F25)</f>
        <v>0</v>
      </c>
      <c r="G22" s="440">
        <f>SUM(G23:G25)</f>
        <v>0</v>
      </c>
      <c r="H22" s="440">
        <f>SUM(H23:H25)</f>
        <v>0</v>
      </c>
      <c r="I22" s="440">
        <f aca="true" t="shared" si="4" ref="I22:R22">SUM(I23:I25)</f>
        <v>0</v>
      </c>
      <c r="J22" s="440">
        <f t="shared" si="4"/>
        <v>0</v>
      </c>
      <c r="K22" s="440">
        <f>SUM(K23:K25)</f>
        <v>0</v>
      </c>
      <c r="L22" s="440">
        <f t="shared" si="4"/>
        <v>0</v>
      </c>
      <c r="M22" s="440">
        <f>SUM(M23:M25)</f>
        <v>0</v>
      </c>
      <c r="N22" s="440">
        <f t="shared" si="4"/>
        <v>0</v>
      </c>
      <c r="O22" s="440">
        <f t="shared" si="4"/>
        <v>0</v>
      </c>
      <c r="P22" s="440">
        <f>SUM(P23:P25)</f>
        <v>0</v>
      </c>
      <c r="Q22" s="440">
        <f t="shared" si="4"/>
        <v>0</v>
      </c>
      <c r="R22" s="440">
        <f t="shared" si="4"/>
        <v>0</v>
      </c>
      <c r="S22" s="440">
        <f>SUM(S23:S25)</f>
        <v>0</v>
      </c>
      <c r="T22" s="440">
        <f>SUM(T23:T25)</f>
        <v>0</v>
      </c>
      <c r="U22" s="393">
        <f t="shared" si="0"/>
        <v>2280302</v>
      </c>
      <c r="V22" s="393">
        <f t="shared" si="1"/>
        <v>0</v>
      </c>
      <c r="W22" s="485">
        <f t="shared" si="2"/>
        <v>0</v>
      </c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</row>
    <row r="23" spans="1:33" s="443" customFormat="1" ht="19.5" customHeight="1">
      <c r="A23" s="438"/>
      <c r="B23" s="438"/>
      <c r="C23" s="432" t="s">
        <v>606</v>
      </c>
      <c r="D23" s="433">
        <v>2250302</v>
      </c>
      <c r="E23" s="433"/>
      <c r="F23" s="433"/>
      <c r="G23" s="433"/>
      <c r="H23" s="433"/>
      <c r="I23" s="433"/>
      <c r="J23" s="434"/>
      <c r="K23" s="435"/>
      <c r="L23" s="435"/>
      <c r="M23" s="435"/>
      <c r="N23" s="435"/>
      <c r="O23" s="435"/>
      <c r="P23" s="435"/>
      <c r="Q23" s="435"/>
      <c r="R23" s="435"/>
      <c r="S23" s="878"/>
      <c r="T23" s="878"/>
      <c r="U23" s="390">
        <f t="shared" si="0"/>
        <v>2250302</v>
      </c>
      <c r="V23" s="390">
        <f t="shared" si="1"/>
        <v>0</v>
      </c>
      <c r="W23" s="781">
        <f t="shared" si="2"/>
        <v>0</v>
      </c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</row>
    <row r="24" spans="1:33" s="443" customFormat="1" ht="19.5" customHeight="1">
      <c r="A24" s="438"/>
      <c r="B24" s="438"/>
      <c r="C24" s="432" t="s">
        <v>607</v>
      </c>
      <c r="D24" s="433">
        <v>30000</v>
      </c>
      <c r="E24" s="433"/>
      <c r="F24" s="433"/>
      <c r="G24" s="433"/>
      <c r="H24" s="433"/>
      <c r="I24" s="433"/>
      <c r="J24" s="434"/>
      <c r="K24" s="435"/>
      <c r="L24" s="435"/>
      <c r="M24" s="435"/>
      <c r="N24" s="435"/>
      <c r="O24" s="435"/>
      <c r="P24" s="435"/>
      <c r="Q24" s="435"/>
      <c r="R24" s="435"/>
      <c r="S24" s="878"/>
      <c r="T24" s="878"/>
      <c r="U24" s="390">
        <f t="shared" si="0"/>
        <v>30000</v>
      </c>
      <c r="V24" s="390">
        <f t="shared" si="1"/>
        <v>0</v>
      </c>
      <c r="W24" s="781">
        <f t="shared" si="2"/>
        <v>0</v>
      </c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</row>
    <row r="25" spans="1:33" s="443" customFormat="1" ht="30.75" customHeight="1">
      <c r="A25" s="438"/>
      <c r="B25" s="438"/>
      <c r="C25" s="395" t="s">
        <v>608</v>
      </c>
      <c r="D25" s="433"/>
      <c r="E25" s="433"/>
      <c r="F25" s="433"/>
      <c r="G25" s="433"/>
      <c r="H25" s="433"/>
      <c r="I25" s="433"/>
      <c r="J25" s="434"/>
      <c r="K25" s="435"/>
      <c r="L25" s="435"/>
      <c r="M25" s="435"/>
      <c r="N25" s="435"/>
      <c r="O25" s="435"/>
      <c r="P25" s="435"/>
      <c r="Q25" s="435"/>
      <c r="R25" s="435"/>
      <c r="S25" s="878"/>
      <c r="T25" s="878"/>
      <c r="U25" s="397">
        <f t="shared" si="0"/>
        <v>0</v>
      </c>
      <c r="V25" s="397">
        <f t="shared" si="1"/>
        <v>0</v>
      </c>
      <c r="W25" s="926">
        <f t="shared" si="2"/>
        <v>0</v>
      </c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</row>
    <row r="26" spans="1:33" s="443" customFormat="1" ht="19.5" customHeight="1">
      <c r="A26" s="438"/>
      <c r="B26" s="438"/>
      <c r="C26" s="439" t="s">
        <v>609</v>
      </c>
      <c r="D26" s="440">
        <f>SUM(D27,D30)</f>
        <v>8300</v>
      </c>
      <c r="E26" s="440">
        <f>SUM(E27+E30)</f>
        <v>239745</v>
      </c>
      <c r="F26" s="440">
        <f>SUM(F27+F30)</f>
        <v>239745</v>
      </c>
      <c r="G26" s="440">
        <f aca="true" t="shared" si="5" ref="G26:O26">SUM(G27,G30)</f>
        <v>0</v>
      </c>
      <c r="H26" s="440">
        <f>SUM(H27,H30)</f>
        <v>0</v>
      </c>
      <c r="I26" s="440">
        <f t="shared" si="5"/>
        <v>0</v>
      </c>
      <c r="J26" s="440">
        <f t="shared" si="5"/>
        <v>1800</v>
      </c>
      <c r="K26" s="440">
        <f>SUM(K27,K30)</f>
        <v>600</v>
      </c>
      <c r="L26" s="440">
        <f>SUM(L27,L30)</f>
        <v>600</v>
      </c>
      <c r="M26" s="440">
        <f>SUM(M27,M30)</f>
        <v>1200</v>
      </c>
      <c r="N26" s="440">
        <f>SUM(N27,N30)</f>
        <v>1200</v>
      </c>
      <c r="O26" s="440">
        <f t="shared" si="5"/>
        <v>0</v>
      </c>
      <c r="P26" s="440">
        <f>SUM(P27,P30)</f>
        <v>0</v>
      </c>
      <c r="Q26" s="440">
        <f>SUM(Q27,Q30)</f>
        <v>0</v>
      </c>
      <c r="R26" s="440">
        <f>SUM(R27,R30)</f>
        <v>0</v>
      </c>
      <c r="S26" s="440">
        <f>SUM(S27,S30)</f>
        <v>0</v>
      </c>
      <c r="T26" s="440">
        <f>SUM(T27,T30)</f>
        <v>0</v>
      </c>
      <c r="U26" s="393">
        <f t="shared" si="0"/>
        <v>10100</v>
      </c>
      <c r="V26" s="393">
        <f t="shared" si="1"/>
        <v>241545</v>
      </c>
      <c r="W26" s="485">
        <f t="shared" si="2"/>
        <v>241545</v>
      </c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</row>
    <row r="27" spans="3:33" s="445" customFormat="1" ht="19.5" customHeight="1">
      <c r="C27" s="432" t="s">
        <v>610</v>
      </c>
      <c r="D27" s="446">
        <f>SUM(D28:D29)</f>
        <v>3500</v>
      </c>
      <c r="E27" s="446">
        <f>SUM(E28:E29)</f>
        <v>100</v>
      </c>
      <c r="F27" s="446">
        <f>SUM(F28:F29)</f>
        <v>100</v>
      </c>
      <c r="G27" s="446">
        <f>SUM(G28:G29)</f>
        <v>0</v>
      </c>
      <c r="H27" s="446"/>
      <c r="I27" s="446"/>
      <c r="J27" s="447">
        <f aca="true" t="shared" si="6" ref="J27:O27">SUM(J28:J29)</f>
        <v>1800</v>
      </c>
      <c r="K27" s="447">
        <f>SUM(K28:K29)</f>
        <v>600</v>
      </c>
      <c r="L27" s="447">
        <f t="shared" si="6"/>
        <v>600</v>
      </c>
      <c r="M27" s="447">
        <f>SUM(M28:M29)</f>
        <v>1200</v>
      </c>
      <c r="N27" s="447">
        <f t="shared" si="6"/>
        <v>1200</v>
      </c>
      <c r="O27" s="446">
        <f t="shared" si="6"/>
        <v>0</v>
      </c>
      <c r="P27" s="446"/>
      <c r="Q27" s="446"/>
      <c r="R27" s="446">
        <f>SUM(R28:R29)</f>
        <v>0</v>
      </c>
      <c r="S27" s="880"/>
      <c r="T27" s="880"/>
      <c r="U27" s="390">
        <f t="shared" si="0"/>
        <v>5300</v>
      </c>
      <c r="V27" s="390">
        <f t="shared" si="1"/>
        <v>1900</v>
      </c>
      <c r="W27" s="781">
        <f t="shared" si="2"/>
        <v>1900</v>
      </c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</row>
    <row r="28" spans="3:33" s="449" customFormat="1" ht="19.5" customHeight="1">
      <c r="C28" s="450" t="s">
        <v>611</v>
      </c>
      <c r="D28" s="451">
        <v>3500</v>
      </c>
      <c r="E28" s="451">
        <v>100</v>
      </c>
      <c r="F28" s="451">
        <v>100</v>
      </c>
      <c r="G28" s="451"/>
      <c r="H28" s="451"/>
      <c r="I28" s="451"/>
      <c r="J28" s="452"/>
      <c r="K28" s="453"/>
      <c r="L28" s="453"/>
      <c r="M28" s="453"/>
      <c r="N28" s="453"/>
      <c r="O28" s="453"/>
      <c r="P28" s="453"/>
      <c r="Q28" s="453"/>
      <c r="R28" s="453"/>
      <c r="S28" s="881"/>
      <c r="T28" s="881"/>
      <c r="U28" s="390">
        <f t="shared" si="0"/>
        <v>3500</v>
      </c>
      <c r="V28" s="390">
        <f t="shared" si="1"/>
        <v>100</v>
      </c>
      <c r="W28" s="781">
        <f t="shared" si="2"/>
        <v>100</v>
      </c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</row>
    <row r="29" spans="3:33" s="449" customFormat="1" ht="19.5" customHeight="1">
      <c r="C29" s="450" t="s">
        <v>612</v>
      </c>
      <c r="D29" s="451"/>
      <c r="E29" s="451"/>
      <c r="F29" s="451"/>
      <c r="G29" s="451"/>
      <c r="H29" s="451"/>
      <c r="I29" s="451"/>
      <c r="J29" s="452">
        <v>1800</v>
      </c>
      <c r="K29" s="453">
        <v>600</v>
      </c>
      <c r="L29" s="453">
        <v>600</v>
      </c>
      <c r="M29" s="453">
        <v>1200</v>
      </c>
      <c r="N29" s="453">
        <v>1200</v>
      </c>
      <c r="O29" s="453"/>
      <c r="P29" s="453"/>
      <c r="Q29" s="453"/>
      <c r="R29" s="453"/>
      <c r="S29" s="881"/>
      <c r="T29" s="881"/>
      <c r="U29" s="390">
        <f t="shared" si="0"/>
        <v>1800</v>
      </c>
      <c r="V29" s="390">
        <f t="shared" si="1"/>
        <v>1800</v>
      </c>
      <c r="W29" s="781">
        <f t="shared" si="2"/>
        <v>1800</v>
      </c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</row>
    <row r="30" spans="3:33" s="445" customFormat="1" ht="19.5" customHeight="1">
      <c r="C30" s="432" t="s">
        <v>613</v>
      </c>
      <c r="D30" s="433">
        <f>SUM(D31:D32)</f>
        <v>4800</v>
      </c>
      <c r="E30" s="433">
        <f>SUM(E31:E33)</f>
        <v>239645</v>
      </c>
      <c r="F30" s="433">
        <f>SUM(F31:F33)</f>
        <v>239645</v>
      </c>
      <c r="G30" s="433">
        <f>SUM(G31:G31)</f>
        <v>0</v>
      </c>
      <c r="H30" s="433">
        <f aca="true" t="shared" si="7" ref="H30:R30">SUM(H31:H31)</f>
        <v>0</v>
      </c>
      <c r="I30" s="433">
        <f t="shared" si="7"/>
        <v>0</v>
      </c>
      <c r="J30" s="433">
        <f t="shared" si="7"/>
        <v>0</v>
      </c>
      <c r="K30" s="433">
        <f t="shared" si="7"/>
        <v>0</v>
      </c>
      <c r="L30" s="433">
        <f t="shared" si="7"/>
        <v>0</v>
      </c>
      <c r="M30" s="433">
        <f t="shared" si="7"/>
        <v>0</v>
      </c>
      <c r="N30" s="433">
        <f t="shared" si="7"/>
        <v>0</v>
      </c>
      <c r="O30" s="433">
        <f t="shared" si="7"/>
        <v>0</v>
      </c>
      <c r="P30" s="433">
        <f t="shared" si="7"/>
        <v>0</v>
      </c>
      <c r="Q30" s="433">
        <f t="shared" si="7"/>
        <v>0</v>
      </c>
      <c r="R30" s="433">
        <f t="shared" si="7"/>
        <v>0</v>
      </c>
      <c r="S30" s="882">
        <v>0</v>
      </c>
      <c r="T30" s="882">
        <v>0</v>
      </c>
      <c r="U30" s="390">
        <f t="shared" si="0"/>
        <v>4800</v>
      </c>
      <c r="V30" s="390">
        <f t="shared" si="1"/>
        <v>239645</v>
      </c>
      <c r="W30" s="781">
        <f t="shared" si="2"/>
        <v>239645</v>
      </c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</row>
    <row r="31" spans="3:33" s="449" customFormat="1" ht="19.5" customHeight="1">
      <c r="C31" s="450" t="s">
        <v>614</v>
      </c>
      <c r="D31" s="451">
        <v>2000</v>
      </c>
      <c r="E31" s="451">
        <v>2000</v>
      </c>
      <c r="F31" s="451">
        <v>2000</v>
      </c>
      <c r="G31" s="451"/>
      <c r="H31" s="451"/>
      <c r="I31" s="451"/>
      <c r="J31" s="452"/>
      <c r="K31" s="453"/>
      <c r="L31" s="453"/>
      <c r="M31" s="453"/>
      <c r="N31" s="453"/>
      <c r="O31" s="453"/>
      <c r="P31" s="453"/>
      <c r="Q31" s="453"/>
      <c r="R31" s="453"/>
      <c r="S31" s="881"/>
      <c r="T31" s="881"/>
      <c r="U31" s="390">
        <f t="shared" si="0"/>
        <v>2000</v>
      </c>
      <c r="V31" s="390">
        <f t="shared" si="1"/>
        <v>2000</v>
      </c>
      <c r="W31" s="781">
        <f t="shared" si="2"/>
        <v>2000</v>
      </c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</row>
    <row r="32" spans="3:33" s="449" customFormat="1" ht="30.75" customHeight="1">
      <c r="C32" s="463" t="s">
        <v>615</v>
      </c>
      <c r="D32" s="451">
        <v>2800</v>
      </c>
      <c r="E32" s="451">
        <v>10108</v>
      </c>
      <c r="F32" s="451">
        <v>10108</v>
      </c>
      <c r="G32" s="451"/>
      <c r="H32" s="451"/>
      <c r="I32" s="451"/>
      <c r="J32" s="455"/>
      <c r="K32" s="456"/>
      <c r="L32" s="456"/>
      <c r="M32" s="456"/>
      <c r="N32" s="456"/>
      <c r="O32" s="456"/>
      <c r="P32" s="456"/>
      <c r="Q32" s="456"/>
      <c r="R32" s="456"/>
      <c r="S32" s="883"/>
      <c r="T32" s="883"/>
      <c r="U32" s="390">
        <f t="shared" si="0"/>
        <v>2800</v>
      </c>
      <c r="V32" s="390">
        <f t="shared" si="1"/>
        <v>10108</v>
      </c>
      <c r="W32" s="781">
        <f t="shared" si="2"/>
        <v>10108</v>
      </c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</row>
    <row r="33" spans="3:33" s="449" customFormat="1" ht="19.5" customHeight="1">
      <c r="C33" s="493" t="s">
        <v>426</v>
      </c>
      <c r="D33" s="451"/>
      <c r="E33" s="451">
        <v>227537</v>
      </c>
      <c r="F33" s="451">
        <v>227537</v>
      </c>
      <c r="G33" s="451"/>
      <c r="H33" s="451"/>
      <c r="I33" s="451"/>
      <c r="J33" s="455"/>
      <c r="K33" s="456"/>
      <c r="L33" s="456"/>
      <c r="M33" s="456"/>
      <c r="N33" s="456"/>
      <c r="O33" s="456"/>
      <c r="P33" s="456"/>
      <c r="Q33" s="456"/>
      <c r="R33" s="456"/>
      <c r="S33" s="883"/>
      <c r="T33" s="883"/>
      <c r="U33" s="390">
        <f t="shared" si="0"/>
        <v>0</v>
      </c>
      <c r="V33" s="390">
        <f t="shared" si="1"/>
        <v>227537</v>
      </c>
      <c r="W33" s="781">
        <f t="shared" si="2"/>
        <v>227537</v>
      </c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</row>
    <row r="34" spans="3:33" s="364" customFormat="1" ht="19.5" customHeight="1">
      <c r="C34" s="424" t="s">
        <v>616</v>
      </c>
      <c r="D34" s="419">
        <f>SUM(D35:D36)</f>
        <v>28046</v>
      </c>
      <c r="E34" s="419">
        <f>SUM(E35:E36)</f>
        <v>28046</v>
      </c>
      <c r="F34" s="419">
        <f>SUM(F35:F36)</f>
        <v>28046</v>
      </c>
      <c r="G34" s="419">
        <f aca="true" t="shared" si="8" ref="G34:R34">SUM(G35:G36)</f>
        <v>0</v>
      </c>
      <c r="H34" s="419">
        <f>SUM(H35:H36)</f>
        <v>0</v>
      </c>
      <c r="I34" s="419">
        <f t="shared" si="8"/>
        <v>0</v>
      </c>
      <c r="J34" s="419">
        <f t="shared" si="8"/>
        <v>0</v>
      </c>
      <c r="K34" s="419">
        <f>SUM(K35:K36)</f>
        <v>0</v>
      </c>
      <c r="L34" s="419">
        <f t="shared" si="8"/>
        <v>0</v>
      </c>
      <c r="M34" s="419">
        <f>SUM(M35:M36)</f>
        <v>0</v>
      </c>
      <c r="N34" s="419">
        <f t="shared" si="8"/>
        <v>0</v>
      </c>
      <c r="O34" s="419">
        <f t="shared" si="8"/>
        <v>0</v>
      </c>
      <c r="P34" s="419">
        <f>SUM(P35:P36)</f>
        <v>0</v>
      </c>
      <c r="Q34" s="419">
        <f t="shared" si="8"/>
        <v>0</v>
      </c>
      <c r="R34" s="419">
        <f t="shared" si="8"/>
        <v>0</v>
      </c>
      <c r="S34" s="419">
        <f>SUM(S35:S36)</f>
        <v>0</v>
      </c>
      <c r="T34" s="419">
        <f>SUM(T35:T36)</f>
        <v>0</v>
      </c>
      <c r="U34" s="393">
        <f t="shared" si="0"/>
        <v>28046</v>
      </c>
      <c r="V34" s="393">
        <f t="shared" si="1"/>
        <v>28046</v>
      </c>
      <c r="W34" s="485">
        <f t="shared" si="2"/>
        <v>28046</v>
      </c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</row>
    <row r="35" spans="3:33" s="445" customFormat="1" ht="19.5" customHeight="1">
      <c r="C35" s="395" t="s">
        <v>617</v>
      </c>
      <c r="D35" s="433">
        <v>25000</v>
      </c>
      <c r="E35" s="433">
        <v>25000</v>
      </c>
      <c r="F35" s="433">
        <v>25000</v>
      </c>
      <c r="G35" s="433"/>
      <c r="H35" s="433"/>
      <c r="I35" s="433"/>
      <c r="J35" s="457"/>
      <c r="K35" s="458"/>
      <c r="L35" s="458"/>
      <c r="M35" s="458"/>
      <c r="N35" s="458"/>
      <c r="O35" s="458"/>
      <c r="P35" s="458"/>
      <c r="Q35" s="458"/>
      <c r="R35" s="458"/>
      <c r="S35" s="884"/>
      <c r="T35" s="884"/>
      <c r="U35" s="390">
        <f t="shared" si="0"/>
        <v>25000</v>
      </c>
      <c r="V35" s="390">
        <f t="shared" si="1"/>
        <v>25000</v>
      </c>
      <c r="W35" s="781">
        <f t="shared" si="2"/>
        <v>25000</v>
      </c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</row>
    <row r="36" spans="3:33" s="445" customFormat="1" ht="19.5" customHeight="1">
      <c r="C36" s="395" t="s">
        <v>618</v>
      </c>
      <c r="D36" s="433">
        <v>3046</v>
      </c>
      <c r="E36" s="433">
        <v>3046</v>
      </c>
      <c r="F36" s="433">
        <v>3046</v>
      </c>
      <c r="G36" s="433"/>
      <c r="H36" s="433"/>
      <c r="I36" s="433"/>
      <c r="J36" s="457"/>
      <c r="K36" s="458"/>
      <c r="L36" s="458"/>
      <c r="M36" s="458"/>
      <c r="N36" s="458"/>
      <c r="O36" s="458"/>
      <c r="P36" s="458"/>
      <c r="Q36" s="458"/>
      <c r="R36" s="458"/>
      <c r="S36" s="884"/>
      <c r="T36" s="884"/>
      <c r="U36" s="390">
        <f t="shared" si="0"/>
        <v>3046</v>
      </c>
      <c r="V36" s="390">
        <f t="shared" si="1"/>
        <v>3046</v>
      </c>
      <c r="W36" s="781">
        <f t="shared" si="2"/>
        <v>3046</v>
      </c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</row>
    <row r="37" spans="3:33" s="364" customFormat="1" ht="19.5" customHeight="1">
      <c r="C37" s="51" t="s">
        <v>619</v>
      </c>
      <c r="D37" s="419">
        <f>SUM(D38:D39)</f>
        <v>123539</v>
      </c>
      <c r="E37" s="419">
        <f>SUM(E38:E39)</f>
        <v>98579</v>
      </c>
      <c r="F37" s="419">
        <f>SUM(F38:F39)</f>
        <v>98579</v>
      </c>
      <c r="G37" s="419">
        <f>SUM(G38:G39)</f>
        <v>0</v>
      </c>
      <c r="H37" s="419">
        <f>SUM(H38:H39)</f>
        <v>0</v>
      </c>
      <c r="I37" s="419">
        <f aca="true" t="shared" si="9" ref="I37:R37">SUM(I38:I39)</f>
        <v>0</v>
      </c>
      <c r="J37" s="419">
        <f t="shared" si="9"/>
        <v>0</v>
      </c>
      <c r="K37" s="419">
        <f>SUM(K38:K39)</f>
        <v>0</v>
      </c>
      <c r="L37" s="419">
        <f t="shared" si="9"/>
        <v>0</v>
      </c>
      <c r="M37" s="419">
        <f>SUM(M38:M39)</f>
        <v>0</v>
      </c>
      <c r="N37" s="419">
        <f t="shared" si="9"/>
        <v>0</v>
      </c>
      <c r="O37" s="419">
        <f t="shared" si="9"/>
        <v>0</v>
      </c>
      <c r="P37" s="419">
        <f>SUM(P38:P39)</f>
        <v>0</v>
      </c>
      <c r="Q37" s="419">
        <f t="shared" si="9"/>
        <v>0</v>
      </c>
      <c r="R37" s="419">
        <f t="shared" si="9"/>
        <v>0</v>
      </c>
      <c r="S37" s="419">
        <f>SUM(S38:S39)</f>
        <v>0</v>
      </c>
      <c r="T37" s="419">
        <f>SUM(T38:T39)</f>
        <v>0</v>
      </c>
      <c r="U37" s="393">
        <f t="shared" si="0"/>
        <v>123539</v>
      </c>
      <c r="V37" s="393">
        <f t="shared" si="1"/>
        <v>98579</v>
      </c>
      <c r="W37" s="485">
        <f t="shared" si="2"/>
        <v>98579</v>
      </c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</row>
    <row r="38" spans="3:33" s="445" customFormat="1" ht="19.5" customHeight="1">
      <c r="C38" s="432" t="s">
        <v>620</v>
      </c>
      <c r="D38" s="433">
        <v>17172</v>
      </c>
      <c r="E38" s="433">
        <v>18523</v>
      </c>
      <c r="F38" s="433">
        <v>18523</v>
      </c>
      <c r="G38" s="433"/>
      <c r="H38" s="433"/>
      <c r="I38" s="433"/>
      <c r="J38" s="457"/>
      <c r="K38" s="458"/>
      <c r="L38" s="458"/>
      <c r="M38" s="458"/>
      <c r="N38" s="458"/>
      <c r="O38" s="458"/>
      <c r="P38" s="458"/>
      <c r="Q38" s="458"/>
      <c r="R38" s="458"/>
      <c r="S38" s="884"/>
      <c r="T38" s="884"/>
      <c r="U38" s="390">
        <f t="shared" si="0"/>
        <v>17172</v>
      </c>
      <c r="V38" s="390">
        <f t="shared" si="1"/>
        <v>18523</v>
      </c>
      <c r="W38" s="781">
        <f t="shared" si="2"/>
        <v>18523</v>
      </c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</row>
    <row r="39" spans="3:33" s="445" customFormat="1" ht="19.5" customHeight="1">
      <c r="C39" s="432" t="s">
        <v>621</v>
      </c>
      <c r="D39" s="433">
        <v>106367</v>
      </c>
      <c r="E39" s="433">
        <v>80056</v>
      </c>
      <c r="F39" s="433">
        <v>80056</v>
      </c>
      <c r="G39" s="433"/>
      <c r="H39" s="433"/>
      <c r="I39" s="433"/>
      <c r="J39" s="457"/>
      <c r="K39" s="458"/>
      <c r="L39" s="458"/>
      <c r="M39" s="458"/>
      <c r="N39" s="458"/>
      <c r="O39" s="458"/>
      <c r="P39" s="458"/>
      <c r="Q39" s="458"/>
      <c r="R39" s="458"/>
      <c r="S39" s="884"/>
      <c r="T39" s="884"/>
      <c r="U39" s="390">
        <f t="shared" si="0"/>
        <v>106367</v>
      </c>
      <c r="V39" s="390">
        <f t="shared" si="1"/>
        <v>80056</v>
      </c>
      <c r="W39" s="781">
        <f t="shared" si="2"/>
        <v>80056</v>
      </c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</row>
    <row r="40" spans="3:33" s="445" customFormat="1" ht="19.5" customHeight="1">
      <c r="C40" s="51" t="s">
        <v>427</v>
      </c>
      <c r="D40" s="433"/>
      <c r="E40" s="433"/>
      <c r="F40" s="433"/>
      <c r="G40" s="433"/>
      <c r="H40" s="440">
        <v>102</v>
      </c>
      <c r="I40" s="440">
        <v>102</v>
      </c>
      <c r="J40" s="457"/>
      <c r="K40" s="458"/>
      <c r="L40" s="458"/>
      <c r="M40" s="458"/>
      <c r="N40" s="458"/>
      <c r="O40" s="458"/>
      <c r="P40" s="494">
        <v>17676</v>
      </c>
      <c r="Q40" s="494">
        <v>17676</v>
      </c>
      <c r="R40" s="458"/>
      <c r="S40" s="884"/>
      <c r="T40" s="884"/>
      <c r="U40" s="927">
        <f t="shared" si="0"/>
        <v>0</v>
      </c>
      <c r="V40" s="485">
        <f t="shared" si="2"/>
        <v>17778</v>
      </c>
      <c r="W40" s="485">
        <f t="shared" si="2"/>
        <v>17778</v>
      </c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</row>
    <row r="41" spans="3:33" s="443" customFormat="1" ht="30.75" customHeight="1">
      <c r="C41" s="464" t="s">
        <v>625</v>
      </c>
      <c r="D41" s="440">
        <v>1507660</v>
      </c>
      <c r="E41" s="440">
        <v>1527375</v>
      </c>
      <c r="F41" s="440">
        <v>1538275</v>
      </c>
      <c r="G41" s="440"/>
      <c r="H41" s="440"/>
      <c r="I41" s="440"/>
      <c r="J41" s="459"/>
      <c r="K41" s="460"/>
      <c r="L41" s="460"/>
      <c r="M41" s="460"/>
      <c r="N41" s="460"/>
      <c r="O41" s="460"/>
      <c r="P41" s="460"/>
      <c r="Q41" s="460"/>
      <c r="R41" s="460"/>
      <c r="S41" s="885"/>
      <c r="T41" s="885"/>
      <c r="U41" s="393">
        <f t="shared" si="0"/>
        <v>1507660</v>
      </c>
      <c r="V41" s="393">
        <f t="shared" si="1"/>
        <v>1527375</v>
      </c>
      <c r="W41" s="485">
        <f t="shared" si="2"/>
        <v>1538275</v>
      </c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</row>
    <row r="42" spans="3:33" s="364" customFormat="1" ht="19.5" customHeight="1" thickBot="1">
      <c r="C42" s="461" t="s">
        <v>626</v>
      </c>
      <c r="D42" s="462">
        <f>SUM(D6+D7+D8+D10+D14+D15+D16+D17+D18+D19+D20+D22+D21+D26+D34+D37+D40+D41)</f>
        <v>7814353</v>
      </c>
      <c r="E42" s="462">
        <f aca="true" t="shared" si="10" ref="E42:W42">SUM(E6+E7+E8+E10+E14+E15+E16+E17+E18+E19+E20+E22+E21+E26+E34+E37+E40+E41)</f>
        <v>7256394</v>
      </c>
      <c r="F42" s="462">
        <f t="shared" si="10"/>
        <v>4515483</v>
      </c>
      <c r="G42" s="462">
        <f t="shared" si="10"/>
        <v>16726</v>
      </c>
      <c r="H42" s="462">
        <f t="shared" si="10"/>
        <v>19714</v>
      </c>
      <c r="I42" s="462">
        <f t="shared" si="10"/>
        <v>19586</v>
      </c>
      <c r="J42" s="462">
        <f t="shared" si="10"/>
        <v>596726</v>
      </c>
      <c r="K42" s="462">
        <f t="shared" si="10"/>
        <v>130598</v>
      </c>
      <c r="L42" s="462">
        <f t="shared" si="10"/>
        <v>130598</v>
      </c>
      <c r="M42" s="462">
        <f t="shared" si="10"/>
        <v>564362</v>
      </c>
      <c r="N42" s="462">
        <f t="shared" si="10"/>
        <v>572695</v>
      </c>
      <c r="O42" s="462">
        <f t="shared" si="10"/>
        <v>967789</v>
      </c>
      <c r="P42" s="462">
        <f t="shared" si="10"/>
        <v>1035687</v>
      </c>
      <c r="Q42" s="462">
        <f t="shared" si="10"/>
        <v>1060857</v>
      </c>
      <c r="R42" s="462">
        <f t="shared" si="10"/>
        <v>150482</v>
      </c>
      <c r="S42" s="462">
        <f t="shared" si="10"/>
        <v>199323</v>
      </c>
      <c r="T42" s="462">
        <f t="shared" si="10"/>
        <v>203429</v>
      </c>
      <c r="U42" s="462">
        <f t="shared" si="10"/>
        <v>9546076</v>
      </c>
      <c r="V42" s="462">
        <f t="shared" si="10"/>
        <v>9206078</v>
      </c>
      <c r="W42" s="928">
        <f t="shared" si="10"/>
        <v>6502648</v>
      </c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</row>
    <row r="43" s="10" customFormat="1" ht="14.25" customHeight="1"/>
    <row r="44" s="10" customFormat="1" ht="15" customHeight="1">
      <c r="C44" s="1411" t="s">
        <v>226</v>
      </c>
    </row>
    <row r="45" spans="3:33" ht="15" customHeight="1">
      <c r="C45" s="8" t="s">
        <v>227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3:33" ht="15" customHeight="1">
      <c r="C46" s="8" t="s">
        <v>228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3:33" ht="15" customHeight="1">
      <c r="C47" s="8" t="s">
        <v>229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3:33" ht="15" customHeight="1">
      <c r="C48" s="8" t="s">
        <v>230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3:33" ht="1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3:33" ht="25.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3:33" ht="25.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3:33" ht="25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3:33" ht="25.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3:33" ht="25.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3:33" ht="25.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3:33" ht="25.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3:33" ht="25.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3:33" ht="25.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3:33" ht="25.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3:33" ht="25.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3:33" ht="25.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3:33" ht="25.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3:33" ht="25.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3:33" ht="25.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3:33" ht="25.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3:33" ht="25.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3:33" ht="25.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3:33" ht="25.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3:20" ht="25.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3:20" ht="25.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3:20" ht="25.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3:20" ht="25.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3:20" ht="25.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3:20" ht="25.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3:20" ht="25.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3:20" ht="25.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3:20" ht="25.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3:20" ht="25.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3:20" ht="25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3:20" ht="25.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3:20" ht="25.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3:20" ht="25.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3:20" ht="25.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3:20" ht="25.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3:20" ht="25.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3:20" ht="25.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3:20" ht="25.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3:20" ht="25.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3:20" ht="25.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3:20" ht="25.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3:20" ht="25.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3:20" ht="25.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3:20" ht="25.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3:20" ht="25.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3:20" ht="25.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3:20" ht="25.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3:20" ht="25.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3:20" ht="25.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3:20" ht="25.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3:20" ht="25.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3:20" ht="25.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3:20" ht="25.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3:20" ht="25.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3:20" ht="25.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3:20" ht="25.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3:20" ht="25.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3:20" ht="25.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3:20" ht="25.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25.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25.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3:20" ht="25.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3:20" ht="25.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3:20" ht="25.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3:20" ht="25.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3:20" ht="25.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3:20" ht="25.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3:20" ht="25.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3:20" ht="25.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3:20" ht="25.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3:20" ht="25.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3:20" ht="25.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3:20" ht="25.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3:20" ht="25.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3:20" ht="25.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3:20" ht="25.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3:20" ht="25.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3:20" ht="25.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3:20" ht="25.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3:20" ht="25.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3:20" ht="25.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3:20" ht="25.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3:20" ht="25.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3:20" ht="25.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3:20" ht="25.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3:20" ht="25.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3:20" ht="25.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3:20" ht="25.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3:20" ht="25.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3:20" ht="25.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3:20" ht="25.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3:20" ht="25.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3:20" ht="25.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3:20" ht="25.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3:20" ht="25.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3:20" ht="25.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3:20" ht="25.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3:20" ht="25.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3:20" ht="25.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3:20" ht="25.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3:20" ht="25.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3:20" ht="25.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3:20" ht="25.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3:20" ht="25.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3:20" ht="25.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3:20" ht="25.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3:20" ht="25.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3:20" ht="25.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3:20" ht="25.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3:20" ht="25.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3:20" ht="25.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3:20" ht="25.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3:20" ht="25.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3:20" ht="25.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3:20" ht="25.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3:20" ht="25.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3:20" ht="25.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3:20" ht="25.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3:20" ht="25.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3:20" ht="25.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3:20" ht="25.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3:20" ht="25.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3:20" ht="25.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3:20" ht="25.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3:20" ht="25.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3:20" ht="25.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3:20" ht="25.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3:20" ht="25.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3:20" ht="25.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3:20" ht="25.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3:20" ht="25.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3:20" ht="25.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3:20" ht="25.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3:20" ht="25.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3:20" ht="25.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3:20" ht="25.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3:20" ht="25.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3:20" ht="25.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3:20" ht="25.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3:20" ht="25.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3:20" ht="25.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3:20" ht="25.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3:20" ht="25.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3:20" ht="25.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3:20" ht="25.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3:20" ht="25.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3:20" ht="25.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3:20" ht="25.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3:20" ht="25.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3:20" ht="25.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3:20" ht="25.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3:20" ht="25.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3:20" ht="25.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3:20" ht="25.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3:20" ht="25.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3:20" ht="25.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3:20" ht="25.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3:20" ht="25.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3:20" ht="25.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3:20" ht="25.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3:20" ht="25.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3:20" ht="25.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3:20" ht="25.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3:20" ht="25.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3:20" ht="25.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3:20" ht="25.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3:20" ht="25.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3:20" ht="25.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3:20" ht="25.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3:20" ht="25.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3:20" ht="25.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3:20" ht="25.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3:20" ht="25.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3:20" ht="25.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3:20" ht="25.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3:20" ht="25.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3:20" ht="25.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3:20" ht="25.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3:20" ht="25.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3:20" ht="25.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3:20" ht="25.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3:20" ht="25.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3:20" ht="25.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3:20" ht="25.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3:20" ht="25.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3:20" ht="25.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3:20" ht="25.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3:20" ht="25.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3:20" ht="25.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3:20" ht="25.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3:20" ht="25.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3:20" ht="25.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3:20" ht="25.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3:20" ht="25.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3:20" ht="25.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3:20" ht="25.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3:20" ht="25.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3:20" ht="25.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3:20" ht="25.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3:20" ht="25.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3:20" ht="25.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3:20" ht="25.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3:20" ht="25.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3:20" ht="25.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3:20" ht="25.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3:20" ht="25.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3:20" ht="25.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3:20" ht="25.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3:20" ht="25.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3:20" ht="25.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3:20" ht="25.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3:20" ht="25.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3:20" ht="25.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3:20" ht="25.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3:20" ht="25.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3:20" ht="25.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3:20" ht="25.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3:20" ht="25.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3:20" ht="25.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3:20" ht="25.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3:20" ht="25.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3:20" ht="25.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3:20" ht="25.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3:20" ht="25.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</sheetData>
  <sheetProtection/>
  <mergeCells count="9">
    <mergeCell ref="U4:W4"/>
    <mergeCell ref="C1:W1"/>
    <mergeCell ref="J4:L4"/>
    <mergeCell ref="M4:N4"/>
    <mergeCell ref="O4:Q4"/>
    <mergeCell ref="R4:T4"/>
    <mergeCell ref="C2:U2"/>
    <mergeCell ref="D4:F4"/>
    <mergeCell ref="G4:I4"/>
  </mergeCells>
  <printOptions horizontalCentered="1"/>
  <pageMargins left="0.2" right="0" top="0.8661417322834646" bottom="0.35433070866141736" header="0.6299212598425197" footer="0.2362204724409449"/>
  <pageSetup horizontalDpi="300" verticalDpi="300" orientation="landscape" paperSize="9" scale="45" r:id="rId1"/>
  <headerFooter alignWithMargins="0">
    <oddHeader>&amp;L&amp;11 4. melléklet a 2/2014.(II.27.) önkormányzati rendelethez
"4. melléklet az 1/2013.(II.01.)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08"/>
  <sheetViews>
    <sheetView view="pageBreakPreview" zoomScaleSheetLayoutView="100" workbookViewId="0" topLeftCell="A271">
      <selection activeCell="A284" sqref="A284:A288"/>
    </sheetView>
  </sheetViews>
  <sheetFormatPr defaultColWidth="9.00390625" defaultRowHeight="12.75"/>
  <cols>
    <col min="1" max="1" width="13.375" style="212" customWidth="1"/>
    <col min="2" max="2" width="8.00390625" style="213" customWidth="1"/>
    <col min="3" max="3" width="61.25390625" style="212" customWidth="1"/>
    <col min="4" max="4" width="12.875" style="214" customWidth="1"/>
    <col min="5" max="5" width="9.25390625" style="215" customWidth="1"/>
    <col min="6" max="6" width="9.00390625" style="212" customWidth="1"/>
    <col min="7" max="7" width="9.75390625" style="212" customWidth="1"/>
    <col min="8" max="8" width="11.125" style="212" customWidth="1"/>
    <col min="9" max="9" width="9.625" style="212" customWidth="1"/>
    <col min="10" max="10" width="9.375" style="212" customWidth="1"/>
    <col min="11" max="11" width="10.125" style="212" customWidth="1"/>
    <col min="12" max="12" width="9.375" style="212" customWidth="1"/>
    <col min="13" max="13" width="9.25390625" style="212" bestFit="1" customWidth="1"/>
    <col min="14" max="14" width="8.875" style="217" customWidth="1"/>
    <col min="15" max="16" width="10.875" style="212" customWidth="1"/>
    <col min="17" max="16384" width="9.125" style="212" customWidth="1"/>
  </cols>
  <sheetData>
    <row r="1" spans="2:3" ht="12.75">
      <c r="B1" s="1213"/>
      <c r="C1" s="1214"/>
    </row>
    <row r="2" ht="10.5" customHeight="1"/>
    <row r="3" spans="2:15" ht="15.75" customHeight="1">
      <c r="B3" s="1215" t="s">
        <v>6</v>
      </c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</row>
    <row r="4" spans="2:15" ht="12.75" customHeight="1">
      <c r="B4" s="1207"/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</row>
    <row r="5" spans="13:16" ht="11.25" customHeight="1" thickBot="1">
      <c r="M5" s="215"/>
      <c r="N5" s="218"/>
      <c r="O5" s="218"/>
      <c r="P5" s="218"/>
    </row>
    <row r="6" spans="1:16" s="243" customFormat="1" ht="13.5" customHeight="1" thickBot="1">
      <c r="A6" s="1256"/>
      <c r="B6" s="1208" t="s">
        <v>774</v>
      </c>
      <c r="C6" s="1209"/>
      <c r="D6" s="1209"/>
      <c r="E6" s="1206" t="s">
        <v>7</v>
      </c>
      <c r="F6" s="1250" t="s">
        <v>8</v>
      </c>
      <c r="G6" s="1253" t="s">
        <v>726</v>
      </c>
      <c r="H6" s="1253"/>
      <c r="I6" s="1253"/>
      <c r="J6" s="1253"/>
      <c r="K6" s="1253"/>
      <c r="L6" s="1253" t="s">
        <v>727</v>
      </c>
      <c r="M6" s="1253"/>
      <c r="N6" s="1267" t="s">
        <v>9</v>
      </c>
      <c r="O6" s="1262" t="s">
        <v>10</v>
      </c>
      <c r="P6" s="1259" t="s">
        <v>11</v>
      </c>
    </row>
    <row r="7" spans="1:16" s="243" customFormat="1" ht="12" customHeight="1" thickBot="1" thickTop="1">
      <c r="A7" s="1257"/>
      <c r="B7" s="1202"/>
      <c r="C7" s="1203"/>
      <c r="D7" s="1203"/>
      <c r="E7" s="1201"/>
      <c r="F7" s="1251"/>
      <c r="G7" s="1254" t="s">
        <v>12</v>
      </c>
      <c r="H7" s="1254" t="s">
        <v>13</v>
      </c>
      <c r="I7" s="1254" t="s">
        <v>14</v>
      </c>
      <c r="J7" s="1254" t="s">
        <v>15</v>
      </c>
      <c r="K7" s="1254" t="s">
        <v>16</v>
      </c>
      <c r="L7" s="1265" t="s">
        <v>693</v>
      </c>
      <c r="M7" s="1265" t="s">
        <v>691</v>
      </c>
      <c r="N7" s="1268"/>
      <c r="O7" s="1263"/>
      <c r="P7" s="1260"/>
    </row>
    <row r="8" spans="1:16" s="243" customFormat="1" ht="39" customHeight="1" thickBot="1" thickTop="1">
      <c r="A8" s="1258"/>
      <c r="B8" s="1204"/>
      <c r="C8" s="1205"/>
      <c r="D8" s="1205"/>
      <c r="E8" s="1249"/>
      <c r="F8" s="1252"/>
      <c r="G8" s="1255"/>
      <c r="H8" s="1255"/>
      <c r="I8" s="1255"/>
      <c r="J8" s="1255"/>
      <c r="K8" s="1255"/>
      <c r="L8" s="1266"/>
      <c r="M8" s="1266"/>
      <c r="N8" s="1269"/>
      <c r="O8" s="1264"/>
      <c r="P8" s="1261"/>
    </row>
    <row r="9" spans="1:16" s="243" customFormat="1" ht="15" customHeight="1">
      <c r="A9" s="226" t="s">
        <v>17</v>
      </c>
      <c r="B9" s="232" t="s">
        <v>18</v>
      </c>
      <c r="C9" s="233" t="s">
        <v>19</v>
      </c>
      <c r="D9" s="271" t="s">
        <v>540</v>
      </c>
      <c r="E9" s="272"/>
      <c r="F9" s="465">
        <f>SUM(G9:P9)</f>
        <v>10900</v>
      </c>
      <c r="G9" s="252"/>
      <c r="H9" s="252"/>
      <c r="I9" s="252">
        <v>10900</v>
      </c>
      <c r="J9" s="252"/>
      <c r="K9" s="252"/>
      <c r="L9" s="252"/>
      <c r="M9" s="252"/>
      <c r="N9" s="252"/>
      <c r="O9" s="273"/>
      <c r="P9" s="735"/>
    </row>
    <row r="10" spans="1:16" s="243" customFormat="1" ht="15" customHeight="1">
      <c r="A10" s="234"/>
      <c r="B10" s="232"/>
      <c r="C10" s="233"/>
      <c r="D10" s="271" t="s">
        <v>915</v>
      </c>
      <c r="E10" s="272"/>
      <c r="F10" s="465">
        <f aca="true" t="shared" si="0" ref="F10:F73">SUM(G10:P10)</f>
        <v>10900</v>
      </c>
      <c r="G10" s="252"/>
      <c r="H10" s="252"/>
      <c r="I10" s="252">
        <v>10900</v>
      </c>
      <c r="J10" s="252"/>
      <c r="K10" s="252"/>
      <c r="L10" s="252"/>
      <c r="M10" s="252"/>
      <c r="N10" s="252"/>
      <c r="O10" s="273"/>
      <c r="P10" s="735"/>
    </row>
    <row r="11" spans="1:16" s="243" customFormat="1" ht="15" customHeight="1">
      <c r="A11" s="234"/>
      <c r="B11" s="232"/>
      <c r="C11" s="233"/>
      <c r="D11" s="271" t="s">
        <v>741</v>
      </c>
      <c r="E11" s="272"/>
      <c r="F11" s="465">
        <f t="shared" si="0"/>
        <v>13850</v>
      </c>
      <c r="G11" s="252"/>
      <c r="H11" s="252"/>
      <c r="I11" s="252">
        <v>13850</v>
      </c>
      <c r="J11" s="252"/>
      <c r="K11" s="252"/>
      <c r="L11" s="252"/>
      <c r="M11" s="252"/>
      <c r="N11" s="252"/>
      <c r="O11" s="273"/>
      <c r="P11" s="735"/>
    </row>
    <row r="12" spans="1:16" s="243" customFormat="1" ht="15" customHeight="1">
      <c r="A12" s="234" t="s">
        <v>17</v>
      </c>
      <c r="B12" s="238">
        <v>360000</v>
      </c>
      <c r="C12" s="251" t="s">
        <v>20</v>
      </c>
      <c r="D12" s="274" t="s">
        <v>540</v>
      </c>
      <c r="E12" s="275"/>
      <c r="F12" s="465">
        <f t="shared" si="0"/>
        <v>600</v>
      </c>
      <c r="G12" s="236"/>
      <c r="H12" s="236"/>
      <c r="I12" s="236">
        <v>600</v>
      </c>
      <c r="J12" s="236"/>
      <c r="K12" s="236"/>
      <c r="L12" s="236"/>
      <c r="M12" s="236"/>
      <c r="N12" s="236"/>
      <c r="O12" s="276"/>
      <c r="P12" s="736"/>
    </row>
    <row r="13" spans="1:16" s="243" customFormat="1" ht="15" customHeight="1">
      <c r="A13" s="234"/>
      <c r="B13" s="238"/>
      <c r="C13" s="251"/>
      <c r="D13" s="271" t="s">
        <v>915</v>
      </c>
      <c r="E13" s="275"/>
      <c r="F13" s="465">
        <f t="shared" si="0"/>
        <v>600</v>
      </c>
      <c r="G13" s="236"/>
      <c r="H13" s="236"/>
      <c r="I13" s="236">
        <v>600</v>
      </c>
      <c r="J13" s="236"/>
      <c r="K13" s="236"/>
      <c r="L13" s="236"/>
      <c r="M13" s="236"/>
      <c r="N13" s="236"/>
      <c r="O13" s="276"/>
      <c r="P13" s="736"/>
    </row>
    <row r="14" spans="1:16" s="243" customFormat="1" ht="15" customHeight="1">
      <c r="A14" s="234"/>
      <c r="B14" s="238"/>
      <c r="C14" s="251"/>
      <c r="D14" s="271" t="s">
        <v>741</v>
      </c>
      <c r="E14" s="275"/>
      <c r="F14" s="465">
        <f t="shared" si="0"/>
        <v>710</v>
      </c>
      <c r="G14" s="236"/>
      <c r="H14" s="236"/>
      <c r="I14" s="236">
        <v>710</v>
      </c>
      <c r="J14" s="236"/>
      <c r="K14" s="236"/>
      <c r="L14" s="236"/>
      <c r="M14" s="236"/>
      <c r="N14" s="236"/>
      <c r="O14" s="276"/>
      <c r="P14" s="736"/>
    </row>
    <row r="15" spans="1:16" s="243" customFormat="1" ht="15" customHeight="1">
      <c r="A15" s="234" t="s">
        <v>17</v>
      </c>
      <c r="B15" s="238">
        <v>370000</v>
      </c>
      <c r="C15" s="239" t="s">
        <v>21</v>
      </c>
      <c r="D15" s="274" t="s">
        <v>540</v>
      </c>
      <c r="E15" s="275">
        <v>9040</v>
      </c>
      <c r="F15" s="465">
        <f t="shared" si="0"/>
        <v>55700</v>
      </c>
      <c r="G15" s="236"/>
      <c r="H15" s="236"/>
      <c r="I15" s="236">
        <v>19910</v>
      </c>
      <c r="J15" s="236"/>
      <c r="K15" s="236"/>
      <c r="L15" s="236">
        <v>8990</v>
      </c>
      <c r="M15" s="236">
        <v>17048</v>
      </c>
      <c r="N15" s="236"/>
      <c r="O15" s="276">
        <v>9752</v>
      </c>
      <c r="P15" s="736"/>
    </row>
    <row r="16" spans="1:16" s="243" customFormat="1" ht="15" customHeight="1">
      <c r="A16" s="234"/>
      <c r="B16" s="238"/>
      <c r="C16" s="239"/>
      <c r="D16" s="271" t="s">
        <v>915</v>
      </c>
      <c r="E16" s="275">
        <v>11483</v>
      </c>
      <c r="F16" s="465">
        <f t="shared" si="0"/>
        <v>138263</v>
      </c>
      <c r="G16" s="236"/>
      <c r="H16" s="236"/>
      <c r="I16" s="236">
        <v>21619</v>
      </c>
      <c r="J16" s="236">
        <v>22</v>
      </c>
      <c r="K16" s="236"/>
      <c r="L16" s="236">
        <v>9702</v>
      </c>
      <c r="M16" s="236">
        <v>106920</v>
      </c>
      <c r="N16" s="236"/>
      <c r="O16" s="276"/>
      <c r="P16" s="736"/>
    </row>
    <row r="17" spans="1:16" s="243" customFormat="1" ht="15" customHeight="1">
      <c r="A17" s="234"/>
      <c r="B17" s="238"/>
      <c r="C17" s="239"/>
      <c r="D17" s="271" t="s">
        <v>741</v>
      </c>
      <c r="E17" s="275">
        <v>11483</v>
      </c>
      <c r="F17" s="465">
        <f t="shared" si="0"/>
        <v>104945</v>
      </c>
      <c r="G17" s="236"/>
      <c r="H17" s="236"/>
      <c r="I17" s="236">
        <v>21619</v>
      </c>
      <c r="J17" s="236">
        <v>22</v>
      </c>
      <c r="K17" s="236"/>
      <c r="L17" s="236">
        <v>9702</v>
      </c>
      <c r="M17" s="236">
        <v>73602</v>
      </c>
      <c r="N17" s="236"/>
      <c r="O17" s="276"/>
      <c r="P17" s="736"/>
    </row>
    <row r="18" spans="1:16" s="243" customFormat="1" ht="15" customHeight="1">
      <c r="A18" s="234" t="s">
        <v>17</v>
      </c>
      <c r="B18" s="238">
        <v>381103</v>
      </c>
      <c r="C18" s="239" t="s">
        <v>22</v>
      </c>
      <c r="D18" s="274" t="s">
        <v>540</v>
      </c>
      <c r="E18" s="275"/>
      <c r="F18" s="465">
        <f t="shared" si="0"/>
        <v>25400</v>
      </c>
      <c r="G18" s="236"/>
      <c r="H18" s="236"/>
      <c r="I18" s="236">
        <v>25400</v>
      </c>
      <c r="J18" s="236"/>
      <c r="K18" s="236"/>
      <c r="L18" s="236"/>
      <c r="M18" s="236"/>
      <c r="N18" s="236"/>
      <c r="O18" s="276"/>
      <c r="P18" s="736"/>
    </row>
    <row r="19" spans="1:16" s="243" customFormat="1" ht="15" customHeight="1">
      <c r="A19" s="234"/>
      <c r="B19" s="238"/>
      <c r="C19" s="239"/>
      <c r="D19" s="271" t="s">
        <v>915</v>
      </c>
      <c r="E19" s="275"/>
      <c r="F19" s="465">
        <f t="shared" si="0"/>
        <v>34400</v>
      </c>
      <c r="G19" s="236"/>
      <c r="H19" s="236"/>
      <c r="I19" s="236">
        <v>34400</v>
      </c>
      <c r="J19" s="236"/>
      <c r="K19" s="236"/>
      <c r="L19" s="236"/>
      <c r="M19" s="236"/>
      <c r="N19" s="236"/>
      <c r="O19" s="276"/>
      <c r="P19" s="736"/>
    </row>
    <row r="20" spans="1:16" s="243" customFormat="1" ht="15" customHeight="1">
      <c r="A20" s="234"/>
      <c r="B20" s="238"/>
      <c r="C20" s="239"/>
      <c r="D20" s="271" t="s">
        <v>741</v>
      </c>
      <c r="E20" s="275"/>
      <c r="F20" s="465">
        <f t="shared" si="0"/>
        <v>34400</v>
      </c>
      <c r="G20" s="236"/>
      <c r="H20" s="236"/>
      <c r="I20" s="236">
        <v>34400</v>
      </c>
      <c r="J20" s="236"/>
      <c r="K20" s="236"/>
      <c r="L20" s="236"/>
      <c r="M20" s="236"/>
      <c r="N20" s="236"/>
      <c r="O20" s="276"/>
      <c r="P20" s="736"/>
    </row>
    <row r="21" spans="1:16" s="243" customFormat="1" ht="15" customHeight="1">
      <c r="A21" s="234" t="s">
        <v>23</v>
      </c>
      <c r="B21" s="238">
        <v>412000</v>
      </c>
      <c r="C21" s="239" t="s">
        <v>24</v>
      </c>
      <c r="D21" s="274" t="s">
        <v>540</v>
      </c>
      <c r="E21" s="275">
        <v>2310431</v>
      </c>
      <c r="F21" s="465">
        <f t="shared" si="0"/>
        <v>3208747</v>
      </c>
      <c r="G21" s="236"/>
      <c r="H21" s="236"/>
      <c r="I21" s="236">
        <v>3086</v>
      </c>
      <c r="J21" s="236">
        <v>52606</v>
      </c>
      <c r="K21" s="236"/>
      <c r="L21" s="236">
        <v>69124</v>
      </c>
      <c r="M21" s="236">
        <v>1439717</v>
      </c>
      <c r="N21" s="236"/>
      <c r="O21" s="276">
        <v>1644214</v>
      </c>
      <c r="P21" s="736"/>
    </row>
    <row r="22" spans="1:16" s="243" customFormat="1" ht="15" customHeight="1">
      <c r="A22" s="234"/>
      <c r="B22" s="238"/>
      <c r="C22" s="239"/>
      <c r="D22" s="271" t="s">
        <v>915</v>
      </c>
      <c r="E22" s="275">
        <v>1205605</v>
      </c>
      <c r="F22" s="465">
        <f t="shared" si="0"/>
        <v>2138485</v>
      </c>
      <c r="G22" s="236">
        <v>1153</v>
      </c>
      <c r="H22" s="236">
        <v>279</v>
      </c>
      <c r="I22" s="236">
        <v>4476</v>
      </c>
      <c r="J22" s="236">
        <v>58050</v>
      </c>
      <c r="K22" s="236"/>
      <c r="L22" s="236">
        <v>108439</v>
      </c>
      <c r="M22" s="236">
        <v>1966088</v>
      </c>
      <c r="N22" s="236"/>
      <c r="O22" s="276"/>
      <c r="P22" s="736"/>
    </row>
    <row r="23" spans="1:16" s="243" customFormat="1" ht="15" customHeight="1">
      <c r="A23" s="234"/>
      <c r="B23" s="238"/>
      <c r="C23" s="239"/>
      <c r="D23" s="271" t="s">
        <v>741</v>
      </c>
      <c r="E23" s="275">
        <v>119605</v>
      </c>
      <c r="F23" s="465">
        <f t="shared" si="0"/>
        <v>199265</v>
      </c>
      <c r="G23" s="236">
        <v>1153</v>
      </c>
      <c r="H23" s="236">
        <v>279</v>
      </c>
      <c r="I23" s="236">
        <v>4776</v>
      </c>
      <c r="J23" s="236">
        <v>58050</v>
      </c>
      <c r="K23" s="236"/>
      <c r="L23" s="236">
        <v>86439</v>
      </c>
      <c r="M23" s="236">
        <v>48568</v>
      </c>
      <c r="N23" s="236"/>
      <c r="O23" s="276"/>
      <c r="P23" s="736"/>
    </row>
    <row r="24" spans="1:16" s="243" customFormat="1" ht="15" customHeight="1">
      <c r="A24" s="234" t="s">
        <v>17</v>
      </c>
      <c r="B24" s="238">
        <v>421100</v>
      </c>
      <c r="C24" s="239" t="s">
        <v>25</v>
      </c>
      <c r="D24" s="274" t="s">
        <v>540</v>
      </c>
      <c r="E24" s="275">
        <v>674640</v>
      </c>
      <c r="F24" s="465">
        <f t="shared" si="0"/>
        <v>899784</v>
      </c>
      <c r="G24" s="236"/>
      <c r="H24" s="236"/>
      <c r="I24" s="236">
        <v>1831</v>
      </c>
      <c r="J24" s="236">
        <v>3975</v>
      </c>
      <c r="K24" s="236"/>
      <c r="L24" s="236">
        <v>25000</v>
      </c>
      <c r="M24" s="236">
        <v>569976</v>
      </c>
      <c r="N24" s="236"/>
      <c r="O24" s="276">
        <v>299002</v>
      </c>
      <c r="P24" s="736"/>
    </row>
    <row r="25" spans="1:16" s="243" customFormat="1" ht="15" customHeight="1">
      <c r="A25" s="234"/>
      <c r="B25" s="238"/>
      <c r="C25" s="239"/>
      <c r="D25" s="271" t="s">
        <v>915</v>
      </c>
      <c r="E25" s="275">
        <v>679963</v>
      </c>
      <c r="F25" s="465">
        <f t="shared" si="0"/>
        <v>910667</v>
      </c>
      <c r="G25" s="236">
        <v>5465</v>
      </c>
      <c r="H25" s="236">
        <v>1328</v>
      </c>
      <c r="I25" s="236">
        <v>66043</v>
      </c>
      <c r="J25" s="236">
        <v>3975</v>
      </c>
      <c r="K25" s="236"/>
      <c r="L25" s="236">
        <v>26950</v>
      </c>
      <c r="M25" s="236">
        <v>806906</v>
      </c>
      <c r="N25" s="236"/>
      <c r="O25" s="276"/>
      <c r="P25" s="736"/>
    </row>
    <row r="26" spans="1:16" s="243" customFormat="1" ht="15" customHeight="1">
      <c r="A26" s="234"/>
      <c r="B26" s="238"/>
      <c r="C26" s="239"/>
      <c r="D26" s="271" t="s">
        <v>741</v>
      </c>
      <c r="E26" s="275">
        <v>369805</v>
      </c>
      <c r="F26" s="465">
        <f t="shared" si="0"/>
        <v>498658</v>
      </c>
      <c r="G26" s="236">
        <v>5465</v>
      </c>
      <c r="H26" s="236">
        <v>1328</v>
      </c>
      <c r="I26" s="236">
        <v>66143</v>
      </c>
      <c r="J26" s="236">
        <v>3975</v>
      </c>
      <c r="K26" s="236"/>
      <c r="L26" s="236">
        <v>27096</v>
      </c>
      <c r="M26" s="236">
        <v>394651</v>
      </c>
      <c r="N26" s="236"/>
      <c r="O26" s="276"/>
      <c r="P26" s="736"/>
    </row>
    <row r="27" spans="1:16" s="243" customFormat="1" ht="15" customHeight="1">
      <c r="A27" s="234" t="s">
        <v>17</v>
      </c>
      <c r="B27" s="238">
        <v>493102</v>
      </c>
      <c r="C27" s="239" t="s">
        <v>26</v>
      </c>
      <c r="D27" s="274" t="s">
        <v>540</v>
      </c>
      <c r="E27" s="275"/>
      <c r="F27" s="465">
        <f t="shared" si="0"/>
        <v>21570</v>
      </c>
      <c r="G27" s="236"/>
      <c r="H27" s="236"/>
      <c r="I27" s="236">
        <v>5070</v>
      </c>
      <c r="J27" s="236">
        <v>16500</v>
      </c>
      <c r="K27" s="236"/>
      <c r="L27" s="236"/>
      <c r="M27" s="236"/>
      <c r="N27" s="236"/>
      <c r="O27" s="276"/>
      <c r="P27" s="736"/>
    </row>
    <row r="28" spans="1:16" s="243" customFormat="1" ht="15" customHeight="1">
      <c r="A28" s="234"/>
      <c r="B28" s="238"/>
      <c r="C28" s="239"/>
      <c r="D28" s="271" t="s">
        <v>915</v>
      </c>
      <c r="E28" s="275">
        <v>5890</v>
      </c>
      <c r="F28" s="465">
        <f t="shared" si="0"/>
        <v>27619</v>
      </c>
      <c r="G28" s="236"/>
      <c r="H28" s="236"/>
      <c r="I28" s="236">
        <v>5070</v>
      </c>
      <c r="J28" s="236">
        <v>22549</v>
      </c>
      <c r="K28" s="236"/>
      <c r="L28" s="236"/>
      <c r="M28" s="236"/>
      <c r="N28" s="236"/>
      <c r="O28" s="276"/>
      <c r="P28" s="736"/>
    </row>
    <row r="29" spans="1:16" s="243" customFormat="1" ht="15" customHeight="1">
      <c r="A29" s="234"/>
      <c r="B29" s="238"/>
      <c r="C29" s="239"/>
      <c r="D29" s="271" t="s">
        <v>741</v>
      </c>
      <c r="E29" s="275">
        <v>5889</v>
      </c>
      <c r="F29" s="465">
        <f t="shared" si="0"/>
        <v>27618</v>
      </c>
      <c r="G29" s="236"/>
      <c r="H29" s="236"/>
      <c r="I29" s="236">
        <v>5070</v>
      </c>
      <c r="J29" s="236">
        <v>22548</v>
      </c>
      <c r="K29" s="236"/>
      <c r="L29" s="236"/>
      <c r="M29" s="236"/>
      <c r="N29" s="236"/>
      <c r="O29" s="276"/>
      <c r="P29" s="736"/>
    </row>
    <row r="30" spans="1:22" s="243" customFormat="1" ht="15" customHeight="1">
      <c r="A30" s="234" t="s">
        <v>17</v>
      </c>
      <c r="B30" s="238">
        <v>522001</v>
      </c>
      <c r="C30" s="239" t="s">
        <v>27</v>
      </c>
      <c r="D30" s="274" t="s">
        <v>540</v>
      </c>
      <c r="E30" s="275"/>
      <c r="F30" s="465">
        <f t="shared" si="0"/>
        <v>41800</v>
      </c>
      <c r="G30" s="236"/>
      <c r="H30" s="236"/>
      <c r="I30" s="236">
        <v>41800</v>
      </c>
      <c r="J30" s="236"/>
      <c r="K30" s="235"/>
      <c r="L30" s="235"/>
      <c r="M30" s="236"/>
      <c r="N30" s="236"/>
      <c r="O30" s="276"/>
      <c r="P30" s="736"/>
      <c r="Q30" s="277"/>
      <c r="R30" s="277"/>
      <c r="S30" s="277"/>
      <c r="T30" s="277"/>
      <c r="U30" s="277"/>
      <c r="V30" s="277"/>
    </row>
    <row r="31" spans="1:22" s="243" customFormat="1" ht="15" customHeight="1">
      <c r="A31" s="234"/>
      <c r="B31" s="238"/>
      <c r="C31" s="239"/>
      <c r="D31" s="271" t="s">
        <v>915</v>
      </c>
      <c r="E31" s="275"/>
      <c r="F31" s="465">
        <f t="shared" si="0"/>
        <v>51800</v>
      </c>
      <c r="G31" s="236"/>
      <c r="H31" s="236"/>
      <c r="I31" s="236">
        <v>51800</v>
      </c>
      <c r="J31" s="236"/>
      <c r="K31" s="235"/>
      <c r="L31" s="235"/>
      <c r="M31" s="236"/>
      <c r="N31" s="236"/>
      <c r="O31" s="276"/>
      <c r="P31" s="736"/>
      <c r="Q31" s="277"/>
      <c r="R31" s="277"/>
      <c r="S31" s="277"/>
      <c r="T31" s="277"/>
      <c r="U31" s="277"/>
      <c r="V31" s="277"/>
    </row>
    <row r="32" spans="1:22" s="243" customFormat="1" ht="15" customHeight="1">
      <c r="A32" s="234"/>
      <c r="B32" s="238"/>
      <c r="C32" s="239"/>
      <c r="D32" s="271" t="s">
        <v>741</v>
      </c>
      <c r="E32" s="275"/>
      <c r="F32" s="465">
        <f t="shared" si="0"/>
        <v>35000</v>
      </c>
      <c r="G32" s="236"/>
      <c r="H32" s="236"/>
      <c r="I32" s="236">
        <v>35000</v>
      </c>
      <c r="J32" s="236"/>
      <c r="K32" s="235"/>
      <c r="L32" s="235"/>
      <c r="M32" s="236"/>
      <c r="N32" s="236"/>
      <c r="O32" s="276"/>
      <c r="P32" s="736"/>
      <c r="Q32" s="277"/>
      <c r="R32" s="277"/>
      <c r="S32" s="277"/>
      <c r="T32" s="277"/>
      <c r="U32" s="277"/>
      <c r="V32" s="277"/>
    </row>
    <row r="33" spans="1:22" s="243" customFormat="1" ht="15" customHeight="1">
      <c r="A33" s="234" t="s">
        <v>23</v>
      </c>
      <c r="B33" s="238">
        <v>581100</v>
      </c>
      <c r="C33" s="239" t="s">
        <v>28</v>
      </c>
      <c r="D33" s="274" t="s">
        <v>540</v>
      </c>
      <c r="E33" s="275"/>
      <c r="F33" s="465">
        <f t="shared" si="0"/>
        <v>1800</v>
      </c>
      <c r="G33" s="236"/>
      <c r="H33" s="236"/>
      <c r="I33" s="236">
        <v>1800</v>
      </c>
      <c r="J33" s="236"/>
      <c r="K33" s="235"/>
      <c r="L33" s="278"/>
      <c r="M33" s="236"/>
      <c r="N33" s="236"/>
      <c r="O33" s="276"/>
      <c r="P33" s="736"/>
      <c r="Q33" s="277"/>
      <c r="R33" s="277"/>
      <c r="S33" s="277"/>
      <c r="T33" s="277"/>
      <c r="U33" s="277"/>
      <c r="V33" s="277"/>
    </row>
    <row r="34" spans="1:22" s="243" customFormat="1" ht="15" customHeight="1">
      <c r="A34" s="234"/>
      <c r="B34" s="238"/>
      <c r="C34" s="239"/>
      <c r="D34" s="271" t="s">
        <v>915</v>
      </c>
      <c r="E34" s="275"/>
      <c r="F34" s="465">
        <f t="shared" si="0"/>
        <v>1800</v>
      </c>
      <c r="G34" s="236"/>
      <c r="H34" s="236"/>
      <c r="I34" s="236">
        <v>1800</v>
      </c>
      <c r="J34" s="236"/>
      <c r="K34" s="235"/>
      <c r="L34" s="278"/>
      <c r="M34" s="236"/>
      <c r="N34" s="236"/>
      <c r="O34" s="276"/>
      <c r="P34" s="736"/>
      <c r="Q34" s="277"/>
      <c r="R34" s="277"/>
      <c r="S34" s="277"/>
      <c r="T34" s="277"/>
      <c r="U34" s="277"/>
      <c r="V34" s="277"/>
    </row>
    <row r="35" spans="1:22" s="243" customFormat="1" ht="15" customHeight="1">
      <c r="A35" s="234"/>
      <c r="B35" s="238"/>
      <c r="C35" s="239"/>
      <c r="D35" s="271" t="s">
        <v>741</v>
      </c>
      <c r="E35" s="275"/>
      <c r="F35" s="465">
        <f t="shared" si="0"/>
        <v>1800</v>
      </c>
      <c r="G35" s="236"/>
      <c r="H35" s="236"/>
      <c r="I35" s="236">
        <v>1800</v>
      </c>
      <c r="J35" s="236"/>
      <c r="K35" s="235"/>
      <c r="L35" s="278"/>
      <c r="M35" s="236"/>
      <c r="N35" s="236"/>
      <c r="O35" s="276"/>
      <c r="P35" s="736"/>
      <c r="Q35" s="277"/>
      <c r="R35" s="277"/>
      <c r="S35" s="277"/>
      <c r="T35" s="277"/>
      <c r="U35" s="277"/>
      <c r="V35" s="277"/>
    </row>
    <row r="36" spans="1:22" s="243" customFormat="1" ht="15" customHeight="1">
      <c r="A36" s="234" t="s">
        <v>23</v>
      </c>
      <c r="B36" s="279">
        <v>581900</v>
      </c>
      <c r="C36" s="280" t="s">
        <v>29</v>
      </c>
      <c r="D36" s="274" t="s">
        <v>540</v>
      </c>
      <c r="E36" s="275"/>
      <c r="F36" s="465">
        <f t="shared" si="0"/>
        <v>35160</v>
      </c>
      <c r="G36" s="240">
        <v>5760</v>
      </c>
      <c r="H36" s="240">
        <v>1400</v>
      </c>
      <c r="I36" s="240">
        <v>28000</v>
      </c>
      <c r="J36" s="240"/>
      <c r="K36" s="240"/>
      <c r="L36" s="240"/>
      <c r="M36" s="240"/>
      <c r="N36" s="240"/>
      <c r="O36" s="281"/>
      <c r="P36" s="736"/>
      <c r="Q36" s="277"/>
      <c r="R36" s="277"/>
      <c r="S36" s="277"/>
      <c r="T36" s="277"/>
      <c r="U36" s="277"/>
      <c r="V36" s="277"/>
    </row>
    <row r="37" spans="1:22" s="243" customFormat="1" ht="15" customHeight="1">
      <c r="A37" s="234"/>
      <c r="B37" s="279"/>
      <c r="C37" s="280"/>
      <c r="D37" s="271" t="s">
        <v>915</v>
      </c>
      <c r="E37" s="275"/>
      <c r="F37" s="465">
        <f t="shared" si="0"/>
        <v>35670</v>
      </c>
      <c r="G37" s="240">
        <v>5760</v>
      </c>
      <c r="H37" s="240">
        <v>1400</v>
      </c>
      <c r="I37" s="240">
        <v>28140</v>
      </c>
      <c r="J37" s="240"/>
      <c r="K37" s="240"/>
      <c r="L37" s="240"/>
      <c r="M37" s="240">
        <v>370</v>
      </c>
      <c r="N37" s="240"/>
      <c r="O37" s="281"/>
      <c r="P37" s="736"/>
      <c r="Q37" s="277"/>
      <c r="R37" s="277"/>
      <c r="S37" s="277"/>
      <c r="T37" s="277"/>
      <c r="U37" s="277"/>
      <c r="V37" s="277"/>
    </row>
    <row r="38" spans="1:22" s="243" customFormat="1" ht="15" customHeight="1">
      <c r="A38" s="234"/>
      <c r="B38" s="279"/>
      <c r="C38" s="280"/>
      <c r="D38" s="271" t="s">
        <v>741</v>
      </c>
      <c r="E38" s="275"/>
      <c r="F38" s="465">
        <f t="shared" si="0"/>
        <v>27270</v>
      </c>
      <c r="G38" s="240">
        <v>6700</v>
      </c>
      <c r="H38" s="240">
        <v>1550</v>
      </c>
      <c r="I38" s="240">
        <v>18650</v>
      </c>
      <c r="J38" s="240"/>
      <c r="K38" s="240"/>
      <c r="L38" s="240"/>
      <c r="M38" s="240">
        <v>370</v>
      </c>
      <c r="N38" s="240"/>
      <c r="O38" s="281"/>
      <c r="P38" s="736"/>
      <c r="Q38" s="277"/>
      <c r="R38" s="277"/>
      <c r="S38" s="277"/>
      <c r="T38" s="277"/>
      <c r="U38" s="277"/>
      <c r="V38" s="277"/>
    </row>
    <row r="39" spans="1:22" s="243" customFormat="1" ht="15" customHeight="1">
      <c r="A39" s="234" t="s">
        <v>17</v>
      </c>
      <c r="B39" s="238">
        <v>680001</v>
      </c>
      <c r="C39" s="239" t="s">
        <v>30</v>
      </c>
      <c r="D39" s="274" t="s">
        <v>540</v>
      </c>
      <c r="E39" s="275">
        <v>47000</v>
      </c>
      <c r="F39" s="465">
        <f t="shared" si="0"/>
        <v>42550</v>
      </c>
      <c r="G39" s="236"/>
      <c r="H39" s="236"/>
      <c r="I39" s="236">
        <v>42550</v>
      </c>
      <c r="J39" s="236"/>
      <c r="K39" s="236"/>
      <c r="L39" s="236"/>
      <c r="M39" s="236"/>
      <c r="N39" s="236"/>
      <c r="O39" s="276"/>
      <c r="P39" s="736"/>
      <c r="Q39" s="277"/>
      <c r="R39" s="277"/>
      <c r="S39" s="277"/>
      <c r="T39" s="277"/>
      <c r="U39" s="277"/>
      <c r="V39" s="277"/>
    </row>
    <row r="40" spans="1:22" s="243" customFormat="1" ht="15" customHeight="1">
      <c r="A40" s="234"/>
      <c r="B40" s="238"/>
      <c r="C40" s="239"/>
      <c r="D40" s="271" t="s">
        <v>915</v>
      </c>
      <c r="E40" s="275">
        <v>47000</v>
      </c>
      <c r="F40" s="465">
        <f t="shared" si="0"/>
        <v>42550</v>
      </c>
      <c r="G40" s="236"/>
      <c r="H40" s="236"/>
      <c r="I40" s="236">
        <v>42550</v>
      </c>
      <c r="J40" s="236"/>
      <c r="K40" s="236"/>
      <c r="L40" s="236"/>
      <c r="M40" s="236"/>
      <c r="N40" s="236"/>
      <c r="O40" s="276"/>
      <c r="P40" s="736"/>
      <c r="Q40" s="277"/>
      <c r="R40" s="277"/>
      <c r="S40" s="277"/>
      <c r="T40" s="277"/>
      <c r="U40" s="277"/>
      <c r="V40" s="277"/>
    </row>
    <row r="41" spans="1:22" s="243" customFormat="1" ht="15" customHeight="1">
      <c r="A41" s="234"/>
      <c r="B41" s="238"/>
      <c r="C41" s="239"/>
      <c r="D41" s="271" t="s">
        <v>741</v>
      </c>
      <c r="E41" s="275">
        <v>55900</v>
      </c>
      <c r="F41" s="465">
        <f t="shared" si="0"/>
        <v>44550</v>
      </c>
      <c r="G41" s="236"/>
      <c r="H41" s="236"/>
      <c r="I41" s="236">
        <v>44550</v>
      </c>
      <c r="J41" s="236"/>
      <c r="K41" s="236"/>
      <c r="L41" s="236"/>
      <c r="M41" s="236"/>
      <c r="N41" s="236"/>
      <c r="O41" s="276"/>
      <c r="P41" s="736"/>
      <c r="Q41" s="277"/>
      <c r="R41" s="277"/>
      <c r="S41" s="277"/>
      <c r="T41" s="277"/>
      <c r="U41" s="277"/>
      <c r="V41" s="277"/>
    </row>
    <row r="42" spans="1:22" s="243" customFormat="1" ht="15" customHeight="1">
      <c r="A42" s="234" t="s">
        <v>17</v>
      </c>
      <c r="B42" s="238">
        <v>680002</v>
      </c>
      <c r="C42" s="239" t="s">
        <v>31</v>
      </c>
      <c r="D42" s="274" t="s">
        <v>540</v>
      </c>
      <c r="E42" s="275">
        <v>50667</v>
      </c>
      <c r="F42" s="465">
        <f t="shared" si="0"/>
        <v>32390</v>
      </c>
      <c r="G42" s="236"/>
      <c r="H42" s="236"/>
      <c r="I42" s="236">
        <v>32390</v>
      </c>
      <c r="J42" s="236"/>
      <c r="K42" s="236"/>
      <c r="L42" s="236"/>
      <c r="M42" s="236"/>
      <c r="N42" s="236"/>
      <c r="O42" s="276"/>
      <c r="P42" s="736"/>
      <c r="Q42" s="277"/>
      <c r="R42" s="277"/>
      <c r="S42" s="277"/>
      <c r="T42" s="277"/>
      <c r="U42" s="277"/>
      <c r="V42" s="277"/>
    </row>
    <row r="43" spans="1:22" s="243" customFormat="1" ht="15" customHeight="1">
      <c r="A43" s="234"/>
      <c r="B43" s="238"/>
      <c r="C43" s="239"/>
      <c r="D43" s="271" t="s">
        <v>915</v>
      </c>
      <c r="E43" s="275">
        <v>53817</v>
      </c>
      <c r="F43" s="465">
        <f t="shared" si="0"/>
        <v>33525</v>
      </c>
      <c r="G43" s="236"/>
      <c r="H43" s="236"/>
      <c r="I43" s="236">
        <v>33525</v>
      </c>
      <c r="J43" s="236"/>
      <c r="K43" s="236"/>
      <c r="L43" s="236"/>
      <c r="M43" s="236"/>
      <c r="N43" s="236"/>
      <c r="O43" s="276"/>
      <c r="P43" s="736"/>
      <c r="Q43" s="277"/>
      <c r="R43" s="277"/>
      <c r="S43" s="277"/>
      <c r="T43" s="277"/>
      <c r="U43" s="277"/>
      <c r="V43" s="277"/>
    </row>
    <row r="44" spans="1:22" s="243" customFormat="1" ht="15" customHeight="1">
      <c r="A44" s="234"/>
      <c r="B44" s="238"/>
      <c r="C44" s="239"/>
      <c r="D44" s="271" t="s">
        <v>741</v>
      </c>
      <c r="E44" s="275">
        <v>61781</v>
      </c>
      <c r="F44" s="465">
        <f t="shared" si="0"/>
        <v>33525</v>
      </c>
      <c r="G44" s="236"/>
      <c r="H44" s="236"/>
      <c r="I44" s="236">
        <v>33525</v>
      </c>
      <c r="J44" s="236"/>
      <c r="K44" s="236"/>
      <c r="L44" s="236"/>
      <c r="M44" s="236"/>
      <c r="N44" s="236"/>
      <c r="O44" s="276"/>
      <c r="P44" s="736"/>
      <c r="Q44" s="277"/>
      <c r="R44" s="277"/>
      <c r="S44" s="277"/>
      <c r="T44" s="277"/>
      <c r="U44" s="277"/>
      <c r="V44" s="277"/>
    </row>
    <row r="45" spans="1:22" s="243" customFormat="1" ht="15" customHeight="1">
      <c r="A45" s="234" t="s">
        <v>17</v>
      </c>
      <c r="B45" s="238">
        <v>750000</v>
      </c>
      <c r="C45" s="239" t="s">
        <v>32</v>
      </c>
      <c r="D45" s="274" t="s">
        <v>540</v>
      </c>
      <c r="E45" s="275"/>
      <c r="F45" s="465">
        <f t="shared" si="0"/>
        <v>6000</v>
      </c>
      <c r="G45" s="236"/>
      <c r="H45" s="236"/>
      <c r="I45" s="236">
        <v>6000</v>
      </c>
      <c r="J45" s="236"/>
      <c r="K45" s="236"/>
      <c r="L45" s="236"/>
      <c r="M45" s="236"/>
      <c r="N45" s="236"/>
      <c r="O45" s="276"/>
      <c r="P45" s="736"/>
      <c r="Q45" s="277"/>
      <c r="R45" s="277"/>
      <c r="S45" s="277"/>
      <c r="T45" s="277"/>
      <c r="U45" s="277"/>
      <c r="V45" s="277"/>
    </row>
    <row r="46" spans="1:22" s="243" customFormat="1" ht="15" customHeight="1">
      <c r="A46" s="234"/>
      <c r="B46" s="238"/>
      <c r="C46" s="239"/>
      <c r="D46" s="271" t="s">
        <v>915</v>
      </c>
      <c r="E46" s="275"/>
      <c r="F46" s="465">
        <f t="shared" si="0"/>
        <v>6000</v>
      </c>
      <c r="G46" s="236"/>
      <c r="H46" s="236"/>
      <c r="I46" s="236">
        <v>6000</v>
      </c>
      <c r="J46" s="236"/>
      <c r="K46" s="236"/>
      <c r="L46" s="236"/>
      <c r="M46" s="236"/>
      <c r="N46" s="236"/>
      <c r="O46" s="276"/>
      <c r="P46" s="736"/>
      <c r="Q46" s="277"/>
      <c r="R46" s="277"/>
      <c r="S46" s="277"/>
      <c r="T46" s="277"/>
      <c r="U46" s="277"/>
      <c r="V46" s="277"/>
    </row>
    <row r="47" spans="1:22" s="243" customFormat="1" ht="15" customHeight="1">
      <c r="A47" s="234"/>
      <c r="B47" s="238"/>
      <c r="C47" s="239"/>
      <c r="D47" s="271" t="s">
        <v>741</v>
      </c>
      <c r="E47" s="275"/>
      <c r="F47" s="465">
        <f t="shared" si="0"/>
        <v>2940</v>
      </c>
      <c r="G47" s="236"/>
      <c r="H47" s="236"/>
      <c r="I47" s="236">
        <v>2940</v>
      </c>
      <c r="J47" s="236"/>
      <c r="K47" s="236"/>
      <c r="L47" s="236"/>
      <c r="M47" s="236"/>
      <c r="N47" s="236"/>
      <c r="O47" s="276"/>
      <c r="P47" s="736"/>
      <c r="Q47" s="277"/>
      <c r="R47" s="277"/>
      <c r="S47" s="277"/>
      <c r="T47" s="277"/>
      <c r="U47" s="277"/>
      <c r="V47" s="277"/>
    </row>
    <row r="48" spans="1:22" s="243" customFormat="1" ht="15" customHeight="1">
      <c r="A48" s="234" t="s">
        <v>17</v>
      </c>
      <c r="B48" s="238">
        <v>813000</v>
      </c>
      <c r="C48" s="239" t="s">
        <v>33</v>
      </c>
      <c r="D48" s="274" t="s">
        <v>540</v>
      </c>
      <c r="E48" s="275"/>
      <c r="F48" s="465">
        <f t="shared" si="0"/>
        <v>48950</v>
      </c>
      <c r="G48" s="236"/>
      <c r="H48" s="236"/>
      <c r="I48" s="236">
        <v>48950</v>
      </c>
      <c r="J48" s="236"/>
      <c r="K48" s="236"/>
      <c r="L48" s="236"/>
      <c r="M48" s="236"/>
      <c r="N48" s="236"/>
      <c r="O48" s="276"/>
      <c r="P48" s="736"/>
      <c r="Q48" s="277"/>
      <c r="R48" s="277"/>
      <c r="S48" s="277"/>
      <c r="T48" s="277"/>
      <c r="U48" s="277"/>
      <c r="V48" s="277"/>
    </row>
    <row r="49" spans="1:22" s="243" customFormat="1" ht="15" customHeight="1">
      <c r="A49" s="234"/>
      <c r="B49" s="238"/>
      <c r="C49" s="239"/>
      <c r="D49" s="271" t="s">
        <v>915</v>
      </c>
      <c r="E49" s="275">
        <v>4537</v>
      </c>
      <c r="F49" s="465">
        <f t="shared" si="0"/>
        <v>55957</v>
      </c>
      <c r="G49" s="236">
        <v>3700</v>
      </c>
      <c r="H49" s="236">
        <v>307</v>
      </c>
      <c r="I49" s="236">
        <v>51950</v>
      </c>
      <c r="J49" s="236"/>
      <c r="K49" s="236"/>
      <c r="L49" s="236"/>
      <c r="M49" s="236"/>
      <c r="N49" s="236"/>
      <c r="O49" s="276"/>
      <c r="P49" s="736"/>
      <c r="Q49" s="277"/>
      <c r="R49" s="277"/>
      <c r="S49" s="277"/>
      <c r="T49" s="277"/>
      <c r="U49" s="277"/>
      <c r="V49" s="277"/>
    </row>
    <row r="50" spans="1:22" s="243" customFormat="1" ht="15" customHeight="1">
      <c r="A50" s="234"/>
      <c r="B50" s="238"/>
      <c r="C50" s="239"/>
      <c r="D50" s="271" t="s">
        <v>741</v>
      </c>
      <c r="E50" s="275">
        <v>3000</v>
      </c>
      <c r="F50" s="465">
        <f t="shared" si="0"/>
        <v>58457</v>
      </c>
      <c r="G50" s="236">
        <v>3700</v>
      </c>
      <c r="H50" s="236">
        <v>307</v>
      </c>
      <c r="I50" s="236">
        <v>54450</v>
      </c>
      <c r="J50" s="236"/>
      <c r="K50" s="236"/>
      <c r="L50" s="236"/>
      <c r="M50" s="236"/>
      <c r="N50" s="236"/>
      <c r="O50" s="276"/>
      <c r="P50" s="736"/>
      <c r="Q50" s="277"/>
      <c r="R50" s="277"/>
      <c r="S50" s="277"/>
      <c r="T50" s="277"/>
      <c r="U50" s="277"/>
      <c r="V50" s="277"/>
    </row>
    <row r="51" spans="1:22" s="243" customFormat="1" ht="15" customHeight="1">
      <c r="A51" s="234" t="s">
        <v>17</v>
      </c>
      <c r="B51" s="238">
        <v>813000</v>
      </c>
      <c r="C51" s="239" t="s">
        <v>34</v>
      </c>
      <c r="D51" s="274" t="s">
        <v>540</v>
      </c>
      <c r="E51" s="275"/>
      <c r="F51" s="465">
        <f t="shared" si="0"/>
        <v>12500</v>
      </c>
      <c r="G51" s="240"/>
      <c r="H51" s="240"/>
      <c r="I51" s="240">
        <v>4500</v>
      </c>
      <c r="J51" s="240"/>
      <c r="K51" s="240"/>
      <c r="L51" s="240">
        <v>8000</v>
      </c>
      <c r="M51" s="240"/>
      <c r="N51" s="240"/>
      <c r="O51" s="281"/>
      <c r="P51" s="736"/>
      <c r="Q51" s="277"/>
      <c r="R51" s="277"/>
      <c r="S51" s="277"/>
      <c r="T51" s="277"/>
      <c r="U51" s="277"/>
      <c r="V51" s="277"/>
    </row>
    <row r="52" spans="1:22" s="243" customFormat="1" ht="15" customHeight="1">
      <c r="A52" s="234"/>
      <c r="B52" s="238"/>
      <c r="C52" s="239"/>
      <c r="D52" s="271" t="s">
        <v>915</v>
      </c>
      <c r="E52" s="275"/>
      <c r="F52" s="465">
        <f t="shared" si="0"/>
        <v>12500</v>
      </c>
      <c r="G52" s="240"/>
      <c r="H52" s="240"/>
      <c r="I52" s="240">
        <v>4500</v>
      </c>
      <c r="J52" s="240"/>
      <c r="K52" s="240"/>
      <c r="L52" s="240">
        <v>8000</v>
      </c>
      <c r="M52" s="240"/>
      <c r="N52" s="240"/>
      <c r="O52" s="281"/>
      <c r="P52" s="736"/>
      <c r="Q52" s="277"/>
      <c r="R52" s="277"/>
      <c r="S52" s="277"/>
      <c r="T52" s="277"/>
      <c r="U52" s="277"/>
      <c r="V52" s="277"/>
    </row>
    <row r="53" spans="1:22" s="243" customFormat="1" ht="15" customHeight="1">
      <c r="A53" s="234"/>
      <c r="B53" s="238"/>
      <c r="C53" s="239"/>
      <c r="D53" s="271" t="s">
        <v>741</v>
      </c>
      <c r="E53" s="275"/>
      <c r="F53" s="465">
        <f t="shared" si="0"/>
        <v>13924</v>
      </c>
      <c r="G53" s="240"/>
      <c r="H53" s="240"/>
      <c r="I53" s="240">
        <v>7100</v>
      </c>
      <c r="J53" s="240"/>
      <c r="K53" s="240"/>
      <c r="L53" s="240">
        <v>6824</v>
      </c>
      <c r="M53" s="240"/>
      <c r="N53" s="240"/>
      <c r="O53" s="281"/>
      <c r="P53" s="736"/>
      <c r="Q53" s="277"/>
      <c r="R53" s="277"/>
      <c r="S53" s="277"/>
      <c r="T53" s="277"/>
      <c r="U53" s="277"/>
      <c r="V53" s="277"/>
    </row>
    <row r="54" spans="1:22" s="243" customFormat="1" ht="15" customHeight="1">
      <c r="A54" s="234" t="s">
        <v>35</v>
      </c>
      <c r="B54" s="238">
        <v>841112</v>
      </c>
      <c r="C54" s="239" t="s">
        <v>36</v>
      </c>
      <c r="D54" s="274" t="s">
        <v>540</v>
      </c>
      <c r="E54" s="275">
        <v>112923</v>
      </c>
      <c r="F54" s="465">
        <f t="shared" si="0"/>
        <v>198599</v>
      </c>
      <c r="G54" s="236">
        <v>38127</v>
      </c>
      <c r="H54" s="236">
        <v>11534</v>
      </c>
      <c r="I54" s="236">
        <v>29905</v>
      </c>
      <c r="J54" s="236"/>
      <c r="K54" s="236"/>
      <c r="L54" s="236"/>
      <c r="M54" s="236">
        <v>9110</v>
      </c>
      <c r="N54" s="236"/>
      <c r="O54" s="276">
        <v>109923</v>
      </c>
      <c r="P54" s="736"/>
      <c r="Q54" s="277"/>
      <c r="R54" s="277"/>
      <c r="S54" s="277"/>
      <c r="T54" s="277"/>
      <c r="U54" s="277"/>
      <c r="V54" s="277"/>
    </row>
    <row r="55" spans="1:22" s="243" customFormat="1" ht="15" customHeight="1">
      <c r="A55" s="853"/>
      <c r="B55" s="854"/>
      <c r="C55" s="855"/>
      <c r="D55" s="920" t="s">
        <v>915</v>
      </c>
      <c r="E55" s="917">
        <v>67389</v>
      </c>
      <c r="F55" s="465">
        <f t="shared" si="0"/>
        <v>153597</v>
      </c>
      <c r="G55" s="922">
        <v>41577</v>
      </c>
      <c r="H55" s="922">
        <v>15794</v>
      </c>
      <c r="I55" s="922">
        <v>42152</v>
      </c>
      <c r="J55" s="922"/>
      <c r="K55" s="922"/>
      <c r="L55" s="922"/>
      <c r="M55" s="922">
        <v>54074</v>
      </c>
      <c r="N55" s="922"/>
      <c r="O55" s="923"/>
      <c r="P55" s="919"/>
      <c r="Q55" s="277"/>
      <c r="R55" s="277"/>
      <c r="S55" s="277"/>
      <c r="T55" s="277"/>
      <c r="U55" s="277"/>
      <c r="V55" s="277"/>
    </row>
    <row r="56" spans="1:22" s="243" customFormat="1" ht="15" customHeight="1">
      <c r="A56" s="992"/>
      <c r="B56" s="993"/>
      <c r="C56" s="994"/>
      <c r="D56" s="271" t="s">
        <v>741</v>
      </c>
      <c r="E56" s="995">
        <v>70237</v>
      </c>
      <c r="F56" s="465">
        <f t="shared" si="0"/>
        <v>115901</v>
      </c>
      <c r="G56" s="996">
        <v>41865</v>
      </c>
      <c r="H56" s="996">
        <v>15817</v>
      </c>
      <c r="I56" s="996">
        <v>45477</v>
      </c>
      <c r="J56" s="996"/>
      <c r="K56" s="996"/>
      <c r="L56" s="996"/>
      <c r="M56" s="996">
        <v>12742</v>
      </c>
      <c r="N56" s="996"/>
      <c r="O56" s="997"/>
      <c r="P56" s="736"/>
      <c r="Q56" s="277"/>
      <c r="R56" s="277"/>
      <c r="S56" s="277"/>
      <c r="T56" s="277"/>
      <c r="U56" s="277"/>
      <c r="V56" s="277"/>
    </row>
    <row r="57" spans="1:22" s="243" customFormat="1" ht="15" customHeight="1">
      <c r="A57" s="226" t="s">
        <v>35</v>
      </c>
      <c r="B57" s="784">
        <v>841112</v>
      </c>
      <c r="C57" s="233" t="s">
        <v>37</v>
      </c>
      <c r="D57" s="271" t="s">
        <v>540</v>
      </c>
      <c r="E57" s="272">
        <v>501869</v>
      </c>
      <c r="F57" s="465">
        <f t="shared" si="0"/>
        <v>0</v>
      </c>
      <c r="G57" s="252"/>
      <c r="H57" s="252"/>
      <c r="I57" s="252"/>
      <c r="J57" s="252"/>
      <c r="K57" s="252"/>
      <c r="L57" s="252"/>
      <c r="M57" s="252"/>
      <c r="N57" s="252"/>
      <c r="O57" s="273"/>
      <c r="P57" s="735"/>
      <c r="Q57" s="277"/>
      <c r="R57" s="277"/>
      <c r="S57" s="277"/>
      <c r="T57" s="277"/>
      <c r="U57" s="277"/>
      <c r="V57" s="277"/>
    </row>
    <row r="58" spans="1:22" s="243" customFormat="1" ht="15" customHeight="1">
      <c r="A58" s="234"/>
      <c r="B58" s="238"/>
      <c r="C58" s="239"/>
      <c r="D58" s="271" t="s">
        <v>915</v>
      </c>
      <c r="E58" s="275">
        <v>778737</v>
      </c>
      <c r="F58" s="465">
        <f t="shared" si="0"/>
        <v>0</v>
      </c>
      <c r="G58" s="236"/>
      <c r="H58" s="236"/>
      <c r="I58" s="236"/>
      <c r="J58" s="236"/>
      <c r="K58" s="236"/>
      <c r="L58" s="236"/>
      <c r="M58" s="236"/>
      <c r="N58" s="236"/>
      <c r="O58" s="276"/>
      <c r="P58" s="736"/>
      <c r="Q58" s="277"/>
      <c r="R58" s="277"/>
      <c r="S58" s="277"/>
      <c r="T58" s="277"/>
      <c r="U58" s="277"/>
      <c r="V58" s="277"/>
    </row>
    <row r="59" spans="1:22" s="243" customFormat="1" ht="15" customHeight="1">
      <c r="A59" s="234"/>
      <c r="B59" s="238"/>
      <c r="C59" s="239"/>
      <c r="D59" s="271" t="s">
        <v>741</v>
      </c>
      <c r="E59" s="275">
        <v>778737</v>
      </c>
      <c r="F59" s="465">
        <f t="shared" si="0"/>
        <v>0</v>
      </c>
      <c r="G59" s="236"/>
      <c r="H59" s="236"/>
      <c r="I59" s="236"/>
      <c r="J59" s="236"/>
      <c r="K59" s="236"/>
      <c r="L59" s="236"/>
      <c r="M59" s="236"/>
      <c r="N59" s="236"/>
      <c r="O59" s="276"/>
      <c r="P59" s="736"/>
      <c r="Q59" s="277"/>
      <c r="R59" s="277"/>
      <c r="S59" s="277"/>
      <c r="T59" s="277"/>
      <c r="U59" s="277"/>
      <c r="V59" s="277"/>
    </row>
    <row r="60" spans="1:22" s="243" customFormat="1" ht="15" customHeight="1">
      <c r="A60" s="234" t="s">
        <v>17</v>
      </c>
      <c r="B60" s="238">
        <v>841133</v>
      </c>
      <c r="C60" s="239" t="s">
        <v>38</v>
      </c>
      <c r="D60" s="274" t="s">
        <v>540</v>
      </c>
      <c r="E60" s="275">
        <v>1692200</v>
      </c>
      <c r="F60" s="465">
        <f t="shared" si="0"/>
        <v>1000</v>
      </c>
      <c r="G60" s="240"/>
      <c r="H60" s="240"/>
      <c r="I60" s="240"/>
      <c r="J60" s="240"/>
      <c r="K60" s="240"/>
      <c r="L60" s="240"/>
      <c r="M60" s="240">
        <v>1000</v>
      </c>
      <c r="N60" s="240"/>
      <c r="O60" s="281"/>
      <c r="P60" s="736"/>
      <c r="Q60" s="277"/>
      <c r="R60" s="277"/>
      <c r="S60" s="277"/>
      <c r="T60" s="277"/>
      <c r="U60" s="277"/>
      <c r="V60" s="277"/>
    </row>
    <row r="61" spans="1:22" s="243" customFormat="1" ht="15" customHeight="1">
      <c r="A61" s="853"/>
      <c r="B61" s="854"/>
      <c r="C61" s="855"/>
      <c r="D61" s="916" t="s">
        <v>915</v>
      </c>
      <c r="E61" s="917">
        <v>1746320</v>
      </c>
      <c r="F61" s="465">
        <f t="shared" si="0"/>
        <v>0</v>
      </c>
      <c r="G61" s="858"/>
      <c r="H61" s="858"/>
      <c r="I61" s="858"/>
      <c r="J61" s="858"/>
      <c r="K61" s="858"/>
      <c r="L61" s="858"/>
      <c r="M61" s="858"/>
      <c r="N61" s="858"/>
      <c r="O61" s="918"/>
      <c r="P61" s="736"/>
      <c r="Q61" s="277"/>
      <c r="R61" s="277"/>
      <c r="S61" s="277"/>
      <c r="T61" s="277"/>
      <c r="U61" s="277"/>
      <c r="V61" s="277"/>
    </row>
    <row r="62" spans="1:22" s="243" customFormat="1" ht="15" customHeight="1" thickBot="1">
      <c r="A62" s="1006"/>
      <c r="B62" s="1007"/>
      <c r="C62" s="1008"/>
      <c r="D62" s="1169" t="s">
        <v>741</v>
      </c>
      <c r="E62" s="1009">
        <v>1705700</v>
      </c>
      <c r="F62" s="1166">
        <f t="shared" si="0"/>
        <v>300</v>
      </c>
      <c r="G62" s="1010"/>
      <c r="H62" s="1010"/>
      <c r="I62" s="1010">
        <v>300</v>
      </c>
      <c r="J62" s="1010"/>
      <c r="K62" s="1010"/>
      <c r="L62" s="1010"/>
      <c r="M62" s="1010"/>
      <c r="N62" s="1010"/>
      <c r="O62" s="1011"/>
      <c r="P62" s="1012"/>
      <c r="Q62" s="277"/>
      <c r="R62" s="277"/>
      <c r="S62" s="277"/>
      <c r="T62" s="277"/>
      <c r="U62" s="277"/>
      <c r="V62" s="277"/>
    </row>
    <row r="63" spans="1:22" s="243" customFormat="1" ht="15" customHeight="1">
      <c r="A63" s="288" t="s">
        <v>17</v>
      </c>
      <c r="B63" s="1013">
        <v>841154</v>
      </c>
      <c r="C63" s="1014" t="s">
        <v>39</v>
      </c>
      <c r="D63" s="1015" t="s">
        <v>540</v>
      </c>
      <c r="E63" s="1016">
        <v>443945</v>
      </c>
      <c r="F63" s="1017">
        <f t="shared" si="0"/>
        <v>80694</v>
      </c>
      <c r="G63" s="1018"/>
      <c r="H63" s="1018"/>
      <c r="I63" s="1018">
        <v>39052</v>
      </c>
      <c r="J63" s="1018"/>
      <c r="K63" s="1018"/>
      <c r="L63" s="1018"/>
      <c r="M63" s="1018">
        <v>21642</v>
      </c>
      <c r="N63" s="1018"/>
      <c r="O63" s="1019">
        <v>20000</v>
      </c>
      <c r="P63" s="1020"/>
      <c r="Q63" s="277"/>
      <c r="R63" s="277"/>
      <c r="S63" s="277"/>
      <c r="T63" s="277"/>
      <c r="U63" s="277"/>
      <c r="V63" s="277"/>
    </row>
    <row r="64" spans="1:22" s="243" customFormat="1" ht="15" customHeight="1">
      <c r="A64" s="234"/>
      <c r="B64" s="238"/>
      <c r="C64" s="239"/>
      <c r="D64" s="271" t="s">
        <v>915</v>
      </c>
      <c r="E64" s="275">
        <v>522545</v>
      </c>
      <c r="F64" s="465">
        <f t="shared" si="0"/>
        <v>106537</v>
      </c>
      <c r="G64" s="236"/>
      <c r="H64" s="236"/>
      <c r="I64" s="236">
        <v>54176</v>
      </c>
      <c r="J64" s="236"/>
      <c r="K64" s="236"/>
      <c r="L64" s="236"/>
      <c r="M64" s="236">
        <v>52361</v>
      </c>
      <c r="N64" s="236"/>
      <c r="O64" s="276"/>
      <c r="P64" s="736"/>
      <c r="Q64" s="277"/>
      <c r="R64" s="277"/>
      <c r="S64" s="277"/>
      <c r="T64" s="277"/>
      <c r="U64" s="277"/>
      <c r="V64" s="277"/>
    </row>
    <row r="65" spans="1:22" s="243" customFormat="1" ht="15" customHeight="1">
      <c r="A65" s="234"/>
      <c r="B65" s="238"/>
      <c r="C65" s="239"/>
      <c r="D65" s="271" t="s">
        <v>741</v>
      </c>
      <c r="E65" s="275">
        <v>122375</v>
      </c>
      <c r="F65" s="465">
        <f t="shared" si="0"/>
        <v>68319</v>
      </c>
      <c r="G65" s="236">
        <v>600</v>
      </c>
      <c r="H65" s="236">
        <v>146</v>
      </c>
      <c r="I65" s="236">
        <v>39112</v>
      </c>
      <c r="J65" s="236"/>
      <c r="K65" s="236"/>
      <c r="L65" s="236"/>
      <c r="M65" s="236">
        <v>28461</v>
      </c>
      <c r="N65" s="236"/>
      <c r="O65" s="276"/>
      <c r="P65" s="736"/>
      <c r="Q65" s="277"/>
      <c r="R65" s="277"/>
      <c r="S65" s="277"/>
      <c r="T65" s="277"/>
      <c r="U65" s="277"/>
      <c r="V65" s="277"/>
    </row>
    <row r="66" spans="1:22" s="243" customFormat="1" ht="15" customHeight="1">
      <c r="A66" s="234" t="s">
        <v>23</v>
      </c>
      <c r="B66" s="238">
        <v>841191</v>
      </c>
      <c r="C66" s="239" t="s">
        <v>40</v>
      </c>
      <c r="D66" s="274" t="s">
        <v>540</v>
      </c>
      <c r="E66" s="275"/>
      <c r="F66" s="465">
        <f t="shared" si="0"/>
        <v>4233</v>
      </c>
      <c r="G66" s="240"/>
      <c r="H66" s="240">
        <v>900</v>
      </c>
      <c r="I66" s="240">
        <v>3333</v>
      </c>
      <c r="J66" s="240"/>
      <c r="K66" s="240"/>
      <c r="L66" s="240"/>
      <c r="M66" s="240"/>
      <c r="N66" s="240"/>
      <c r="O66" s="281"/>
      <c r="P66" s="736"/>
      <c r="Q66" s="277"/>
      <c r="R66" s="277"/>
      <c r="S66" s="277"/>
      <c r="T66" s="277"/>
      <c r="U66" s="277"/>
      <c r="V66" s="277"/>
    </row>
    <row r="67" spans="1:22" s="243" customFormat="1" ht="15" customHeight="1">
      <c r="A67" s="234"/>
      <c r="B67" s="238"/>
      <c r="C67" s="239"/>
      <c r="D67" s="271" t="s">
        <v>915</v>
      </c>
      <c r="E67" s="275"/>
      <c r="F67" s="465">
        <f t="shared" si="0"/>
        <v>14233</v>
      </c>
      <c r="G67" s="240"/>
      <c r="H67" s="240">
        <v>900</v>
      </c>
      <c r="I67" s="240">
        <v>13333</v>
      </c>
      <c r="J67" s="240"/>
      <c r="K67" s="240"/>
      <c r="L67" s="240"/>
      <c r="M67" s="240"/>
      <c r="N67" s="240"/>
      <c r="O67" s="281"/>
      <c r="P67" s="736"/>
      <c r="Q67" s="277"/>
      <c r="R67" s="277"/>
      <c r="S67" s="277"/>
      <c r="T67" s="277"/>
      <c r="U67" s="277"/>
      <c r="V67" s="277"/>
    </row>
    <row r="68" spans="1:22" s="243" customFormat="1" ht="15" customHeight="1">
      <c r="A68" s="234"/>
      <c r="B68" s="238"/>
      <c r="C68" s="239"/>
      <c r="D68" s="271" t="s">
        <v>741</v>
      </c>
      <c r="E68" s="275"/>
      <c r="F68" s="465">
        <f t="shared" si="0"/>
        <v>14233</v>
      </c>
      <c r="G68" s="240"/>
      <c r="H68" s="240">
        <v>900</v>
      </c>
      <c r="I68" s="240">
        <v>13333</v>
      </c>
      <c r="J68" s="240"/>
      <c r="K68" s="240"/>
      <c r="L68" s="240"/>
      <c r="M68" s="240"/>
      <c r="N68" s="240"/>
      <c r="O68" s="281"/>
      <c r="P68" s="736"/>
      <c r="Q68" s="277"/>
      <c r="R68" s="277"/>
      <c r="S68" s="277"/>
      <c r="T68" s="277"/>
      <c r="U68" s="277"/>
      <c r="V68" s="277"/>
    </row>
    <row r="69" spans="1:22" s="243" customFormat="1" ht="15" customHeight="1">
      <c r="A69" s="234" t="s">
        <v>23</v>
      </c>
      <c r="B69" s="238">
        <v>841192</v>
      </c>
      <c r="C69" s="239" t="s">
        <v>41</v>
      </c>
      <c r="D69" s="274" t="s">
        <v>540</v>
      </c>
      <c r="E69" s="275">
        <v>1500</v>
      </c>
      <c r="F69" s="465">
        <f t="shared" si="0"/>
        <v>3023</v>
      </c>
      <c r="G69" s="240"/>
      <c r="H69" s="240">
        <v>643</v>
      </c>
      <c r="I69" s="240">
        <v>2380</v>
      </c>
      <c r="J69" s="240"/>
      <c r="K69" s="240"/>
      <c r="L69" s="240"/>
      <c r="M69" s="240"/>
      <c r="N69" s="240"/>
      <c r="O69" s="281"/>
      <c r="P69" s="736"/>
      <c r="Q69" s="277"/>
      <c r="R69" s="277"/>
      <c r="S69" s="277"/>
      <c r="T69" s="277"/>
      <c r="U69" s="277"/>
      <c r="V69" s="277"/>
    </row>
    <row r="70" spans="1:22" s="243" customFormat="1" ht="15" customHeight="1">
      <c r="A70" s="234"/>
      <c r="B70" s="238"/>
      <c r="C70" s="239"/>
      <c r="D70" s="271" t="s">
        <v>915</v>
      </c>
      <c r="E70" s="275">
        <v>2891</v>
      </c>
      <c r="F70" s="465">
        <f t="shared" si="0"/>
        <v>4854</v>
      </c>
      <c r="G70" s="240"/>
      <c r="H70" s="240"/>
      <c r="I70" s="240">
        <v>4854</v>
      </c>
      <c r="J70" s="240"/>
      <c r="K70" s="240"/>
      <c r="L70" s="240"/>
      <c r="M70" s="240"/>
      <c r="N70" s="240"/>
      <c r="O70" s="281"/>
      <c r="P70" s="736"/>
      <c r="Q70" s="277"/>
      <c r="R70" s="277"/>
      <c r="S70" s="277"/>
      <c r="T70" s="277"/>
      <c r="U70" s="277"/>
      <c r="V70" s="277"/>
    </row>
    <row r="71" spans="1:22" s="243" customFormat="1" ht="15" customHeight="1">
      <c r="A71" s="234"/>
      <c r="B71" s="238"/>
      <c r="C71" s="239"/>
      <c r="D71" s="271" t="s">
        <v>741</v>
      </c>
      <c r="E71" s="275">
        <v>3191</v>
      </c>
      <c r="F71" s="465">
        <f t="shared" si="0"/>
        <v>4854</v>
      </c>
      <c r="G71" s="240"/>
      <c r="H71" s="240"/>
      <c r="I71" s="240">
        <v>4854</v>
      </c>
      <c r="J71" s="240"/>
      <c r="K71" s="240"/>
      <c r="L71" s="240"/>
      <c r="M71" s="240"/>
      <c r="N71" s="240"/>
      <c r="O71" s="281"/>
      <c r="P71" s="736"/>
      <c r="Q71" s="277"/>
      <c r="R71" s="277"/>
      <c r="S71" s="277"/>
      <c r="T71" s="277"/>
      <c r="U71" s="277"/>
      <c r="V71" s="277"/>
    </row>
    <row r="72" spans="1:22" s="243" customFormat="1" ht="15" customHeight="1">
      <c r="A72" s="234" t="s">
        <v>23</v>
      </c>
      <c r="B72" s="238">
        <v>841192</v>
      </c>
      <c r="C72" s="239" t="s">
        <v>42</v>
      </c>
      <c r="D72" s="274" t="s">
        <v>540</v>
      </c>
      <c r="E72" s="275"/>
      <c r="F72" s="465">
        <f t="shared" si="0"/>
        <v>7589</v>
      </c>
      <c r="G72" s="240">
        <v>3000</v>
      </c>
      <c r="H72" s="240">
        <v>1613</v>
      </c>
      <c r="I72" s="240">
        <v>2976</v>
      </c>
      <c r="J72" s="240"/>
      <c r="K72" s="240"/>
      <c r="L72" s="240"/>
      <c r="M72" s="240"/>
      <c r="N72" s="240"/>
      <c r="O72" s="281"/>
      <c r="P72" s="736"/>
      <c r="Q72" s="277"/>
      <c r="R72" s="277"/>
      <c r="S72" s="277"/>
      <c r="T72" s="277"/>
      <c r="U72" s="277"/>
      <c r="V72" s="277"/>
    </row>
    <row r="73" spans="1:22" s="243" customFormat="1" ht="15" customHeight="1">
      <c r="A73" s="234"/>
      <c r="B73" s="238"/>
      <c r="C73" s="239"/>
      <c r="D73" s="271" t="s">
        <v>915</v>
      </c>
      <c r="E73" s="275"/>
      <c r="F73" s="465">
        <f t="shared" si="0"/>
        <v>7596</v>
      </c>
      <c r="G73" s="240">
        <v>2807</v>
      </c>
      <c r="H73" s="240">
        <v>1613</v>
      </c>
      <c r="I73" s="240">
        <v>2983</v>
      </c>
      <c r="J73" s="240">
        <v>193</v>
      </c>
      <c r="K73" s="240"/>
      <c r="L73" s="240"/>
      <c r="M73" s="240"/>
      <c r="N73" s="240"/>
      <c r="O73" s="281"/>
      <c r="P73" s="736"/>
      <c r="Q73" s="277"/>
      <c r="R73" s="277"/>
      <c r="S73" s="277"/>
      <c r="T73" s="277"/>
      <c r="U73" s="277"/>
      <c r="V73" s="277"/>
    </row>
    <row r="74" spans="1:22" s="243" customFormat="1" ht="15" customHeight="1">
      <c r="A74" s="234"/>
      <c r="B74" s="238"/>
      <c r="C74" s="239"/>
      <c r="D74" s="271" t="s">
        <v>741</v>
      </c>
      <c r="E74" s="275"/>
      <c r="F74" s="465">
        <f aca="true" t="shared" si="1" ref="F74:F137">SUM(G74:P74)</f>
        <v>7596</v>
      </c>
      <c r="G74" s="240">
        <v>2807</v>
      </c>
      <c r="H74" s="240">
        <v>1613</v>
      </c>
      <c r="I74" s="240">
        <v>2983</v>
      </c>
      <c r="J74" s="240">
        <v>193</v>
      </c>
      <c r="K74" s="240"/>
      <c r="L74" s="240"/>
      <c r="M74" s="240"/>
      <c r="N74" s="240"/>
      <c r="O74" s="281"/>
      <c r="P74" s="736"/>
      <c r="Q74" s="277"/>
      <c r="R74" s="277"/>
      <c r="S74" s="277"/>
      <c r="T74" s="277"/>
      <c r="U74" s="277"/>
      <c r="V74" s="277"/>
    </row>
    <row r="75" spans="1:22" s="243" customFormat="1" ht="15" customHeight="1">
      <c r="A75" s="234" t="s">
        <v>23</v>
      </c>
      <c r="B75" s="238">
        <v>841192</v>
      </c>
      <c r="C75" s="239" t="s">
        <v>43</v>
      </c>
      <c r="D75" s="274" t="s">
        <v>540</v>
      </c>
      <c r="E75" s="275"/>
      <c r="F75" s="465">
        <f t="shared" si="1"/>
        <v>8012</v>
      </c>
      <c r="G75" s="240"/>
      <c r="H75" s="240">
        <v>1703</v>
      </c>
      <c r="I75" s="240">
        <v>6309</v>
      </c>
      <c r="J75" s="240"/>
      <c r="K75" s="240"/>
      <c r="L75" s="240"/>
      <c r="M75" s="240"/>
      <c r="N75" s="240"/>
      <c r="O75" s="281"/>
      <c r="P75" s="736"/>
      <c r="Q75" s="277"/>
      <c r="R75" s="277"/>
      <c r="S75" s="277"/>
      <c r="T75" s="277"/>
      <c r="U75" s="277"/>
      <c r="V75" s="277"/>
    </row>
    <row r="76" spans="1:22" s="243" customFormat="1" ht="15" customHeight="1">
      <c r="A76" s="234"/>
      <c r="B76" s="238"/>
      <c r="C76" s="239"/>
      <c r="D76" s="271" t="s">
        <v>915</v>
      </c>
      <c r="E76" s="275"/>
      <c r="F76" s="465">
        <f t="shared" si="1"/>
        <v>8012</v>
      </c>
      <c r="G76" s="240"/>
      <c r="H76" s="240">
        <v>1703</v>
      </c>
      <c r="I76" s="240">
        <v>6309</v>
      </c>
      <c r="J76" s="240"/>
      <c r="K76" s="240"/>
      <c r="L76" s="240"/>
      <c r="M76" s="240"/>
      <c r="N76" s="240"/>
      <c r="O76" s="281"/>
      <c r="P76" s="736"/>
      <c r="Q76" s="277"/>
      <c r="R76" s="277"/>
      <c r="S76" s="277"/>
      <c r="T76" s="277"/>
      <c r="U76" s="277"/>
      <c r="V76" s="277"/>
    </row>
    <row r="77" spans="1:22" s="243" customFormat="1" ht="15" customHeight="1">
      <c r="A77" s="234"/>
      <c r="B77" s="238"/>
      <c r="C77" s="239"/>
      <c r="D77" s="271" t="s">
        <v>741</v>
      </c>
      <c r="E77" s="275"/>
      <c r="F77" s="465">
        <f t="shared" si="1"/>
        <v>8042</v>
      </c>
      <c r="G77" s="240"/>
      <c r="H77" s="240">
        <v>1703</v>
      </c>
      <c r="I77" s="240">
        <v>6339</v>
      </c>
      <c r="J77" s="240"/>
      <c r="K77" s="240"/>
      <c r="L77" s="240"/>
      <c r="M77" s="240"/>
      <c r="N77" s="240"/>
      <c r="O77" s="281"/>
      <c r="P77" s="736"/>
      <c r="Q77" s="277"/>
      <c r="R77" s="277"/>
      <c r="S77" s="277"/>
      <c r="T77" s="277"/>
      <c r="U77" s="277"/>
      <c r="V77" s="277"/>
    </row>
    <row r="78" spans="1:22" s="243" customFormat="1" ht="15" customHeight="1">
      <c r="A78" s="234" t="s">
        <v>17</v>
      </c>
      <c r="B78" s="238">
        <v>841235</v>
      </c>
      <c r="C78" s="239" t="s">
        <v>44</v>
      </c>
      <c r="D78" s="274" t="s">
        <v>540</v>
      </c>
      <c r="E78" s="275">
        <v>104457</v>
      </c>
      <c r="F78" s="465">
        <f t="shared" si="1"/>
        <v>176739</v>
      </c>
      <c r="G78" s="240"/>
      <c r="H78" s="240"/>
      <c r="I78" s="240">
        <v>73473</v>
      </c>
      <c r="J78" s="240">
        <v>95900</v>
      </c>
      <c r="K78" s="240"/>
      <c r="L78" s="240">
        <v>1016</v>
      </c>
      <c r="M78" s="240">
        <v>6350</v>
      </c>
      <c r="N78" s="240"/>
      <c r="O78" s="281"/>
      <c r="P78" s="736"/>
      <c r="Q78" s="277"/>
      <c r="R78" s="277"/>
      <c r="S78" s="277"/>
      <c r="T78" s="277"/>
      <c r="U78" s="277"/>
      <c r="V78" s="277"/>
    </row>
    <row r="79" spans="1:22" s="243" customFormat="1" ht="15" customHeight="1">
      <c r="A79" s="234"/>
      <c r="B79" s="238"/>
      <c r="C79" s="239"/>
      <c r="D79" s="271" t="s">
        <v>915</v>
      </c>
      <c r="E79" s="275">
        <v>183259</v>
      </c>
      <c r="F79" s="465">
        <f t="shared" si="1"/>
        <v>357677</v>
      </c>
      <c r="G79" s="240">
        <v>1237</v>
      </c>
      <c r="H79" s="240">
        <v>331</v>
      </c>
      <c r="I79" s="240">
        <v>53473</v>
      </c>
      <c r="J79" s="240">
        <v>30709</v>
      </c>
      <c r="K79" s="240"/>
      <c r="L79" s="240">
        <v>1016</v>
      </c>
      <c r="M79" s="240">
        <v>43374</v>
      </c>
      <c r="N79" s="240">
        <v>227537</v>
      </c>
      <c r="O79" s="281"/>
      <c r="P79" s="736"/>
      <c r="Q79" s="277"/>
      <c r="R79" s="277"/>
      <c r="S79" s="277"/>
      <c r="T79" s="277"/>
      <c r="U79" s="277"/>
      <c r="V79" s="277"/>
    </row>
    <row r="80" spans="1:22" s="243" customFormat="1" ht="15" customHeight="1">
      <c r="A80" s="234"/>
      <c r="B80" s="238"/>
      <c r="C80" s="239"/>
      <c r="D80" s="271" t="s">
        <v>741</v>
      </c>
      <c r="E80" s="275">
        <v>39421</v>
      </c>
      <c r="F80" s="465">
        <f t="shared" si="1"/>
        <v>363098</v>
      </c>
      <c r="G80" s="240">
        <v>1237</v>
      </c>
      <c r="H80" s="240">
        <v>331</v>
      </c>
      <c r="I80" s="240">
        <v>59018</v>
      </c>
      <c r="J80" s="240">
        <v>30585</v>
      </c>
      <c r="K80" s="240"/>
      <c r="L80" s="240">
        <v>1016</v>
      </c>
      <c r="M80" s="240">
        <v>43374</v>
      </c>
      <c r="N80" s="240">
        <v>227537</v>
      </c>
      <c r="O80" s="281"/>
      <c r="P80" s="736"/>
      <c r="Q80" s="277"/>
      <c r="R80" s="277"/>
      <c r="S80" s="277"/>
      <c r="T80" s="277"/>
      <c r="U80" s="277"/>
      <c r="V80" s="277"/>
    </row>
    <row r="81" spans="1:22" s="243" customFormat="1" ht="15" customHeight="1">
      <c r="A81" s="234" t="s">
        <v>23</v>
      </c>
      <c r="B81" s="238">
        <v>841361</v>
      </c>
      <c r="C81" s="239" t="s">
        <v>45</v>
      </c>
      <c r="D81" s="274" t="s">
        <v>540</v>
      </c>
      <c r="E81" s="275"/>
      <c r="F81" s="465">
        <f t="shared" si="1"/>
        <v>3000</v>
      </c>
      <c r="G81" s="236"/>
      <c r="H81" s="236"/>
      <c r="I81" s="236"/>
      <c r="J81" s="236">
        <v>3000</v>
      </c>
      <c r="K81" s="236"/>
      <c r="L81" s="236"/>
      <c r="M81" s="236"/>
      <c r="N81" s="236"/>
      <c r="O81" s="276"/>
      <c r="P81" s="736"/>
      <c r="Q81" s="277"/>
      <c r="R81" s="277"/>
      <c r="S81" s="277"/>
      <c r="T81" s="277"/>
      <c r="U81" s="277"/>
      <c r="V81" s="277"/>
    </row>
    <row r="82" spans="1:22" s="243" customFormat="1" ht="15" customHeight="1">
      <c r="A82" s="234"/>
      <c r="B82" s="238"/>
      <c r="C82" s="239"/>
      <c r="D82" s="271" t="s">
        <v>915</v>
      </c>
      <c r="E82" s="275"/>
      <c r="F82" s="465">
        <f t="shared" si="1"/>
        <v>3500</v>
      </c>
      <c r="G82" s="236"/>
      <c r="H82" s="236"/>
      <c r="I82" s="236"/>
      <c r="J82" s="236">
        <v>3500</v>
      </c>
      <c r="K82" s="236"/>
      <c r="L82" s="236"/>
      <c r="M82" s="236"/>
      <c r="N82" s="236"/>
      <c r="O82" s="276"/>
      <c r="P82" s="736"/>
      <c r="Q82" s="277"/>
      <c r="R82" s="277"/>
      <c r="S82" s="277"/>
      <c r="T82" s="277"/>
      <c r="U82" s="277"/>
      <c r="V82" s="277"/>
    </row>
    <row r="83" spans="1:22" s="243" customFormat="1" ht="15" customHeight="1">
      <c r="A83" s="234"/>
      <c r="B83" s="238"/>
      <c r="C83" s="239"/>
      <c r="D83" s="271" t="s">
        <v>741</v>
      </c>
      <c r="E83" s="275"/>
      <c r="F83" s="465">
        <f t="shared" si="1"/>
        <v>3500</v>
      </c>
      <c r="G83" s="236"/>
      <c r="H83" s="236"/>
      <c r="I83" s="236"/>
      <c r="J83" s="236">
        <v>3500</v>
      </c>
      <c r="K83" s="236"/>
      <c r="L83" s="236"/>
      <c r="M83" s="236"/>
      <c r="N83" s="236"/>
      <c r="O83" s="276"/>
      <c r="P83" s="736"/>
      <c r="Q83" s="277"/>
      <c r="R83" s="277"/>
      <c r="S83" s="277"/>
      <c r="T83" s="277"/>
      <c r="U83" s="277"/>
      <c r="V83" s="277"/>
    </row>
    <row r="84" spans="1:22" s="243" customFormat="1" ht="15" customHeight="1">
      <c r="A84" s="234" t="s">
        <v>17</v>
      </c>
      <c r="B84" s="238">
        <v>841402</v>
      </c>
      <c r="C84" s="239" t="s">
        <v>46</v>
      </c>
      <c r="D84" s="274" t="s">
        <v>540</v>
      </c>
      <c r="E84" s="275">
        <v>117402</v>
      </c>
      <c r="F84" s="465">
        <f t="shared" si="1"/>
        <v>234036</v>
      </c>
      <c r="G84" s="240"/>
      <c r="H84" s="240"/>
      <c r="I84" s="240">
        <v>60894</v>
      </c>
      <c r="J84" s="240"/>
      <c r="K84" s="240"/>
      <c r="L84" s="240">
        <v>6096</v>
      </c>
      <c r="M84" s="240">
        <v>21925</v>
      </c>
      <c r="N84" s="241"/>
      <c r="O84" s="281">
        <v>145121</v>
      </c>
      <c r="P84" s="736"/>
      <c r="Q84" s="277"/>
      <c r="R84" s="277"/>
      <c r="S84" s="277"/>
      <c r="T84" s="277"/>
      <c r="U84" s="277"/>
      <c r="V84" s="277"/>
    </row>
    <row r="85" spans="1:22" s="243" customFormat="1" ht="15" customHeight="1">
      <c r="A85" s="234"/>
      <c r="B85" s="238"/>
      <c r="C85" s="239"/>
      <c r="D85" s="271" t="s">
        <v>915</v>
      </c>
      <c r="E85" s="275">
        <v>117402</v>
      </c>
      <c r="F85" s="465">
        <f t="shared" si="1"/>
        <v>238821</v>
      </c>
      <c r="G85" s="240">
        <v>43</v>
      </c>
      <c r="H85" s="240">
        <v>10</v>
      </c>
      <c r="I85" s="240">
        <v>60894</v>
      </c>
      <c r="J85" s="240"/>
      <c r="K85" s="240"/>
      <c r="L85" s="240">
        <v>6096</v>
      </c>
      <c r="M85" s="240">
        <v>171778</v>
      </c>
      <c r="N85" s="241"/>
      <c r="O85" s="281"/>
      <c r="P85" s="736"/>
      <c r="Q85" s="277"/>
      <c r="R85" s="277"/>
      <c r="S85" s="277"/>
      <c r="T85" s="277"/>
      <c r="U85" s="277"/>
      <c r="V85" s="277"/>
    </row>
    <row r="86" spans="1:22" s="243" customFormat="1" ht="15" customHeight="1">
      <c r="A86" s="234"/>
      <c r="B86" s="238"/>
      <c r="C86" s="239"/>
      <c r="D86" s="271" t="s">
        <v>741</v>
      </c>
      <c r="E86" s="275"/>
      <c r="F86" s="465">
        <f t="shared" si="1"/>
        <v>91569</v>
      </c>
      <c r="G86" s="240">
        <v>43</v>
      </c>
      <c r="H86" s="240">
        <v>10</v>
      </c>
      <c r="I86" s="240">
        <v>68044</v>
      </c>
      <c r="J86" s="240"/>
      <c r="K86" s="240"/>
      <c r="L86" s="240">
        <v>6096</v>
      </c>
      <c r="M86" s="240">
        <v>17376</v>
      </c>
      <c r="N86" s="241"/>
      <c r="O86" s="281"/>
      <c r="P86" s="736"/>
      <c r="Q86" s="277"/>
      <c r="R86" s="277"/>
      <c r="S86" s="277"/>
      <c r="T86" s="277"/>
      <c r="U86" s="277"/>
      <c r="V86" s="277"/>
    </row>
    <row r="87" spans="1:22" s="243" customFormat="1" ht="15" customHeight="1">
      <c r="A87" s="234" t="s">
        <v>17</v>
      </c>
      <c r="B87" s="238">
        <v>841401</v>
      </c>
      <c r="C87" s="239" t="s">
        <v>47</v>
      </c>
      <c r="D87" s="274" t="s">
        <v>540</v>
      </c>
      <c r="E87" s="275"/>
      <c r="F87" s="465">
        <f t="shared" si="1"/>
        <v>7150</v>
      </c>
      <c r="G87" s="240"/>
      <c r="H87" s="240"/>
      <c r="I87" s="240">
        <v>7150</v>
      </c>
      <c r="J87" s="240"/>
      <c r="K87" s="240"/>
      <c r="L87" s="240"/>
      <c r="M87" s="240"/>
      <c r="N87" s="240"/>
      <c r="O87" s="281"/>
      <c r="P87" s="736"/>
      <c r="Q87" s="277"/>
      <c r="R87" s="277"/>
      <c r="S87" s="277"/>
      <c r="T87" s="277"/>
      <c r="U87" s="277"/>
      <c r="V87" s="277"/>
    </row>
    <row r="88" spans="1:22" s="243" customFormat="1" ht="15" customHeight="1">
      <c r="A88" s="234"/>
      <c r="B88" s="238"/>
      <c r="C88" s="239"/>
      <c r="D88" s="271" t="s">
        <v>915</v>
      </c>
      <c r="E88" s="275"/>
      <c r="F88" s="465">
        <f t="shared" si="1"/>
        <v>7150</v>
      </c>
      <c r="G88" s="240"/>
      <c r="H88" s="240"/>
      <c r="I88" s="240">
        <v>7150</v>
      </c>
      <c r="J88" s="240"/>
      <c r="K88" s="240"/>
      <c r="L88" s="240"/>
      <c r="M88" s="240"/>
      <c r="N88" s="240"/>
      <c r="O88" s="281"/>
      <c r="P88" s="736"/>
      <c r="Q88" s="277"/>
      <c r="R88" s="277"/>
      <c r="S88" s="277"/>
      <c r="T88" s="277"/>
      <c r="U88" s="277"/>
      <c r="V88" s="277"/>
    </row>
    <row r="89" spans="1:22" s="243" customFormat="1" ht="15" customHeight="1">
      <c r="A89" s="234"/>
      <c r="B89" s="238"/>
      <c r="C89" s="239"/>
      <c r="D89" s="271" t="s">
        <v>741</v>
      </c>
      <c r="E89" s="275"/>
      <c r="F89" s="465">
        <f t="shared" si="1"/>
        <v>7150</v>
      </c>
      <c r="G89" s="240"/>
      <c r="H89" s="240"/>
      <c r="I89" s="240">
        <v>7150</v>
      </c>
      <c r="J89" s="240"/>
      <c r="K89" s="240"/>
      <c r="L89" s="240"/>
      <c r="M89" s="240"/>
      <c r="N89" s="240"/>
      <c r="O89" s="281"/>
      <c r="P89" s="736"/>
      <c r="Q89" s="277"/>
      <c r="R89" s="277"/>
      <c r="S89" s="277"/>
      <c r="T89" s="277"/>
      <c r="U89" s="277"/>
      <c r="V89" s="277"/>
    </row>
    <row r="90" spans="1:22" s="243" customFormat="1" ht="15" customHeight="1">
      <c r="A90" s="234" t="s">
        <v>17</v>
      </c>
      <c r="B90" s="238">
        <v>841403</v>
      </c>
      <c r="C90" s="239" t="s">
        <v>48</v>
      </c>
      <c r="D90" s="274" t="s">
        <v>540</v>
      </c>
      <c r="E90" s="275"/>
      <c r="F90" s="465">
        <f t="shared" si="1"/>
        <v>119713</v>
      </c>
      <c r="G90" s="240"/>
      <c r="H90" s="240"/>
      <c r="I90" s="240">
        <v>10213</v>
      </c>
      <c r="J90" s="240">
        <v>82000</v>
      </c>
      <c r="K90" s="240"/>
      <c r="L90" s="240"/>
      <c r="M90" s="240">
        <v>27500</v>
      </c>
      <c r="N90" s="241"/>
      <c r="O90" s="281"/>
      <c r="P90" s="736"/>
      <c r="Q90" s="277"/>
      <c r="R90" s="277"/>
      <c r="S90" s="277"/>
      <c r="T90" s="277"/>
      <c r="U90" s="277"/>
      <c r="V90" s="277"/>
    </row>
    <row r="91" spans="1:22" s="243" customFormat="1" ht="15" customHeight="1">
      <c r="A91" s="234"/>
      <c r="B91" s="238"/>
      <c r="C91" s="239"/>
      <c r="D91" s="271" t="s">
        <v>915</v>
      </c>
      <c r="E91" s="275">
        <v>5000</v>
      </c>
      <c r="F91" s="465">
        <f t="shared" si="1"/>
        <v>162060</v>
      </c>
      <c r="G91" s="240"/>
      <c r="H91" s="240"/>
      <c r="I91" s="240">
        <v>12476</v>
      </c>
      <c r="J91" s="240">
        <v>86846</v>
      </c>
      <c r="K91" s="240"/>
      <c r="L91" s="240"/>
      <c r="M91" s="240">
        <v>62738</v>
      </c>
      <c r="N91" s="241"/>
      <c r="O91" s="281"/>
      <c r="P91" s="736"/>
      <c r="Q91" s="277"/>
      <c r="R91" s="277"/>
      <c r="S91" s="277"/>
      <c r="T91" s="277"/>
      <c r="U91" s="277"/>
      <c r="V91" s="277"/>
    </row>
    <row r="92" spans="1:22" s="243" customFormat="1" ht="15" customHeight="1">
      <c r="A92" s="234"/>
      <c r="B92" s="238"/>
      <c r="C92" s="239"/>
      <c r="D92" s="271" t="s">
        <v>741</v>
      </c>
      <c r="E92" s="275">
        <v>5330</v>
      </c>
      <c r="F92" s="465">
        <f t="shared" si="1"/>
        <v>160493</v>
      </c>
      <c r="G92" s="240"/>
      <c r="H92" s="240"/>
      <c r="I92" s="240">
        <v>10909</v>
      </c>
      <c r="J92" s="240">
        <v>86846</v>
      </c>
      <c r="K92" s="240"/>
      <c r="L92" s="240"/>
      <c r="M92" s="240">
        <v>62738</v>
      </c>
      <c r="N92" s="241"/>
      <c r="O92" s="281"/>
      <c r="P92" s="736"/>
      <c r="Q92" s="277"/>
      <c r="R92" s="277"/>
      <c r="S92" s="277"/>
      <c r="T92" s="277"/>
      <c r="U92" s="277"/>
      <c r="V92" s="277"/>
    </row>
    <row r="93" spans="1:22" s="243" customFormat="1" ht="15.75" customHeight="1">
      <c r="A93" s="234" t="s">
        <v>17</v>
      </c>
      <c r="B93" s="238">
        <v>841403</v>
      </c>
      <c r="C93" s="239" t="s">
        <v>49</v>
      </c>
      <c r="D93" s="274" t="s">
        <v>540</v>
      </c>
      <c r="E93" s="275"/>
      <c r="F93" s="465">
        <f t="shared" si="1"/>
        <v>24601</v>
      </c>
      <c r="G93" s="236">
        <v>1344</v>
      </c>
      <c r="H93" s="236">
        <v>363</v>
      </c>
      <c r="I93" s="236">
        <v>10944</v>
      </c>
      <c r="J93" s="236">
        <v>6000</v>
      </c>
      <c r="K93" s="236"/>
      <c r="L93" s="236"/>
      <c r="M93" s="236">
        <v>5950</v>
      </c>
      <c r="N93" s="236"/>
      <c r="O93" s="276"/>
      <c r="P93" s="736"/>
      <c r="Q93" s="277"/>
      <c r="R93" s="277"/>
      <c r="S93" s="277"/>
      <c r="T93" s="277"/>
      <c r="U93" s="277"/>
      <c r="V93" s="277"/>
    </row>
    <row r="94" spans="1:22" s="243" customFormat="1" ht="15.75" customHeight="1">
      <c r="A94" s="234"/>
      <c r="B94" s="238"/>
      <c r="C94" s="239"/>
      <c r="D94" s="271" t="s">
        <v>915</v>
      </c>
      <c r="E94" s="275"/>
      <c r="F94" s="465">
        <f t="shared" si="1"/>
        <v>8443</v>
      </c>
      <c r="G94" s="236">
        <v>200</v>
      </c>
      <c r="H94" s="236">
        <v>363</v>
      </c>
      <c r="I94" s="236">
        <v>3944</v>
      </c>
      <c r="J94" s="236">
        <v>2300</v>
      </c>
      <c r="K94" s="236"/>
      <c r="L94" s="236"/>
      <c r="M94" s="236">
        <v>1636</v>
      </c>
      <c r="N94" s="236"/>
      <c r="O94" s="276"/>
      <c r="P94" s="736"/>
      <c r="Q94" s="277"/>
      <c r="R94" s="277"/>
      <c r="S94" s="277"/>
      <c r="T94" s="277"/>
      <c r="U94" s="277"/>
      <c r="V94" s="277"/>
    </row>
    <row r="95" spans="1:22" s="243" customFormat="1" ht="15.75" customHeight="1">
      <c r="A95" s="234"/>
      <c r="B95" s="238"/>
      <c r="C95" s="239"/>
      <c r="D95" s="271" t="s">
        <v>741</v>
      </c>
      <c r="E95" s="275"/>
      <c r="F95" s="465">
        <f t="shared" si="1"/>
        <v>8443</v>
      </c>
      <c r="G95" s="236">
        <v>200</v>
      </c>
      <c r="H95" s="236">
        <v>363</v>
      </c>
      <c r="I95" s="236">
        <v>3944</v>
      </c>
      <c r="J95" s="236">
        <v>2300</v>
      </c>
      <c r="K95" s="236"/>
      <c r="L95" s="236"/>
      <c r="M95" s="236">
        <v>1636</v>
      </c>
      <c r="N95" s="236"/>
      <c r="O95" s="276"/>
      <c r="P95" s="736"/>
      <c r="Q95" s="277"/>
      <c r="R95" s="277"/>
      <c r="S95" s="277"/>
      <c r="T95" s="277"/>
      <c r="U95" s="277"/>
      <c r="V95" s="277"/>
    </row>
    <row r="96" spans="1:22" s="243" customFormat="1" ht="15" customHeight="1">
      <c r="A96" s="234" t="s">
        <v>35</v>
      </c>
      <c r="B96" s="238">
        <v>841901</v>
      </c>
      <c r="C96" s="239" t="s">
        <v>50</v>
      </c>
      <c r="D96" s="274" t="s">
        <v>540</v>
      </c>
      <c r="E96" s="275">
        <v>778320</v>
      </c>
      <c r="F96" s="465">
        <f t="shared" si="1"/>
        <v>0</v>
      </c>
      <c r="G96" s="236"/>
      <c r="H96" s="236"/>
      <c r="I96" s="236"/>
      <c r="J96" s="236"/>
      <c r="K96" s="236"/>
      <c r="L96" s="236"/>
      <c r="M96" s="236"/>
      <c r="N96" s="236"/>
      <c r="O96" s="276"/>
      <c r="P96" s="736"/>
      <c r="Q96" s="277"/>
      <c r="R96" s="277"/>
      <c r="S96" s="277"/>
      <c r="T96" s="277"/>
      <c r="U96" s="277"/>
      <c r="V96" s="277"/>
    </row>
    <row r="97" spans="1:22" s="243" customFormat="1" ht="15" customHeight="1">
      <c r="A97" s="234"/>
      <c r="B97" s="238"/>
      <c r="C97" s="239"/>
      <c r="D97" s="271" t="s">
        <v>915</v>
      </c>
      <c r="E97" s="275">
        <v>916040</v>
      </c>
      <c r="F97" s="465">
        <f t="shared" si="1"/>
        <v>0</v>
      </c>
      <c r="G97" s="236"/>
      <c r="H97" s="236"/>
      <c r="I97" s="236"/>
      <c r="J97" s="236"/>
      <c r="K97" s="236"/>
      <c r="L97" s="236"/>
      <c r="M97" s="236"/>
      <c r="N97" s="236"/>
      <c r="O97" s="276"/>
      <c r="P97" s="736"/>
      <c r="Q97" s="277"/>
      <c r="R97" s="277"/>
      <c r="S97" s="277"/>
      <c r="T97" s="277"/>
      <c r="U97" s="277"/>
      <c r="V97" s="277"/>
    </row>
    <row r="98" spans="1:22" s="243" customFormat="1" ht="15" customHeight="1">
      <c r="A98" s="234"/>
      <c r="B98" s="238"/>
      <c r="C98" s="239"/>
      <c r="D98" s="271" t="s">
        <v>741</v>
      </c>
      <c r="E98" s="275">
        <v>912916</v>
      </c>
      <c r="F98" s="465">
        <f t="shared" si="1"/>
        <v>0</v>
      </c>
      <c r="G98" s="236"/>
      <c r="H98" s="236"/>
      <c r="I98" s="236"/>
      <c r="J98" s="236"/>
      <c r="K98" s="236"/>
      <c r="L98" s="236"/>
      <c r="M98" s="236"/>
      <c r="N98" s="236"/>
      <c r="O98" s="276"/>
      <c r="P98" s="736"/>
      <c r="Q98" s="277"/>
      <c r="R98" s="277"/>
      <c r="S98" s="277"/>
      <c r="T98" s="277"/>
      <c r="U98" s="277"/>
      <c r="V98" s="277"/>
    </row>
    <row r="99" spans="1:22" s="243" customFormat="1" ht="15" customHeight="1">
      <c r="A99" s="234" t="s">
        <v>35</v>
      </c>
      <c r="B99" s="238">
        <v>841902</v>
      </c>
      <c r="C99" s="239" t="s">
        <v>51</v>
      </c>
      <c r="D99" s="274" t="s">
        <v>540</v>
      </c>
      <c r="E99" s="275"/>
      <c r="F99" s="465">
        <f t="shared" si="1"/>
        <v>1000</v>
      </c>
      <c r="G99" s="240"/>
      <c r="H99" s="240"/>
      <c r="I99" s="240">
        <v>1000</v>
      </c>
      <c r="J99" s="240"/>
      <c r="K99" s="240"/>
      <c r="L99" s="240"/>
      <c r="M99" s="240"/>
      <c r="N99" s="240"/>
      <c r="O99" s="281"/>
      <c r="P99" s="736"/>
      <c r="Q99" s="277"/>
      <c r="R99" s="277"/>
      <c r="S99" s="277"/>
      <c r="T99" s="277"/>
      <c r="U99" s="277"/>
      <c r="V99" s="277"/>
    </row>
    <row r="100" spans="1:22" s="243" customFormat="1" ht="15" customHeight="1">
      <c r="A100" s="234"/>
      <c r="B100" s="238"/>
      <c r="C100" s="239"/>
      <c r="D100" s="271" t="s">
        <v>915</v>
      </c>
      <c r="E100" s="275"/>
      <c r="F100" s="465">
        <f t="shared" si="1"/>
        <v>2019</v>
      </c>
      <c r="G100" s="240"/>
      <c r="H100" s="240"/>
      <c r="I100" s="240">
        <v>2019</v>
      </c>
      <c r="J100" s="240"/>
      <c r="K100" s="240"/>
      <c r="L100" s="240"/>
      <c r="M100" s="240"/>
      <c r="N100" s="240"/>
      <c r="O100" s="281"/>
      <c r="P100" s="736"/>
      <c r="Q100" s="277"/>
      <c r="R100" s="277"/>
      <c r="S100" s="277"/>
      <c r="T100" s="277"/>
      <c r="U100" s="277"/>
      <c r="V100" s="277"/>
    </row>
    <row r="101" spans="1:22" s="243" customFormat="1" ht="15" customHeight="1">
      <c r="A101" s="234"/>
      <c r="B101" s="238"/>
      <c r="C101" s="239"/>
      <c r="D101" s="271" t="s">
        <v>741</v>
      </c>
      <c r="E101" s="275"/>
      <c r="F101" s="465">
        <f t="shared" si="1"/>
        <v>8119</v>
      </c>
      <c r="G101" s="240"/>
      <c r="H101" s="240"/>
      <c r="I101" s="240">
        <v>8119</v>
      </c>
      <c r="J101" s="240"/>
      <c r="K101" s="240"/>
      <c r="L101" s="240"/>
      <c r="M101" s="240"/>
      <c r="N101" s="240"/>
      <c r="O101" s="281"/>
      <c r="P101" s="736"/>
      <c r="Q101" s="277"/>
      <c r="R101" s="277"/>
      <c r="S101" s="277"/>
      <c r="T101" s="277"/>
      <c r="U101" s="277"/>
      <c r="V101" s="277"/>
    </row>
    <row r="102" spans="1:22" s="243" customFormat="1" ht="15" customHeight="1">
      <c r="A102" s="234" t="s">
        <v>35</v>
      </c>
      <c r="B102" s="238">
        <v>841906</v>
      </c>
      <c r="C102" s="239" t="s">
        <v>52</v>
      </c>
      <c r="D102" s="274" t="s">
        <v>540</v>
      </c>
      <c r="E102" s="275">
        <v>714718</v>
      </c>
      <c r="F102" s="465">
        <f t="shared" si="1"/>
        <v>178798</v>
      </c>
      <c r="G102" s="240"/>
      <c r="H102" s="240"/>
      <c r="I102" s="240">
        <v>52213</v>
      </c>
      <c r="J102" s="240">
        <v>3046</v>
      </c>
      <c r="K102" s="240"/>
      <c r="L102" s="240"/>
      <c r="M102" s="240"/>
      <c r="N102" s="240">
        <v>123539</v>
      </c>
      <c r="O102" s="281"/>
      <c r="P102" s="736"/>
      <c r="Q102" s="277"/>
      <c r="R102" s="277"/>
      <c r="S102" s="277"/>
      <c r="T102" s="277"/>
      <c r="U102" s="277"/>
      <c r="V102" s="277"/>
    </row>
    <row r="103" spans="1:22" s="243" customFormat="1" ht="15" customHeight="1">
      <c r="A103" s="234"/>
      <c r="B103" s="238"/>
      <c r="C103" s="239"/>
      <c r="D103" s="271" t="s">
        <v>915</v>
      </c>
      <c r="E103" s="275">
        <v>674899</v>
      </c>
      <c r="F103" s="465">
        <f t="shared" si="1"/>
        <v>134954</v>
      </c>
      <c r="G103" s="240"/>
      <c r="H103" s="240"/>
      <c r="I103" s="240">
        <v>33329</v>
      </c>
      <c r="J103" s="240">
        <v>3046</v>
      </c>
      <c r="K103" s="240"/>
      <c r="L103" s="240"/>
      <c r="M103" s="240"/>
      <c r="N103" s="240">
        <v>98579</v>
      </c>
      <c r="O103" s="281"/>
      <c r="P103" s="736"/>
      <c r="Q103" s="277"/>
      <c r="R103" s="277"/>
      <c r="S103" s="277"/>
      <c r="T103" s="277"/>
      <c r="U103" s="277"/>
      <c r="V103" s="277"/>
    </row>
    <row r="104" spans="1:22" s="243" customFormat="1" ht="15" customHeight="1">
      <c r="A104" s="234"/>
      <c r="B104" s="238"/>
      <c r="C104" s="239"/>
      <c r="D104" s="271" t="s">
        <v>741</v>
      </c>
      <c r="E104" s="275"/>
      <c r="F104" s="465">
        <f t="shared" si="1"/>
        <v>134954</v>
      </c>
      <c r="G104" s="240"/>
      <c r="H104" s="240"/>
      <c r="I104" s="240">
        <v>33329</v>
      </c>
      <c r="J104" s="240">
        <v>3046</v>
      </c>
      <c r="K104" s="240"/>
      <c r="L104" s="240"/>
      <c r="M104" s="240"/>
      <c r="N104" s="240">
        <v>98579</v>
      </c>
      <c r="O104" s="281"/>
      <c r="P104" s="736"/>
      <c r="Q104" s="277"/>
      <c r="R104" s="277"/>
      <c r="S104" s="277"/>
      <c r="T104" s="277"/>
      <c r="U104" s="277"/>
      <c r="V104" s="277"/>
    </row>
    <row r="105" spans="1:22" s="243" customFormat="1" ht="15" customHeight="1">
      <c r="A105" s="234" t="s">
        <v>35</v>
      </c>
      <c r="B105" s="238">
        <v>841907</v>
      </c>
      <c r="C105" s="239" t="s">
        <v>53</v>
      </c>
      <c r="D105" s="274" t="s">
        <v>540</v>
      </c>
      <c r="E105" s="275"/>
      <c r="F105" s="465">
        <f t="shared" si="1"/>
        <v>1507660</v>
      </c>
      <c r="G105" s="240"/>
      <c r="H105" s="240"/>
      <c r="I105" s="240"/>
      <c r="J105" s="240"/>
      <c r="K105" s="240"/>
      <c r="L105" s="240"/>
      <c r="M105" s="240"/>
      <c r="N105" s="240"/>
      <c r="O105" s="281"/>
      <c r="P105" s="737">
        <v>1507660</v>
      </c>
      <c r="Q105" s="277"/>
      <c r="R105" s="277"/>
      <c r="S105" s="277"/>
      <c r="T105" s="277"/>
      <c r="U105" s="277"/>
      <c r="V105" s="277"/>
    </row>
    <row r="106" spans="1:22" s="243" customFormat="1" ht="15" customHeight="1">
      <c r="A106" s="853"/>
      <c r="B106" s="854"/>
      <c r="C106" s="855"/>
      <c r="D106" s="920" t="s">
        <v>915</v>
      </c>
      <c r="E106" s="917"/>
      <c r="F106" s="465">
        <f t="shared" si="1"/>
        <v>1527375</v>
      </c>
      <c r="G106" s="858"/>
      <c r="H106" s="858"/>
      <c r="I106" s="858"/>
      <c r="J106" s="858"/>
      <c r="K106" s="858"/>
      <c r="L106" s="858"/>
      <c r="M106" s="858"/>
      <c r="N106" s="858"/>
      <c r="O106" s="918"/>
      <c r="P106" s="921">
        <v>1527375</v>
      </c>
      <c r="Q106" s="277"/>
      <c r="R106" s="277"/>
      <c r="S106" s="277"/>
      <c r="T106" s="277"/>
      <c r="U106" s="277"/>
      <c r="V106" s="277"/>
    </row>
    <row r="107" spans="1:22" s="243" customFormat="1" ht="15" customHeight="1">
      <c r="A107" s="992"/>
      <c r="B107" s="993"/>
      <c r="C107" s="994"/>
      <c r="D107" s="271" t="s">
        <v>741</v>
      </c>
      <c r="E107" s="995"/>
      <c r="F107" s="465">
        <f t="shared" si="1"/>
        <v>1538275</v>
      </c>
      <c r="G107" s="1003"/>
      <c r="H107" s="1003"/>
      <c r="I107" s="1003"/>
      <c r="J107" s="1003"/>
      <c r="K107" s="1003"/>
      <c r="L107" s="1003"/>
      <c r="M107" s="1003"/>
      <c r="N107" s="1003"/>
      <c r="O107" s="1005"/>
      <c r="P107" s="999">
        <v>1538275</v>
      </c>
      <c r="Q107" s="277"/>
      <c r="R107" s="277"/>
      <c r="S107" s="277"/>
      <c r="T107" s="277"/>
      <c r="U107" s="277"/>
      <c r="V107" s="277"/>
    </row>
    <row r="108" spans="1:22" s="243" customFormat="1" ht="15" customHeight="1">
      <c r="A108" s="226" t="s">
        <v>35</v>
      </c>
      <c r="B108" s="784">
        <v>841908</v>
      </c>
      <c r="C108" s="233" t="s">
        <v>601</v>
      </c>
      <c r="D108" s="271" t="s">
        <v>540</v>
      </c>
      <c r="E108" s="272"/>
      <c r="F108" s="465">
        <f t="shared" si="1"/>
        <v>13000</v>
      </c>
      <c r="G108" s="785"/>
      <c r="H108" s="785"/>
      <c r="I108" s="785"/>
      <c r="J108" s="785"/>
      <c r="K108" s="785"/>
      <c r="L108" s="785"/>
      <c r="M108" s="785"/>
      <c r="N108" s="785"/>
      <c r="O108" s="787">
        <v>13000</v>
      </c>
      <c r="P108" s="735"/>
      <c r="Q108" s="277"/>
      <c r="R108" s="277"/>
      <c r="S108" s="277"/>
      <c r="T108" s="277"/>
      <c r="U108" s="277"/>
      <c r="V108" s="277"/>
    </row>
    <row r="109" spans="1:22" s="243" customFormat="1" ht="15" customHeight="1">
      <c r="A109" s="234"/>
      <c r="B109" s="238"/>
      <c r="C109" s="239"/>
      <c r="D109" s="271" t="s">
        <v>915</v>
      </c>
      <c r="E109" s="275"/>
      <c r="F109" s="465">
        <f t="shared" si="1"/>
        <v>2645</v>
      </c>
      <c r="G109" s="240"/>
      <c r="H109" s="240"/>
      <c r="I109" s="240"/>
      <c r="J109" s="240"/>
      <c r="K109" s="240"/>
      <c r="L109" s="240"/>
      <c r="M109" s="240"/>
      <c r="N109" s="240"/>
      <c r="O109" s="281">
        <v>2645</v>
      </c>
      <c r="P109" s="736"/>
      <c r="Q109" s="277"/>
      <c r="R109" s="277"/>
      <c r="S109" s="277"/>
      <c r="T109" s="277"/>
      <c r="U109" s="277"/>
      <c r="V109" s="277"/>
    </row>
    <row r="110" spans="1:22" s="243" customFormat="1" ht="15" customHeight="1">
      <c r="A110" s="234"/>
      <c r="B110" s="238"/>
      <c r="C110" s="239"/>
      <c r="D110" s="271" t="s">
        <v>741</v>
      </c>
      <c r="E110" s="275"/>
      <c r="F110" s="465">
        <f t="shared" si="1"/>
        <v>0</v>
      </c>
      <c r="G110" s="240"/>
      <c r="H110" s="240"/>
      <c r="I110" s="240"/>
      <c r="J110" s="240"/>
      <c r="K110" s="240"/>
      <c r="L110" s="240"/>
      <c r="M110" s="240"/>
      <c r="N110" s="240"/>
      <c r="O110" s="281"/>
      <c r="P110" s="736"/>
      <c r="Q110" s="277"/>
      <c r="R110" s="277"/>
      <c r="S110" s="277"/>
      <c r="T110" s="277"/>
      <c r="U110" s="277"/>
      <c r="V110" s="277"/>
    </row>
    <row r="111" spans="1:22" s="243" customFormat="1" ht="15" customHeight="1">
      <c r="A111" s="234" t="s">
        <v>35</v>
      </c>
      <c r="B111" s="238">
        <v>841908</v>
      </c>
      <c r="C111" s="239" t="s">
        <v>54</v>
      </c>
      <c r="D111" s="274" t="s">
        <v>540</v>
      </c>
      <c r="E111" s="275"/>
      <c r="F111" s="465">
        <f t="shared" si="1"/>
        <v>196632</v>
      </c>
      <c r="G111" s="240"/>
      <c r="H111" s="240"/>
      <c r="I111" s="240"/>
      <c r="J111" s="240"/>
      <c r="K111" s="240"/>
      <c r="L111" s="240"/>
      <c r="M111" s="240"/>
      <c r="N111" s="240"/>
      <c r="O111" s="281">
        <v>196632</v>
      </c>
      <c r="P111" s="736"/>
      <c r="Q111" s="277"/>
      <c r="R111" s="277"/>
      <c r="S111" s="277"/>
      <c r="T111" s="277"/>
      <c r="U111" s="277"/>
      <c r="V111" s="277"/>
    </row>
    <row r="112" spans="1:22" s="243" customFormat="1" ht="15" customHeight="1">
      <c r="A112" s="234"/>
      <c r="B112" s="238"/>
      <c r="C112" s="239"/>
      <c r="D112" s="271" t="s">
        <v>915</v>
      </c>
      <c r="E112" s="275"/>
      <c r="F112" s="465">
        <f t="shared" si="1"/>
        <v>186627</v>
      </c>
      <c r="G112" s="240"/>
      <c r="H112" s="240"/>
      <c r="I112" s="240"/>
      <c r="J112" s="240"/>
      <c r="K112" s="240"/>
      <c r="L112" s="240"/>
      <c r="M112" s="240"/>
      <c r="N112" s="240"/>
      <c r="O112" s="281">
        <v>186627</v>
      </c>
      <c r="P112" s="736"/>
      <c r="Q112" s="277"/>
      <c r="R112" s="277"/>
      <c r="S112" s="277"/>
      <c r="T112" s="277"/>
      <c r="U112" s="277"/>
      <c r="V112" s="277"/>
    </row>
    <row r="113" spans="1:22" s="243" customFormat="1" ht="15" customHeight="1">
      <c r="A113" s="234"/>
      <c r="B113" s="238"/>
      <c r="C113" s="239"/>
      <c r="D113" s="271" t="s">
        <v>741</v>
      </c>
      <c r="E113" s="275"/>
      <c r="F113" s="465">
        <f t="shared" si="1"/>
        <v>24303</v>
      </c>
      <c r="G113" s="240"/>
      <c r="H113" s="240"/>
      <c r="I113" s="240"/>
      <c r="J113" s="240"/>
      <c r="K113" s="240"/>
      <c r="L113" s="240"/>
      <c r="M113" s="240"/>
      <c r="N113" s="240"/>
      <c r="O113" s="281">
        <v>24303</v>
      </c>
      <c r="P113" s="736"/>
      <c r="Q113" s="277"/>
      <c r="R113" s="277"/>
      <c r="S113" s="277"/>
      <c r="T113" s="277"/>
      <c r="U113" s="277"/>
      <c r="V113" s="277"/>
    </row>
    <row r="114" spans="1:22" s="243" customFormat="1" ht="15" customHeight="1">
      <c r="A114" s="234" t="s">
        <v>23</v>
      </c>
      <c r="B114" s="238">
        <v>842155</v>
      </c>
      <c r="C114" s="239" t="s">
        <v>55</v>
      </c>
      <c r="D114" s="274" t="s">
        <v>540</v>
      </c>
      <c r="E114" s="275"/>
      <c r="F114" s="465">
        <f t="shared" si="1"/>
        <v>80</v>
      </c>
      <c r="G114" s="240"/>
      <c r="H114" s="240"/>
      <c r="I114" s="240"/>
      <c r="J114" s="240">
        <v>80</v>
      </c>
      <c r="K114" s="240"/>
      <c r="L114" s="240"/>
      <c r="M114" s="240"/>
      <c r="N114" s="241"/>
      <c r="O114" s="281"/>
      <c r="P114" s="736"/>
      <c r="Q114" s="277"/>
      <c r="R114" s="277"/>
      <c r="S114" s="277"/>
      <c r="T114" s="277"/>
      <c r="U114" s="277"/>
      <c r="V114" s="277"/>
    </row>
    <row r="115" spans="1:22" s="243" customFormat="1" ht="15" customHeight="1">
      <c r="A115" s="234"/>
      <c r="B115" s="238"/>
      <c r="C115" s="239"/>
      <c r="D115" s="271" t="s">
        <v>915</v>
      </c>
      <c r="E115" s="275"/>
      <c r="F115" s="465">
        <f t="shared" si="1"/>
        <v>80</v>
      </c>
      <c r="G115" s="240"/>
      <c r="H115" s="240"/>
      <c r="I115" s="240"/>
      <c r="J115" s="240">
        <v>80</v>
      </c>
      <c r="K115" s="240"/>
      <c r="L115" s="240"/>
      <c r="M115" s="240"/>
      <c r="N115" s="241"/>
      <c r="O115" s="281"/>
      <c r="P115" s="736"/>
      <c r="Q115" s="277"/>
      <c r="R115" s="277"/>
      <c r="S115" s="277"/>
      <c r="T115" s="277"/>
      <c r="U115" s="277"/>
      <c r="V115" s="277"/>
    </row>
    <row r="116" spans="1:22" s="243" customFormat="1" ht="15" customHeight="1">
      <c r="A116" s="234"/>
      <c r="B116" s="238"/>
      <c r="C116" s="239"/>
      <c r="D116" s="271" t="s">
        <v>741</v>
      </c>
      <c r="E116" s="275"/>
      <c r="F116" s="465">
        <f t="shared" si="1"/>
        <v>190</v>
      </c>
      <c r="G116" s="240"/>
      <c r="H116" s="240"/>
      <c r="I116" s="240">
        <v>110</v>
      </c>
      <c r="J116" s="240">
        <v>80</v>
      </c>
      <c r="K116" s="240"/>
      <c r="L116" s="240"/>
      <c r="M116" s="240"/>
      <c r="N116" s="241"/>
      <c r="O116" s="281"/>
      <c r="P116" s="736"/>
      <c r="Q116" s="277"/>
      <c r="R116" s="277"/>
      <c r="S116" s="277"/>
      <c r="T116" s="277"/>
      <c r="U116" s="277"/>
      <c r="V116" s="277"/>
    </row>
    <row r="117" spans="1:22" s="243" customFormat="1" ht="15" customHeight="1">
      <c r="A117" s="234" t="s">
        <v>23</v>
      </c>
      <c r="B117" s="238">
        <v>842155</v>
      </c>
      <c r="C117" s="239" t="s">
        <v>56</v>
      </c>
      <c r="D117" s="274" t="s">
        <v>540</v>
      </c>
      <c r="E117" s="275"/>
      <c r="F117" s="465">
        <f t="shared" si="1"/>
        <v>20293</v>
      </c>
      <c r="G117" s="240"/>
      <c r="H117" s="240">
        <v>2570</v>
      </c>
      <c r="I117" s="240">
        <v>17723</v>
      </c>
      <c r="J117" s="240"/>
      <c r="K117" s="240"/>
      <c r="L117" s="240"/>
      <c r="M117" s="240"/>
      <c r="N117" s="240"/>
      <c r="O117" s="281"/>
      <c r="P117" s="736"/>
      <c r="Q117" s="277"/>
      <c r="R117" s="277"/>
      <c r="S117" s="277"/>
      <c r="T117" s="277"/>
      <c r="U117" s="277"/>
      <c r="V117" s="277"/>
    </row>
    <row r="118" spans="1:22" s="243" customFormat="1" ht="15" customHeight="1">
      <c r="A118" s="853"/>
      <c r="B118" s="854"/>
      <c r="C118" s="855"/>
      <c r="D118" s="916" t="s">
        <v>915</v>
      </c>
      <c r="E118" s="917">
        <v>1505</v>
      </c>
      <c r="F118" s="465">
        <f t="shared" si="1"/>
        <v>21798</v>
      </c>
      <c r="G118" s="858">
        <v>1155</v>
      </c>
      <c r="H118" s="858">
        <v>1770</v>
      </c>
      <c r="I118" s="858">
        <v>18523</v>
      </c>
      <c r="J118" s="858">
        <v>350</v>
      </c>
      <c r="K118" s="858"/>
      <c r="L118" s="858"/>
      <c r="M118" s="858"/>
      <c r="N118" s="858"/>
      <c r="O118" s="918"/>
      <c r="P118" s="736"/>
      <c r="Q118" s="277"/>
      <c r="R118" s="277"/>
      <c r="S118" s="277"/>
      <c r="T118" s="277"/>
      <c r="U118" s="277"/>
      <c r="V118" s="277"/>
    </row>
    <row r="119" spans="1:22" s="243" customFormat="1" ht="15" customHeight="1" thickBot="1">
      <c r="A119" s="1006"/>
      <c r="B119" s="1007"/>
      <c r="C119" s="1008"/>
      <c r="D119" s="1169" t="s">
        <v>741</v>
      </c>
      <c r="E119" s="1009">
        <v>1709</v>
      </c>
      <c r="F119" s="1166">
        <f t="shared" si="1"/>
        <v>28002</v>
      </c>
      <c r="G119" s="1010">
        <v>1355</v>
      </c>
      <c r="H119" s="1010">
        <v>3870</v>
      </c>
      <c r="I119" s="1010">
        <v>22223</v>
      </c>
      <c r="J119" s="1010">
        <v>554</v>
      </c>
      <c r="K119" s="1010"/>
      <c r="L119" s="1010"/>
      <c r="M119" s="1010"/>
      <c r="N119" s="1010"/>
      <c r="O119" s="1011"/>
      <c r="P119" s="1012"/>
      <c r="Q119" s="277"/>
      <c r="R119" s="277"/>
      <c r="S119" s="277"/>
      <c r="T119" s="277"/>
      <c r="U119" s="277"/>
      <c r="V119" s="277"/>
    </row>
    <row r="120" spans="1:22" s="243" customFormat="1" ht="15" customHeight="1">
      <c r="A120" s="288" t="s">
        <v>23</v>
      </c>
      <c r="B120" s="1013">
        <v>842155</v>
      </c>
      <c r="C120" s="1014" t="s">
        <v>57</v>
      </c>
      <c r="D120" s="1015" t="s">
        <v>540</v>
      </c>
      <c r="E120" s="1016">
        <v>3900</v>
      </c>
      <c r="F120" s="1017">
        <f t="shared" si="1"/>
        <v>0</v>
      </c>
      <c r="G120" s="1021"/>
      <c r="H120" s="1021"/>
      <c r="I120" s="1021"/>
      <c r="J120" s="1021"/>
      <c r="K120" s="1021"/>
      <c r="L120" s="1021"/>
      <c r="M120" s="1021"/>
      <c r="N120" s="1021"/>
      <c r="O120" s="1022"/>
      <c r="P120" s="1020"/>
      <c r="Q120" s="277"/>
      <c r="R120" s="277"/>
      <c r="S120" s="277"/>
      <c r="T120" s="277"/>
      <c r="U120" s="277"/>
      <c r="V120" s="277"/>
    </row>
    <row r="121" spans="1:22" s="243" customFormat="1" ht="15" customHeight="1">
      <c r="A121" s="234"/>
      <c r="B121" s="238"/>
      <c r="C121" s="239"/>
      <c r="D121" s="271" t="s">
        <v>915</v>
      </c>
      <c r="E121" s="275">
        <v>3900</v>
      </c>
      <c r="F121" s="465">
        <f t="shared" si="1"/>
        <v>0</v>
      </c>
      <c r="G121" s="240"/>
      <c r="H121" s="240"/>
      <c r="I121" s="240"/>
      <c r="J121" s="240"/>
      <c r="K121" s="240"/>
      <c r="L121" s="240"/>
      <c r="M121" s="240"/>
      <c r="N121" s="240"/>
      <c r="O121" s="281"/>
      <c r="P121" s="736"/>
      <c r="Q121" s="277"/>
      <c r="R121" s="277"/>
      <c r="S121" s="277"/>
      <c r="T121" s="277"/>
      <c r="U121" s="277"/>
      <c r="V121" s="277"/>
    </row>
    <row r="122" spans="1:22" s="243" customFormat="1" ht="15" customHeight="1">
      <c r="A122" s="234"/>
      <c r="B122" s="238"/>
      <c r="C122" s="239"/>
      <c r="D122" s="271" t="s">
        <v>741</v>
      </c>
      <c r="E122" s="275">
        <v>3900</v>
      </c>
      <c r="F122" s="465">
        <f t="shared" si="1"/>
        <v>60</v>
      </c>
      <c r="G122" s="240"/>
      <c r="H122" s="240"/>
      <c r="I122" s="240">
        <v>60</v>
      </c>
      <c r="J122" s="240"/>
      <c r="K122" s="240"/>
      <c r="L122" s="240"/>
      <c r="M122" s="240"/>
      <c r="N122" s="240"/>
      <c r="O122" s="281"/>
      <c r="P122" s="736"/>
      <c r="Q122" s="277"/>
      <c r="R122" s="277"/>
      <c r="S122" s="277"/>
      <c r="T122" s="277"/>
      <c r="U122" s="277"/>
      <c r="V122" s="277"/>
    </row>
    <row r="123" spans="1:22" s="243" customFormat="1" ht="15" customHeight="1">
      <c r="A123" s="234" t="s">
        <v>23</v>
      </c>
      <c r="B123" s="238">
        <v>842155</v>
      </c>
      <c r="C123" s="239" t="s">
        <v>813</v>
      </c>
      <c r="D123" s="274" t="s">
        <v>540</v>
      </c>
      <c r="E123" s="275"/>
      <c r="F123" s="465">
        <f t="shared" si="1"/>
        <v>0</v>
      </c>
      <c r="G123" s="240"/>
      <c r="H123" s="240"/>
      <c r="I123" s="240"/>
      <c r="J123" s="240"/>
      <c r="K123" s="240"/>
      <c r="L123" s="240"/>
      <c r="M123" s="240"/>
      <c r="N123" s="240"/>
      <c r="O123" s="281"/>
      <c r="P123" s="736"/>
      <c r="Q123" s="277"/>
      <c r="R123" s="277"/>
      <c r="S123" s="277"/>
      <c r="T123" s="277"/>
      <c r="U123" s="277"/>
      <c r="V123" s="277"/>
    </row>
    <row r="124" spans="1:22" s="243" customFormat="1" ht="15" customHeight="1">
      <c r="A124" s="234"/>
      <c r="B124" s="238"/>
      <c r="C124" s="239"/>
      <c r="D124" s="271" t="s">
        <v>915</v>
      </c>
      <c r="E124" s="275"/>
      <c r="F124" s="465">
        <f t="shared" si="1"/>
        <v>3137</v>
      </c>
      <c r="G124" s="240"/>
      <c r="H124" s="240"/>
      <c r="I124" s="240"/>
      <c r="J124" s="240"/>
      <c r="K124" s="240"/>
      <c r="L124" s="240"/>
      <c r="M124" s="240">
        <v>3137</v>
      </c>
      <c r="N124" s="240"/>
      <c r="O124" s="281"/>
      <c r="P124" s="736"/>
      <c r="Q124" s="277"/>
      <c r="R124" s="277"/>
      <c r="S124" s="277"/>
      <c r="T124" s="277"/>
      <c r="U124" s="277"/>
      <c r="V124" s="277"/>
    </row>
    <row r="125" spans="1:22" s="243" customFormat="1" ht="15" customHeight="1">
      <c r="A125" s="234"/>
      <c r="B125" s="238"/>
      <c r="C125" s="239"/>
      <c r="D125" s="271" t="s">
        <v>741</v>
      </c>
      <c r="E125" s="275"/>
      <c r="F125" s="465">
        <f t="shared" si="1"/>
        <v>0</v>
      </c>
      <c r="G125" s="240"/>
      <c r="H125" s="240"/>
      <c r="I125" s="240"/>
      <c r="J125" s="240"/>
      <c r="K125" s="240"/>
      <c r="L125" s="240"/>
      <c r="M125" s="240"/>
      <c r="N125" s="240"/>
      <c r="O125" s="281"/>
      <c r="P125" s="736"/>
      <c r="Q125" s="277"/>
      <c r="R125" s="277"/>
      <c r="S125" s="277"/>
      <c r="T125" s="277"/>
      <c r="U125" s="277"/>
      <c r="V125" s="277"/>
    </row>
    <row r="126" spans="1:22" s="243" customFormat="1" ht="15" customHeight="1">
      <c r="A126" s="234" t="s">
        <v>23</v>
      </c>
      <c r="B126" s="238">
        <v>842155</v>
      </c>
      <c r="C126" s="239" t="s">
        <v>814</v>
      </c>
      <c r="D126" s="274" t="s">
        <v>540</v>
      </c>
      <c r="E126" s="275"/>
      <c r="F126" s="465">
        <f t="shared" si="1"/>
        <v>0</v>
      </c>
      <c r="G126" s="240"/>
      <c r="H126" s="240"/>
      <c r="I126" s="240"/>
      <c r="J126" s="240"/>
      <c r="K126" s="240"/>
      <c r="L126" s="240"/>
      <c r="M126" s="240"/>
      <c r="N126" s="240"/>
      <c r="O126" s="281"/>
      <c r="P126" s="736"/>
      <c r="Q126" s="277"/>
      <c r="R126" s="277"/>
      <c r="S126" s="277"/>
      <c r="T126" s="277"/>
      <c r="U126" s="277"/>
      <c r="V126" s="277"/>
    </row>
    <row r="127" spans="1:22" s="243" customFormat="1" ht="15" customHeight="1">
      <c r="A127" s="234"/>
      <c r="B127" s="238"/>
      <c r="C127" s="239"/>
      <c r="D127" s="271" t="s">
        <v>915</v>
      </c>
      <c r="E127" s="275">
        <v>3062</v>
      </c>
      <c r="F127" s="465">
        <f t="shared" si="1"/>
        <v>3062</v>
      </c>
      <c r="G127" s="240"/>
      <c r="H127" s="240"/>
      <c r="I127" s="240">
        <v>3062</v>
      </c>
      <c r="J127" s="240"/>
      <c r="K127" s="240"/>
      <c r="L127" s="240"/>
      <c r="M127" s="240"/>
      <c r="N127" s="240"/>
      <c r="O127" s="281"/>
      <c r="P127" s="736"/>
      <c r="Q127" s="277"/>
      <c r="R127" s="277"/>
      <c r="S127" s="277"/>
      <c r="T127" s="277"/>
      <c r="U127" s="277"/>
      <c r="V127" s="277"/>
    </row>
    <row r="128" spans="1:22" s="243" customFormat="1" ht="15" customHeight="1">
      <c r="A128" s="234"/>
      <c r="B128" s="238"/>
      <c r="C128" s="239"/>
      <c r="D128" s="271" t="s">
        <v>741</v>
      </c>
      <c r="E128" s="275">
        <v>3062</v>
      </c>
      <c r="F128" s="465">
        <f t="shared" si="1"/>
        <v>5462</v>
      </c>
      <c r="G128" s="240">
        <v>650</v>
      </c>
      <c r="H128" s="240">
        <v>160</v>
      </c>
      <c r="I128" s="240">
        <v>4652</v>
      </c>
      <c r="J128" s="240"/>
      <c r="K128" s="240"/>
      <c r="L128" s="240"/>
      <c r="M128" s="240"/>
      <c r="N128" s="240"/>
      <c r="O128" s="281"/>
      <c r="P128" s="736"/>
      <c r="Q128" s="277"/>
      <c r="R128" s="277"/>
      <c r="S128" s="277"/>
      <c r="T128" s="277"/>
      <c r="U128" s="277"/>
      <c r="V128" s="277"/>
    </row>
    <row r="129" spans="1:22" s="243" customFormat="1" ht="15" customHeight="1">
      <c r="A129" s="234" t="s">
        <v>23</v>
      </c>
      <c r="B129" s="238">
        <v>842155</v>
      </c>
      <c r="C129" s="239" t="s">
        <v>58</v>
      </c>
      <c r="D129" s="274" t="s">
        <v>539</v>
      </c>
      <c r="E129" s="275">
        <v>2600</v>
      </c>
      <c r="F129" s="465">
        <f t="shared" si="1"/>
        <v>5600</v>
      </c>
      <c r="G129" s="240"/>
      <c r="H129" s="240"/>
      <c r="I129" s="240">
        <v>5600</v>
      </c>
      <c r="J129" s="240"/>
      <c r="K129" s="240"/>
      <c r="L129" s="240"/>
      <c r="M129" s="240"/>
      <c r="N129" s="240"/>
      <c r="O129" s="281"/>
      <c r="P129" s="736"/>
      <c r="Q129" s="277"/>
      <c r="R129" s="277"/>
      <c r="S129" s="277"/>
      <c r="T129" s="277"/>
      <c r="U129" s="277"/>
      <c r="V129" s="277"/>
    </row>
    <row r="130" spans="1:22" s="243" customFormat="1" ht="15" customHeight="1">
      <c r="A130" s="234"/>
      <c r="B130" s="238"/>
      <c r="C130" s="239"/>
      <c r="D130" s="271" t="s">
        <v>915</v>
      </c>
      <c r="E130" s="275">
        <v>2600</v>
      </c>
      <c r="F130" s="465">
        <f t="shared" si="1"/>
        <v>5600</v>
      </c>
      <c r="G130" s="240"/>
      <c r="H130" s="240"/>
      <c r="I130" s="240">
        <v>5600</v>
      </c>
      <c r="J130" s="240"/>
      <c r="K130" s="240"/>
      <c r="L130" s="240"/>
      <c r="M130" s="240"/>
      <c r="N130" s="240"/>
      <c r="O130" s="281"/>
      <c r="P130" s="736"/>
      <c r="Q130" s="277"/>
      <c r="R130" s="277"/>
      <c r="S130" s="277"/>
      <c r="T130" s="277"/>
      <c r="U130" s="277"/>
      <c r="V130" s="277"/>
    </row>
    <row r="131" spans="1:22" s="243" customFormat="1" ht="15" customHeight="1">
      <c r="A131" s="234"/>
      <c r="B131" s="238"/>
      <c r="C131" s="239"/>
      <c r="D131" s="271" t="s">
        <v>741</v>
      </c>
      <c r="E131" s="275">
        <v>2600</v>
      </c>
      <c r="F131" s="465">
        <f t="shared" si="1"/>
        <v>5630</v>
      </c>
      <c r="G131" s="240"/>
      <c r="H131" s="240"/>
      <c r="I131" s="240">
        <v>5630</v>
      </c>
      <c r="J131" s="240"/>
      <c r="K131" s="240"/>
      <c r="L131" s="240"/>
      <c r="M131" s="240"/>
      <c r="N131" s="240"/>
      <c r="O131" s="281"/>
      <c r="P131" s="736"/>
      <c r="Q131" s="277"/>
      <c r="R131" s="277"/>
      <c r="S131" s="277"/>
      <c r="T131" s="277"/>
      <c r="U131" s="277"/>
      <c r="V131" s="277"/>
    </row>
    <row r="132" spans="1:22" s="243" customFormat="1" ht="15" customHeight="1">
      <c r="A132" s="234" t="s">
        <v>17</v>
      </c>
      <c r="B132" s="238">
        <v>842421</v>
      </c>
      <c r="C132" s="239" t="s">
        <v>59</v>
      </c>
      <c r="D132" s="274" t="s">
        <v>540</v>
      </c>
      <c r="E132" s="275">
        <v>618</v>
      </c>
      <c r="F132" s="465">
        <f t="shared" si="1"/>
        <v>7648</v>
      </c>
      <c r="G132" s="240"/>
      <c r="H132" s="240"/>
      <c r="I132" s="240">
        <v>68</v>
      </c>
      <c r="J132" s="240">
        <v>2500</v>
      </c>
      <c r="K132" s="240"/>
      <c r="L132" s="240"/>
      <c r="M132" s="240">
        <v>5080</v>
      </c>
      <c r="N132" s="240"/>
      <c r="O132" s="281"/>
      <c r="P132" s="736"/>
      <c r="Q132" s="277"/>
      <c r="R132" s="277"/>
      <c r="S132" s="277"/>
      <c r="T132" s="277"/>
      <c r="U132" s="277"/>
      <c r="V132" s="277"/>
    </row>
    <row r="133" spans="1:22" s="243" customFormat="1" ht="15" customHeight="1">
      <c r="A133" s="234"/>
      <c r="B133" s="238"/>
      <c r="C133" s="239"/>
      <c r="D133" s="271" t="s">
        <v>915</v>
      </c>
      <c r="E133" s="275">
        <v>1803</v>
      </c>
      <c r="F133" s="465">
        <f t="shared" si="1"/>
        <v>6712</v>
      </c>
      <c r="G133" s="240"/>
      <c r="H133" s="240"/>
      <c r="I133" s="240">
        <v>68</v>
      </c>
      <c r="J133" s="240">
        <v>2500</v>
      </c>
      <c r="K133" s="240"/>
      <c r="L133" s="240"/>
      <c r="M133" s="240">
        <v>4144</v>
      </c>
      <c r="N133" s="240"/>
      <c r="O133" s="281"/>
      <c r="P133" s="736"/>
      <c r="Q133" s="277"/>
      <c r="R133" s="277"/>
      <c r="S133" s="277"/>
      <c r="T133" s="277"/>
      <c r="U133" s="277"/>
      <c r="V133" s="277"/>
    </row>
    <row r="134" spans="1:22" s="243" customFormat="1" ht="15" customHeight="1">
      <c r="A134" s="234"/>
      <c r="B134" s="238"/>
      <c r="C134" s="239"/>
      <c r="D134" s="271" t="s">
        <v>741</v>
      </c>
      <c r="E134" s="275">
        <v>300</v>
      </c>
      <c r="F134" s="465">
        <f t="shared" si="1"/>
        <v>6712</v>
      </c>
      <c r="G134" s="240"/>
      <c r="H134" s="240"/>
      <c r="I134" s="240">
        <v>68</v>
      </c>
      <c r="J134" s="240">
        <v>2500</v>
      </c>
      <c r="K134" s="240"/>
      <c r="L134" s="240"/>
      <c r="M134" s="240">
        <v>4144</v>
      </c>
      <c r="N134" s="240"/>
      <c r="O134" s="281"/>
      <c r="P134" s="736"/>
      <c r="Q134" s="277"/>
      <c r="R134" s="277"/>
      <c r="S134" s="277"/>
      <c r="T134" s="277"/>
      <c r="U134" s="277"/>
      <c r="V134" s="277"/>
    </row>
    <row r="135" spans="1:22" s="243" customFormat="1" ht="15" customHeight="1">
      <c r="A135" s="234" t="s">
        <v>17</v>
      </c>
      <c r="B135" s="238">
        <v>842521</v>
      </c>
      <c r="C135" s="239" t="s">
        <v>60</v>
      </c>
      <c r="D135" s="274" t="s">
        <v>540</v>
      </c>
      <c r="E135" s="275"/>
      <c r="F135" s="465">
        <f t="shared" si="1"/>
        <v>2000</v>
      </c>
      <c r="G135" s="240"/>
      <c r="H135" s="240"/>
      <c r="I135" s="240">
        <v>2000</v>
      </c>
      <c r="J135" s="240"/>
      <c r="K135" s="240"/>
      <c r="L135" s="240"/>
      <c r="M135" s="240"/>
      <c r="N135" s="240"/>
      <c r="O135" s="281"/>
      <c r="P135" s="736"/>
      <c r="Q135" s="277"/>
      <c r="R135" s="277"/>
      <c r="S135" s="277"/>
      <c r="T135" s="277"/>
      <c r="U135" s="277"/>
      <c r="V135" s="277"/>
    </row>
    <row r="136" spans="1:22" s="243" customFormat="1" ht="15" customHeight="1">
      <c r="A136" s="234"/>
      <c r="B136" s="238"/>
      <c r="C136" s="239"/>
      <c r="D136" s="271" t="s">
        <v>915</v>
      </c>
      <c r="E136" s="275"/>
      <c r="F136" s="465">
        <f t="shared" si="1"/>
        <v>10422</v>
      </c>
      <c r="G136" s="240"/>
      <c r="H136" s="240"/>
      <c r="I136" s="240">
        <v>8922</v>
      </c>
      <c r="J136" s="240">
        <v>1500</v>
      </c>
      <c r="K136" s="240"/>
      <c r="L136" s="240"/>
      <c r="M136" s="240"/>
      <c r="N136" s="240"/>
      <c r="O136" s="281"/>
      <c r="P136" s="736"/>
      <c r="Q136" s="277"/>
      <c r="R136" s="277"/>
      <c r="S136" s="277"/>
      <c r="T136" s="277"/>
      <c r="U136" s="277"/>
      <c r="V136" s="277"/>
    </row>
    <row r="137" spans="1:22" s="243" customFormat="1" ht="15" customHeight="1">
      <c r="A137" s="234"/>
      <c r="B137" s="238"/>
      <c r="C137" s="239"/>
      <c r="D137" s="271" t="s">
        <v>741</v>
      </c>
      <c r="E137" s="275"/>
      <c r="F137" s="465">
        <f t="shared" si="1"/>
        <v>7750</v>
      </c>
      <c r="G137" s="240"/>
      <c r="H137" s="240"/>
      <c r="I137" s="240">
        <v>6250</v>
      </c>
      <c r="J137" s="240">
        <v>1500</v>
      </c>
      <c r="K137" s="240"/>
      <c r="L137" s="240"/>
      <c r="M137" s="240"/>
      <c r="N137" s="240"/>
      <c r="O137" s="281"/>
      <c r="P137" s="736"/>
      <c r="Q137" s="277"/>
      <c r="R137" s="277"/>
      <c r="S137" s="277"/>
      <c r="T137" s="277"/>
      <c r="U137" s="277"/>
      <c r="V137" s="277"/>
    </row>
    <row r="138" spans="1:22" s="243" customFormat="1" ht="15" customHeight="1">
      <c r="A138" s="234" t="s">
        <v>17</v>
      </c>
      <c r="B138" s="238">
        <v>842532</v>
      </c>
      <c r="C138" s="239" t="s">
        <v>61</v>
      </c>
      <c r="D138" s="274" t="s">
        <v>540</v>
      </c>
      <c r="E138" s="275"/>
      <c r="F138" s="465">
        <f aca="true" t="shared" si="2" ref="F138:F201">SUM(G138:P138)</f>
        <v>600</v>
      </c>
      <c r="G138" s="236"/>
      <c r="H138" s="236"/>
      <c r="I138" s="236">
        <v>600</v>
      </c>
      <c r="J138" s="236"/>
      <c r="K138" s="236"/>
      <c r="L138" s="236"/>
      <c r="M138" s="236"/>
      <c r="N138" s="236"/>
      <c r="O138" s="276"/>
      <c r="P138" s="736"/>
      <c r="Q138" s="277"/>
      <c r="R138" s="277"/>
      <c r="S138" s="277"/>
      <c r="T138" s="277"/>
      <c r="U138" s="277"/>
      <c r="V138" s="277"/>
    </row>
    <row r="139" spans="1:22" s="243" customFormat="1" ht="15" customHeight="1">
      <c r="A139" s="234"/>
      <c r="B139" s="238"/>
      <c r="C139" s="239"/>
      <c r="D139" s="271" t="s">
        <v>915</v>
      </c>
      <c r="E139" s="275"/>
      <c r="F139" s="465">
        <f t="shared" si="2"/>
        <v>600</v>
      </c>
      <c r="G139" s="236"/>
      <c r="H139" s="236"/>
      <c r="I139" s="236">
        <v>600</v>
      </c>
      <c r="J139" s="236"/>
      <c r="K139" s="236"/>
      <c r="L139" s="236"/>
      <c r="M139" s="236"/>
      <c r="N139" s="236"/>
      <c r="O139" s="276"/>
      <c r="P139" s="736"/>
      <c r="Q139" s="277"/>
      <c r="R139" s="277"/>
      <c r="S139" s="277"/>
      <c r="T139" s="277"/>
      <c r="U139" s="277"/>
      <c r="V139" s="277"/>
    </row>
    <row r="140" spans="1:22" s="243" customFormat="1" ht="15" customHeight="1">
      <c r="A140" s="234"/>
      <c r="B140" s="238"/>
      <c r="C140" s="239"/>
      <c r="D140" s="271" t="s">
        <v>741</v>
      </c>
      <c r="E140" s="275"/>
      <c r="F140" s="465">
        <f t="shared" si="2"/>
        <v>600</v>
      </c>
      <c r="G140" s="236"/>
      <c r="H140" s="236"/>
      <c r="I140" s="236">
        <v>600</v>
      </c>
      <c r="J140" s="236"/>
      <c r="K140" s="236"/>
      <c r="L140" s="236"/>
      <c r="M140" s="236"/>
      <c r="N140" s="236"/>
      <c r="O140" s="276"/>
      <c r="P140" s="736"/>
      <c r="Q140" s="277"/>
      <c r="R140" s="277"/>
      <c r="S140" s="277"/>
      <c r="T140" s="277"/>
      <c r="U140" s="277"/>
      <c r="V140" s="277"/>
    </row>
    <row r="141" spans="1:22" s="243" customFormat="1" ht="15" customHeight="1">
      <c r="A141" s="234" t="s">
        <v>17</v>
      </c>
      <c r="B141" s="238">
        <v>851011</v>
      </c>
      <c r="C141" s="239" t="s">
        <v>62</v>
      </c>
      <c r="D141" s="274" t="s">
        <v>540</v>
      </c>
      <c r="E141" s="275">
        <v>52290</v>
      </c>
      <c r="F141" s="465">
        <f t="shared" si="2"/>
        <v>64290</v>
      </c>
      <c r="G141" s="240"/>
      <c r="H141" s="240"/>
      <c r="I141" s="240"/>
      <c r="J141" s="240">
        <v>12000</v>
      </c>
      <c r="K141" s="240"/>
      <c r="L141" s="240"/>
      <c r="M141" s="240"/>
      <c r="N141" s="240"/>
      <c r="O141" s="281">
        <v>52290</v>
      </c>
      <c r="P141" s="736"/>
      <c r="Q141" s="277"/>
      <c r="R141" s="277"/>
      <c r="S141" s="277"/>
      <c r="T141" s="277"/>
      <c r="U141" s="277"/>
      <c r="V141" s="277"/>
    </row>
    <row r="142" spans="1:22" s="243" customFormat="1" ht="15" customHeight="1">
      <c r="A142" s="234"/>
      <c r="B142" s="238"/>
      <c r="C142" s="239"/>
      <c r="D142" s="271" t="s">
        <v>915</v>
      </c>
      <c r="E142" s="275"/>
      <c r="F142" s="465">
        <f t="shared" si="2"/>
        <v>14341</v>
      </c>
      <c r="G142" s="240"/>
      <c r="H142" s="240"/>
      <c r="I142" s="240"/>
      <c r="J142" s="240">
        <v>14341</v>
      </c>
      <c r="K142" s="240"/>
      <c r="L142" s="240"/>
      <c r="M142" s="240"/>
      <c r="N142" s="240"/>
      <c r="O142" s="281"/>
      <c r="P142" s="736"/>
      <c r="Q142" s="277"/>
      <c r="R142" s="277"/>
      <c r="S142" s="277"/>
      <c r="T142" s="277"/>
      <c r="U142" s="277"/>
      <c r="V142" s="277"/>
    </row>
    <row r="143" spans="1:22" s="243" customFormat="1" ht="15" customHeight="1">
      <c r="A143" s="234"/>
      <c r="B143" s="238"/>
      <c r="C143" s="239"/>
      <c r="D143" s="271" t="s">
        <v>741</v>
      </c>
      <c r="E143" s="275"/>
      <c r="F143" s="465">
        <f t="shared" si="2"/>
        <v>14341</v>
      </c>
      <c r="G143" s="240"/>
      <c r="H143" s="240"/>
      <c r="I143" s="240"/>
      <c r="J143" s="240">
        <v>14341</v>
      </c>
      <c r="K143" s="240"/>
      <c r="L143" s="240"/>
      <c r="M143" s="240"/>
      <c r="N143" s="240"/>
      <c r="O143" s="281"/>
      <c r="P143" s="736"/>
      <c r="Q143" s="277"/>
      <c r="R143" s="277"/>
      <c r="S143" s="277"/>
      <c r="T143" s="277"/>
      <c r="U143" s="277"/>
      <c r="V143" s="277"/>
    </row>
    <row r="144" spans="1:22" s="243" customFormat="1" ht="15" customHeight="1">
      <c r="A144" s="234" t="s">
        <v>23</v>
      </c>
      <c r="B144" s="238">
        <v>852000</v>
      </c>
      <c r="C144" s="239" t="s">
        <v>63</v>
      </c>
      <c r="D144" s="274" t="s">
        <v>540</v>
      </c>
      <c r="E144" s="275"/>
      <c r="F144" s="465">
        <f t="shared" si="2"/>
        <v>57982</v>
      </c>
      <c r="G144" s="240"/>
      <c r="H144" s="240"/>
      <c r="I144" s="240">
        <v>1600</v>
      </c>
      <c r="J144" s="240">
        <v>56382</v>
      </c>
      <c r="K144" s="240"/>
      <c r="L144" s="240"/>
      <c r="M144" s="240"/>
      <c r="N144" s="240"/>
      <c r="O144" s="281"/>
      <c r="P144" s="736"/>
      <c r="Q144" s="277"/>
      <c r="R144" s="277"/>
      <c r="S144" s="277"/>
      <c r="T144" s="277"/>
      <c r="U144" s="277"/>
      <c r="V144" s="277"/>
    </row>
    <row r="145" spans="1:22" s="243" customFormat="1" ht="15" customHeight="1">
      <c r="A145" s="790"/>
      <c r="B145" s="244"/>
      <c r="C145" s="245"/>
      <c r="D145" s="271" t="s">
        <v>915</v>
      </c>
      <c r="E145" s="285"/>
      <c r="F145" s="465">
        <f t="shared" si="2"/>
        <v>57382</v>
      </c>
      <c r="G145" s="791"/>
      <c r="H145" s="791"/>
      <c r="I145" s="791">
        <v>1600</v>
      </c>
      <c r="J145" s="791">
        <v>55782</v>
      </c>
      <c r="K145" s="791"/>
      <c r="L145" s="791"/>
      <c r="M145" s="791"/>
      <c r="N145" s="791"/>
      <c r="O145" s="930"/>
      <c r="P145" s="736"/>
      <c r="Q145" s="277"/>
      <c r="R145" s="277"/>
      <c r="S145" s="277"/>
      <c r="T145" s="277"/>
      <c r="U145" s="277"/>
      <c r="V145" s="277"/>
    </row>
    <row r="146" spans="1:22" s="243" customFormat="1" ht="15" customHeight="1">
      <c r="A146" s="790"/>
      <c r="B146" s="244"/>
      <c r="C146" s="245"/>
      <c r="D146" s="271" t="s">
        <v>741</v>
      </c>
      <c r="E146" s="285"/>
      <c r="F146" s="465">
        <f t="shared" si="2"/>
        <v>57382</v>
      </c>
      <c r="G146" s="791"/>
      <c r="H146" s="791"/>
      <c r="I146" s="791">
        <v>1600</v>
      </c>
      <c r="J146" s="791">
        <v>55782</v>
      </c>
      <c r="K146" s="791"/>
      <c r="L146" s="791"/>
      <c r="M146" s="791"/>
      <c r="N146" s="791"/>
      <c r="O146" s="930"/>
      <c r="P146" s="739"/>
      <c r="Q146" s="277"/>
      <c r="R146" s="277"/>
      <c r="S146" s="277"/>
      <c r="T146" s="277"/>
      <c r="U146" s="277"/>
      <c r="V146" s="277"/>
    </row>
    <row r="147" spans="1:16" s="277" customFormat="1" ht="15" customHeight="1">
      <c r="A147" s="234" t="s">
        <v>23</v>
      </c>
      <c r="B147" s="473">
        <v>852000</v>
      </c>
      <c r="C147" s="788" t="s">
        <v>64</v>
      </c>
      <c r="D147" s="792" t="s">
        <v>540</v>
      </c>
      <c r="E147" s="235"/>
      <c r="F147" s="465">
        <f t="shared" si="2"/>
        <v>1862</v>
      </c>
      <c r="G147" s="236">
        <v>1862</v>
      </c>
      <c r="H147" s="236"/>
      <c r="I147" s="236"/>
      <c r="J147" s="236"/>
      <c r="K147" s="236"/>
      <c r="L147" s="236"/>
      <c r="M147" s="236"/>
      <c r="N147" s="236"/>
      <c r="O147" s="236"/>
      <c r="P147" s="793"/>
    </row>
    <row r="148" spans="1:16" s="277" customFormat="1" ht="15" customHeight="1">
      <c r="A148" s="234"/>
      <c r="B148" s="238"/>
      <c r="C148" s="239"/>
      <c r="D148" s="271" t="s">
        <v>915</v>
      </c>
      <c r="E148" s="275"/>
      <c r="F148" s="465">
        <f t="shared" si="2"/>
        <v>1862</v>
      </c>
      <c r="G148" s="236">
        <v>1862</v>
      </c>
      <c r="H148" s="236"/>
      <c r="I148" s="236"/>
      <c r="J148" s="236"/>
      <c r="K148" s="236"/>
      <c r="L148" s="236"/>
      <c r="M148" s="236"/>
      <c r="N148" s="236"/>
      <c r="O148" s="276"/>
      <c r="P148" s="736"/>
    </row>
    <row r="149" spans="1:16" s="277" customFormat="1" ht="15" customHeight="1">
      <c r="A149" s="234"/>
      <c r="B149" s="238"/>
      <c r="C149" s="239"/>
      <c r="D149" s="271" t="s">
        <v>741</v>
      </c>
      <c r="E149" s="275"/>
      <c r="F149" s="465">
        <f t="shared" si="2"/>
        <v>1862</v>
      </c>
      <c r="G149" s="236">
        <v>1862</v>
      </c>
      <c r="H149" s="236"/>
      <c r="I149" s="236"/>
      <c r="J149" s="236"/>
      <c r="K149" s="236"/>
      <c r="L149" s="236"/>
      <c r="M149" s="236"/>
      <c r="N149" s="236"/>
      <c r="O149" s="276"/>
      <c r="P149" s="736"/>
    </row>
    <row r="150" spans="1:22" s="243" customFormat="1" ht="15" customHeight="1">
      <c r="A150" s="234" t="s">
        <v>23</v>
      </c>
      <c r="B150" s="238">
        <v>853000</v>
      </c>
      <c r="C150" s="239" t="s">
        <v>65</v>
      </c>
      <c r="D150" s="274" t="s">
        <v>540</v>
      </c>
      <c r="E150" s="275"/>
      <c r="F150" s="465">
        <f t="shared" si="2"/>
        <v>0</v>
      </c>
      <c r="G150" s="236"/>
      <c r="H150" s="236"/>
      <c r="I150" s="236"/>
      <c r="J150" s="236"/>
      <c r="K150" s="236"/>
      <c r="L150" s="236"/>
      <c r="M150" s="236"/>
      <c r="N150" s="236"/>
      <c r="O150" s="276"/>
      <c r="P150" s="736"/>
      <c r="Q150" s="277"/>
      <c r="R150" s="277"/>
      <c r="S150" s="277"/>
      <c r="T150" s="277"/>
      <c r="U150" s="277"/>
      <c r="V150" s="277"/>
    </row>
    <row r="151" spans="1:22" s="243" customFormat="1" ht="15" customHeight="1">
      <c r="A151" s="234"/>
      <c r="B151" s="238"/>
      <c r="C151" s="239"/>
      <c r="D151" s="271" t="s">
        <v>915</v>
      </c>
      <c r="E151" s="275"/>
      <c r="F151" s="465">
        <f t="shared" si="2"/>
        <v>32000</v>
      </c>
      <c r="G151" s="236"/>
      <c r="H151" s="236"/>
      <c r="I151" s="236"/>
      <c r="J151" s="236">
        <v>32000</v>
      </c>
      <c r="K151" s="236"/>
      <c r="L151" s="236"/>
      <c r="M151" s="236"/>
      <c r="N151" s="236"/>
      <c r="O151" s="276"/>
      <c r="P151" s="736"/>
      <c r="Q151" s="277"/>
      <c r="R151" s="277"/>
      <c r="S151" s="277"/>
      <c r="T151" s="277"/>
      <c r="U151" s="277"/>
      <c r="V151" s="277"/>
    </row>
    <row r="152" spans="1:22" s="243" customFormat="1" ht="15" customHeight="1">
      <c r="A152" s="234"/>
      <c r="B152" s="238"/>
      <c r="C152" s="239"/>
      <c r="D152" s="271" t="s">
        <v>741</v>
      </c>
      <c r="E152" s="275"/>
      <c r="F152" s="465">
        <f t="shared" si="2"/>
        <v>32000</v>
      </c>
      <c r="G152" s="236"/>
      <c r="H152" s="236"/>
      <c r="I152" s="236"/>
      <c r="J152" s="236">
        <v>32000</v>
      </c>
      <c r="K152" s="236"/>
      <c r="L152" s="236"/>
      <c r="M152" s="236"/>
      <c r="N152" s="236"/>
      <c r="O152" s="276"/>
      <c r="P152" s="736"/>
      <c r="Q152" s="277"/>
      <c r="R152" s="277"/>
      <c r="S152" s="277"/>
      <c r="T152" s="277"/>
      <c r="U152" s="277"/>
      <c r="V152" s="277"/>
    </row>
    <row r="153" spans="1:22" s="243" customFormat="1" ht="15" customHeight="1">
      <c r="A153" s="234" t="s">
        <v>23</v>
      </c>
      <c r="B153" s="238">
        <v>855100</v>
      </c>
      <c r="C153" s="239" t="s">
        <v>66</v>
      </c>
      <c r="D153" s="274" t="s">
        <v>540</v>
      </c>
      <c r="E153" s="275">
        <v>38803</v>
      </c>
      <c r="F153" s="465">
        <f t="shared" si="2"/>
        <v>38803</v>
      </c>
      <c r="G153" s="240"/>
      <c r="H153" s="240"/>
      <c r="I153" s="240">
        <v>38803</v>
      </c>
      <c r="J153" s="240"/>
      <c r="K153" s="240"/>
      <c r="L153" s="240"/>
      <c r="M153" s="240"/>
      <c r="N153" s="241"/>
      <c r="O153" s="281"/>
      <c r="P153" s="736"/>
      <c r="Q153" s="277"/>
      <c r="R153" s="277"/>
      <c r="S153" s="277"/>
      <c r="T153" s="277"/>
      <c r="U153" s="277"/>
      <c r="V153" s="277"/>
    </row>
    <row r="154" spans="1:22" s="243" customFormat="1" ht="15" customHeight="1">
      <c r="A154" s="234"/>
      <c r="B154" s="238"/>
      <c r="C154" s="239"/>
      <c r="D154" s="271" t="s">
        <v>915</v>
      </c>
      <c r="E154" s="275">
        <v>38803</v>
      </c>
      <c r="F154" s="465">
        <f t="shared" si="2"/>
        <v>38803</v>
      </c>
      <c r="G154" s="240"/>
      <c r="H154" s="240"/>
      <c r="I154" s="240">
        <v>38803</v>
      </c>
      <c r="J154" s="240"/>
      <c r="K154" s="240"/>
      <c r="L154" s="240"/>
      <c r="M154" s="240"/>
      <c r="N154" s="241"/>
      <c r="O154" s="281"/>
      <c r="P154" s="736"/>
      <c r="Q154" s="277"/>
      <c r="R154" s="277"/>
      <c r="S154" s="277"/>
      <c r="T154" s="277"/>
      <c r="U154" s="277"/>
      <c r="V154" s="277"/>
    </row>
    <row r="155" spans="1:22" s="243" customFormat="1" ht="15" customHeight="1">
      <c r="A155" s="234"/>
      <c r="B155" s="238"/>
      <c r="C155" s="239"/>
      <c r="D155" s="271" t="s">
        <v>741</v>
      </c>
      <c r="E155" s="275">
        <v>45193</v>
      </c>
      <c r="F155" s="465">
        <f t="shared" si="2"/>
        <v>42703</v>
      </c>
      <c r="G155" s="240"/>
      <c r="H155" s="240"/>
      <c r="I155" s="240">
        <v>42703</v>
      </c>
      <c r="J155" s="240"/>
      <c r="K155" s="240"/>
      <c r="L155" s="240"/>
      <c r="M155" s="240"/>
      <c r="N155" s="241"/>
      <c r="O155" s="281"/>
      <c r="P155" s="736"/>
      <c r="Q155" s="277"/>
      <c r="R155" s="277"/>
      <c r="S155" s="277"/>
      <c r="T155" s="277"/>
      <c r="U155" s="277"/>
      <c r="V155" s="277"/>
    </row>
    <row r="156" spans="1:22" s="243" customFormat="1" ht="15" customHeight="1">
      <c r="A156" s="234" t="s">
        <v>23</v>
      </c>
      <c r="B156" s="238">
        <v>856020</v>
      </c>
      <c r="C156" s="239" t="s">
        <v>67</v>
      </c>
      <c r="D156" s="274" t="s">
        <v>540</v>
      </c>
      <c r="E156" s="275"/>
      <c r="F156" s="465">
        <f t="shared" si="2"/>
        <v>2500</v>
      </c>
      <c r="G156" s="240"/>
      <c r="H156" s="240"/>
      <c r="I156" s="240">
        <v>2500</v>
      </c>
      <c r="J156" s="240"/>
      <c r="K156" s="240"/>
      <c r="L156" s="240"/>
      <c r="M156" s="240"/>
      <c r="N156" s="241"/>
      <c r="O156" s="281"/>
      <c r="P156" s="736"/>
      <c r="Q156" s="277"/>
      <c r="R156" s="277"/>
      <c r="S156" s="277"/>
      <c r="T156" s="277"/>
      <c r="U156" s="277"/>
      <c r="V156" s="277"/>
    </row>
    <row r="157" spans="1:22" s="243" customFormat="1" ht="15" customHeight="1">
      <c r="A157" s="234"/>
      <c r="B157" s="238"/>
      <c r="C157" s="239"/>
      <c r="D157" s="271" t="s">
        <v>915</v>
      </c>
      <c r="E157" s="275">
        <v>8412</v>
      </c>
      <c r="F157" s="465">
        <f t="shared" si="2"/>
        <v>3100</v>
      </c>
      <c r="G157" s="240">
        <v>1083</v>
      </c>
      <c r="H157" s="240">
        <v>292</v>
      </c>
      <c r="I157" s="240">
        <v>1725</v>
      </c>
      <c r="J157" s="240"/>
      <c r="K157" s="240"/>
      <c r="L157" s="240"/>
      <c r="M157" s="240"/>
      <c r="N157" s="241"/>
      <c r="O157" s="281"/>
      <c r="P157" s="736"/>
      <c r="Q157" s="277"/>
      <c r="R157" s="277"/>
      <c r="S157" s="277"/>
      <c r="T157" s="277"/>
      <c r="U157" s="277"/>
      <c r="V157" s="277"/>
    </row>
    <row r="158" spans="1:22" s="243" customFormat="1" ht="15" customHeight="1">
      <c r="A158" s="234"/>
      <c r="B158" s="238"/>
      <c r="C158" s="239"/>
      <c r="D158" s="271" t="s">
        <v>741</v>
      </c>
      <c r="E158" s="275">
        <v>8412</v>
      </c>
      <c r="F158" s="465">
        <f t="shared" si="2"/>
        <v>3100</v>
      </c>
      <c r="G158" s="240">
        <v>1083</v>
      </c>
      <c r="H158" s="240">
        <v>292</v>
      </c>
      <c r="I158" s="240">
        <v>1725</v>
      </c>
      <c r="J158" s="240"/>
      <c r="K158" s="240"/>
      <c r="L158" s="240"/>
      <c r="M158" s="240"/>
      <c r="N158" s="241"/>
      <c r="O158" s="281"/>
      <c r="P158" s="736"/>
      <c r="Q158" s="277"/>
      <c r="R158" s="277"/>
      <c r="S158" s="277"/>
      <c r="T158" s="277"/>
      <c r="U158" s="277"/>
      <c r="V158" s="277"/>
    </row>
    <row r="159" spans="1:22" s="243" customFormat="1" ht="15" customHeight="1">
      <c r="A159" s="234" t="s">
        <v>23</v>
      </c>
      <c r="B159" s="238">
        <v>860000</v>
      </c>
      <c r="C159" s="239" t="s">
        <v>82</v>
      </c>
      <c r="D159" s="274" t="s">
        <v>540</v>
      </c>
      <c r="E159" s="275"/>
      <c r="F159" s="465">
        <f t="shared" si="2"/>
        <v>0</v>
      </c>
      <c r="G159" s="240"/>
      <c r="H159" s="240"/>
      <c r="I159" s="240"/>
      <c r="J159" s="240"/>
      <c r="K159" s="240"/>
      <c r="L159" s="240"/>
      <c r="M159" s="240"/>
      <c r="N159" s="241"/>
      <c r="O159" s="281"/>
      <c r="P159" s="736"/>
      <c r="Q159" s="277"/>
      <c r="R159" s="277"/>
      <c r="S159" s="277"/>
      <c r="T159" s="277"/>
      <c r="U159" s="277"/>
      <c r="V159" s="277"/>
    </row>
    <row r="160" spans="1:22" s="243" customFormat="1" ht="15" customHeight="1">
      <c r="A160" s="234"/>
      <c r="B160" s="238"/>
      <c r="C160" s="239"/>
      <c r="D160" s="271" t="s">
        <v>915</v>
      </c>
      <c r="E160" s="275"/>
      <c r="F160" s="465">
        <f t="shared" si="2"/>
        <v>0</v>
      </c>
      <c r="G160" s="240"/>
      <c r="H160" s="240"/>
      <c r="I160" s="240"/>
      <c r="J160" s="240"/>
      <c r="K160" s="240"/>
      <c r="L160" s="240"/>
      <c r="M160" s="240"/>
      <c r="N160" s="241"/>
      <c r="O160" s="281"/>
      <c r="P160" s="736"/>
      <c r="Q160" s="277"/>
      <c r="R160" s="277"/>
      <c r="S160" s="277"/>
      <c r="T160" s="277"/>
      <c r="U160" s="277"/>
      <c r="V160" s="277"/>
    </row>
    <row r="161" spans="1:22" s="243" customFormat="1" ht="15" customHeight="1">
      <c r="A161" s="234"/>
      <c r="B161" s="238"/>
      <c r="C161" s="239"/>
      <c r="D161" s="271" t="s">
        <v>741</v>
      </c>
      <c r="E161" s="275"/>
      <c r="F161" s="465">
        <f t="shared" si="2"/>
        <v>0</v>
      </c>
      <c r="G161" s="240"/>
      <c r="H161" s="240"/>
      <c r="I161" s="240"/>
      <c r="J161" s="240"/>
      <c r="K161" s="240"/>
      <c r="L161" s="240"/>
      <c r="M161" s="240"/>
      <c r="N161" s="241"/>
      <c r="O161" s="281"/>
      <c r="P161" s="736"/>
      <c r="Q161" s="277"/>
      <c r="R161" s="277"/>
      <c r="S161" s="277"/>
      <c r="T161" s="277"/>
      <c r="U161" s="277"/>
      <c r="V161" s="277"/>
    </row>
    <row r="162" spans="1:22" s="243" customFormat="1" ht="15" customHeight="1">
      <c r="A162" s="234" t="s">
        <v>17</v>
      </c>
      <c r="B162" s="238">
        <v>862000</v>
      </c>
      <c r="C162" s="239" t="s">
        <v>83</v>
      </c>
      <c r="D162" s="274" t="s">
        <v>540</v>
      </c>
      <c r="E162" s="275">
        <v>2100</v>
      </c>
      <c r="F162" s="465">
        <f t="shared" si="2"/>
        <v>7630</v>
      </c>
      <c r="G162" s="240"/>
      <c r="H162" s="240"/>
      <c r="I162" s="240"/>
      <c r="J162" s="240">
        <v>7630</v>
      </c>
      <c r="K162" s="240"/>
      <c r="L162" s="240"/>
      <c r="M162" s="240"/>
      <c r="N162" s="240"/>
      <c r="O162" s="281"/>
      <c r="P162" s="736"/>
      <c r="Q162" s="277"/>
      <c r="R162" s="277"/>
      <c r="S162" s="277"/>
      <c r="T162" s="277"/>
      <c r="U162" s="277"/>
      <c r="V162" s="277"/>
    </row>
    <row r="163" spans="1:22" s="243" customFormat="1" ht="15" customHeight="1">
      <c r="A163" s="853"/>
      <c r="B163" s="854"/>
      <c r="C163" s="855"/>
      <c r="D163" s="916" t="s">
        <v>915</v>
      </c>
      <c r="E163" s="917">
        <v>3665</v>
      </c>
      <c r="F163" s="465">
        <f t="shared" si="2"/>
        <v>9017</v>
      </c>
      <c r="G163" s="858"/>
      <c r="H163" s="858"/>
      <c r="I163" s="858">
        <v>1897</v>
      </c>
      <c r="J163" s="858">
        <v>7120</v>
      </c>
      <c r="K163" s="858"/>
      <c r="L163" s="858"/>
      <c r="M163" s="858"/>
      <c r="N163" s="858"/>
      <c r="O163" s="918"/>
      <c r="P163" s="919"/>
      <c r="Q163" s="277"/>
      <c r="R163" s="277"/>
      <c r="S163" s="277"/>
      <c r="T163" s="277"/>
      <c r="U163" s="277"/>
      <c r="V163" s="277"/>
    </row>
    <row r="164" spans="1:22" s="243" customFormat="1" ht="15" customHeight="1">
      <c r="A164" s="992"/>
      <c r="B164" s="993"/>
      <c r="C164" s="994"/>
      <c r="D164" s="271" t="s">
        <v>741</v>
      </c>
      <c r="E164" s="995">
        <v>3665</v>
      </c>
      <c r="F164" s="465">
        <f t="shared" si="2"/>
        <v>10844</v>
      </c>
      <c r="G164" s="1003"/>
      <c r="H164" s="1003"/>
      <c r="I164" s="1003">
        <v>1897</v>
      </c>
      <c r="J164" s="1003">
        <v>8947</v>
      </c>
      <c r="K164" s="1003"/>
      <c r="L164" s="1003"/>
      <c r="M164" s="1003"/>
      <c r="N164" s="1003"/>
      <c r="O164" s="1004"/>
      <c r="P164" s="736"/>
      <c r="Q164" s="277"/>
      <c r="R164" s="277"/>
      <c r="S164" s="277"/>
      <c r="T164" s="277"/>
      <c r="U164" s="277"/>
      <c r="V164" s="277"/>
    </row>
    <row r="165" spans="1:22" s="243" customFormat="1" ht="15" customHeight="1">
      <c r="A165" s="226" t="s">
        <v>23</v>
      </c>
      <c r="B165" s="784">
        <v>870000</v>
      </c>
      <c r="C165" s="233" t="s">
        <v>84</v>
      </c>
      <c r="D165" s="271" t="s">
        <v>540</v>
      </c>
      <c r="E165" s="272"/>
      <c r="F165" s="465">
        <f t="shared" si="2"/>
        <v>0</v>
      </c>
      <c r="G165" s="785"/>
      <c r="H165" s="785"/>
      <c r="I165" s="785"/>
      <c r="J165" s="785"/>
      <c r="K165" s="785"/>
      <c r="L165" s="785"/>
      <c r="M165" s="785"/>
      <c r="N165" s="785"/>
      <c r="O165" s="787"/>
      <c r="P165" s="735"/>
      <c r="Q165" s="277"/>
      <c r="R165" s="277"/>
      <c r="S165" s="277"/>
      <c r="T165" s="277"/>
      <c r="U165" s="277"/>
      <c r="V165" s="277"/>
    </row>
    <row r="166" spans="1:22" s="243" customFormat="1" ht="15" customHeight="1">
      <c r="A166" s="226"/>
      <c r="B166" s="784"/>
      <c r="C166" s="233"/>
      <c r="D166" s="271" t="s">
        <v>915</v>
      </c>
      <c r="E166" s="272"/>
      <c r="F166" s="465">
        <f t="shared" si="2"/>
        <v>82270</v>
      </c>
      <c r="G166" s="785"/>
      <c r="H166" s="785"/>
      <c r="I166" s="785"/>
      <c r="J166" s="785">
        <v>82270</v>
      </c>
      <c r="K166" s="785"/>
      <c r="L166" s="785"/>
      <c r="M166" s="785"/>
      <c r="N166" s="785"/>
      <c r="O166" s="787"/>
      <c r="P166" s="919"/>
      <c r="Q166" s="277"/>
      <c r="R166" s="277"/>
      <c r="S166" s="277"/>
      <c r="T166" s="277"/>
      <c r="U166" s="277"/>
      <c r="V166" s="277"/>
    </row>
    <row r="167" spans="1:22" s="243" customFormat="1" ht="15" customHeight="1">
      <c r="A167" s="226"/>
      <c r="B167" s="784"/>
      <c r="C167" s="233"/>
      <c r="D167" s="271" t="s">
        <v>741</v>
      </c>
      <c r="E167" s="272"/>
      <c r="F167" s="465">
        <f t="shared" si="2"/>
        <v>83160</v>
      </c>
      <c r="G167" s="785"/>
      <c r="H167" s="785"/>
      <c r="I167" s="785"/>
      <c r="J167" s="785">
        <v>83160</v>
      </c>
      <c r="K167" s="785"/>
      <c r="L167" s="785"/>
      <c r="M167" s="785"/>
      <c r="N167" s="785"/>
      <c r="O167" s="787"/>
      <c r="P167" s="735"/>
      <c r="Q167" s="277"/>
      <c r="R167" s="277"/>
      <c r="S167" s="277"/>
      <c r="T167" s="277"/>
      <c r="U167" s="277"/>
      <c r="V167" s="277"/>
    </row>
    <row r="168" spans="1:22" s="243" customFormat="1" ht="15" customHeight="1">
      <c r="A168" s="226" t="s">
        <v>17</v>
      </c>
      <c r="B168" s="784">
        <v>880000</v>
      </c>
      <c r="C168" s="233" t="s">
        <v>85</v>
      </c>
      <c r="D168" s="271" t="s">
        <v>540</v>
      </c>
      <c r="E168" s="272"/>
      <c r="F168" s="465">
        <f t="shared" si="2"/>
        <v>38320</v>
      </c>
      <c r="G168" s="785"/>
      <c r="H168" s="785"/>
      <c r="I168" s="785"/>
      <c r="J168" s="785">
        <v>10320</v>
      </c>
      <c r="K168" s="785">
        <v>28000</v>
      </c>
      <c r="L168" s="785"/>
      <c r="M168" s="785"/>
      <c r="N168" s="786"/>
      <c r="O168" s="787"/>
      <c r="P168" s="735"/>
      <c r="Q168" s="277"/>
      <c r="R168" s="277"/>
      <c r="S168" s="277"/>
      <c r="T168" s="277"/>
      <c r="U168" s="277"/>
      <c r="V168" s="277"/>
    </row>
    <row r="169" spans="1:22" s="243" customFormat="1" ht="15" customHeight="1">
      <c r="A169" s="234"/>
      <c r="B169" s="238"/>
      <c r="C169" s="239"/>
      <c r="D169" s="271" t="s">
        <v>915</v>
      </c>
      <c r="E169" s="275"/>
      <c r="F169" s="465">
        <f t="shared" si="2"/>
        <v>127637</v>
      </c>
      <c r="G169" s="240"/>
      <c r="H169" s="240"/>
      <c r="I169" s="240">
        <v>182</v>
      </c>
      <c r="J169" s="240">
        <v>98749</v>
      </c>
      <c r="K169" s="240">
        <v>28706</v>
      </c>
      <c r="L169" s="240"/>
      <c r="M169" s="240"/>
      <c r="N169" s="241"/>
      <c r="O169" s="281"/>
      <c r="P169" s="736"/>
      <c r="Q169" s="277"/>
      <c r="R169" s="277"/>
      <c r="S169" s="277"/>
      <c r="T169" s="277"/>
      <c r="U169" s="277"/>
      <c r="V169" s="277"/>
    </row>
    <row r="170" spans="1:22" s="243" customFormat="1" ht="15" customHeight="1">
      <c r="A170" s="234"/>
      <c r="B170" s="238"/>
      <c r="C170" s="239"/>
      <c r="D170" s="271" t="s">
        <v>741</v>
      </c>
      <c r="E170" s="275"/>
      <c r="F170" s="465">
        <f t="shared" si="2"/>
        <v>126287</v>
      </c>
      <c r="G170" s="240"/>
      <c r="H170" s="240"/>
      <c r="I170" s="240">
        <v>182</v>
      </c>
      <c r="J170" s="240">
        <v>97399</v>
      </c>
      <c r="K170" s="240">
        <v>28706</v>
      </c>
      <c r="L170" s="240"/>
      <c r="M170" s="240"/>
      <c r="N170" s="241"/>
      <c r="O170" s="281"/>
      <c r="P170" s="736"/>
      <c r="Q170" s="277"/>
      <c r="R170" s="277"/>
      <c r="S170" s="277"/>
      <c r="T170" s="277"/>
      <c r="U170" s="277"/>
      <c r="V170" s="277"/>
    </row>
    <row r="171" spans="1:22" s="243" customFormat="1" ht="15" customHeight="1">
      <c r="A171" s="234" t="s">
        <v>17</v>
      </c>
      <c r="B171" s="238">
        <v>882111</v>
      </c>
      <c r="C171" s="239" t="s">
        <v>86</v>
      </c>
      <c r="D171" s="274" t="s">
        <v>540</v>
      </c>
      <c r="E171" s="275">
        <v>50000</v>
      </c>
      <c r="F171" s="465">
        <f t="shared" si="2"/>
        <v>0</v>
      </c>
      <c r="G171" s="240"/>
      <c r="H171" s="240"/>
      <c r="I171" s="240"/>
      <c r="J171" s="240"/>
      <c r="K171" s="240"/>
      <c r="L171" s="240"/>
      <c r="M171" s="240"/>
      <c r="N171" s="241"/>
      <c r="O171" s="281"/>
      <c r="P171" s="736"/>
      <c r="Q171" s="277"/>
      <c r="R171" s="277"/>
      <c r="S171" s="277"/>
      <c r="T171" s="277"/>
      <c r="U171" s="277"/>
      <c r="V171" s="277"/>
    </row>
    <row r="172" spans="1:22" s="243" customFormat="1" ht="15" customHeight="1">
      <c r="A172" s="234"/>
      <c r="B172" s="238"/>
      <c r="C172" s="239"/>
      <c r="D172" s="271" t="s">
        <v>915</v>
      </c>
      <c r="E172" s="275">
        <v>50000</v>
      </c>
      <c r="F172" s="465">
        <f t="shared" si="2"/>
        <v>0</v>
      </c>
      <c r="G172" s="240"/>
      <c r="H172" s="240"/>
      <c r="I172" s="240"/>
      <c r="J172" s="240"/>
      <c r="K172" s="240"/>
      <c r="L172" s="240"/>
      <c r="M172" s="240"/>
      <c r="N172" s="241"/>
      <c r="O172" s="281"/>
      <c r="P172" s="736"/>
      <c r="Q172" s="277"/>
      <c r="R172" s="277"/>
      <c r="S172" s="277"/>
      <c r="T172" s="277"/>
      <c r="U172" s="277"/>
      <c r="V172" s="277"/>
    </row>
    <row r="173" spans="1:22" s="243" customFormat="1" ht="15" customHeight="1">
      <c r="A173" s="234"/>
      <c r="B173" s="238"/>
      <c r="C173" s="239"/>
      <c r="D173" s="271" t="s">
        <v>741</v>
      </c>
      <c r="E173" s="275">
        <v>59125</v>
      </c>
      <c r="F173" s="465">
        <f t="shared" si="2"/>
        <v>0</v>
      </c>
      <c r="G173" s="240"/>
      <c r="H173" s="240"/>
      <c r="I173" s="240"/>
      <c r="J173" s="240"/>
      <c r="K173" s="240"/>
      <c r="L173" s="240"/>
      <c r="M173" s="240"/>
      <c r="N173" s="241"/>
      <c r="O173" s="281"/>
      <c r="P173" s="736"/>
      <c r="Q173" s="277"/>
      <c r="R173" s="277"/>
      <c r="S173" s="277"/>
      <c r="T173" s="277"/>
      <c r="U173" s="277"/>
      <c r="V173" s="277"/>
    </row>
    <row r="174" spans="1:22" s="243" customFormat="1" ht="15" customHeight="1">
      <c r="A174" s="234" t="s">
        <v>17</v>
      </c>
      <c r="B174" s="238">
        <v>882112</v>
      </c>
      <c r="C174" s="239" t="s">
        <v>943</v>
      </c>
      <c r="D174" s="274" t="s">
        <v>540</v>
      </c>
      <c r="E174" s="275">
        <v>36</v>
      </c>
      <c r="F174" s="465">
        <f t="shared" si="2"/>
        <v>0</v>
      </c>
      <c r="G174" s="240"/>
      <c r="H174" s="240"/>
      <c r="I174" s="240"/>
      <c r="J174" s="240"/>
      <c r="K174" s="240"/>
      <c r="L174" s="240"/>
      <c r="M174" s="240"/>
      <c r="N174" s="240"/>
      <c r="O174" s="281"/>
      <c r="P174" s="736"/>
      <c r="Q174" s="277"/>
      <c r="R174" s="277"/>
      <c r="S174" s="277"/>
      <c r="T174" s="277"/>
      <c r="U174" s="277"/>
      <c r="V174" s="277"/>
    </row>
    <row r="175" spans="1:22" s="243" customFormat="1" ht="15" customHeight="1">
      <c r="A175" s="853"/>
      <c r="B175" s="854"/>
      <c r="C175" s="855"/>
      <c r="D175" s="916" t="s">
        <v>915</v>
      </c>
      <c r="E175" s="917">
        <v>36</v>
      </c>
      <c r="F175" s="465">
        <f t="shared" si="2"/>
        <v>0</v>
      </c>
      <c r="G175" s="858"/>
      <c r="H175" s="858"/>
      <c r="I175" s="858"/>
      <c r="J175" s="858"/>
      <c r="K175" s="858"/>
      <c r="L175" s="858"/>
      <c r="M175" s="858"/>
      <c r="N175" s="858"/>
      <c r="O175" s="918"/>
      <c r="P175" s="736"/>
      <c r="Q175" s="277"/>
      <c r="R175" s="277"/>
      <c r="S175" s="277"/>
      <c r="T175" s="277"/>
      <c r="U175" s="277"/>
      <c r="V175" s="277"/>
    </row>
    <row r="176" spans="1:22" s="243" customFormat="1" ht="15" customHeight="1" thickBot="1">
      <c r="A176" s="1006"/>
      <c r="B176" s="1007"/>
      <c r="C176" s="1008"/>
      <c r="D176" s="1169" t="s">
        <v>741</v>
      </c>
      <c r="E176" s="1009">
        <v>32</v>
      </c>
      <c r="F176" s="1166">
        <f t="shared" si="2"/>
        <v>0</v>
      </c>
      <c r="G176" s="1010"/>
      <c r="H176" s="1010"/>
      <c r="I176" s="1010"/>
      <c r="J176" s="1010"/>
      <c r="K176" s="1010"/>
      <c r="L176" s="1010"/>
      <c r="M176" s="1010"/>
      <c r="N176" s="1010"/>
      <c r="O176" s="1011"/>
      <c r="P176" s="1012"/>
      <c r="Q176" s="277"/>
      <c r="R176" s="277"/>
      <c r="S176" s="277"/>
      <c r="T176" s="277"/>
      <c r="U176" s="277"/>
      <c r="V176" s="277"/>
    </row>
    <row r="177" spans="1:22" s="243" customFormat="1" ht="15" customHeight="1">
      <c r="A177" s="288" t="s">
        <v>17</v>
      </c>
      <c r="B177" s="1013">
        <v>882113</v>
      </c>
      <c r="C177" s="1014" t="s">
        <v>944</v>
      </c>
      <c r="D177" s="1015" t="s">
        <v>540</v>
      </c>
      <c r="E177" s="1016">
        <v>18000</v>
      </c>
      <c r="F177" s="1017">
        <f t="shared" si="2"/>
        <v>0</v>
      </c>
      <c r="G177" s="1021"/>
      <c r="H177" s="1021"/>
      <c r="I177" s="1021"/>
      <c r="J177" s="1021"/>
      <c r="K177" s="1021"/>
      <c r="L177" s="1021"/>
      <c r="M177" s="1021"/>
      <c r="N177" s="1021"/>
      <c r="O177" s="1022"/>
      <c r="P177" s="1020"/>
      <c r="Q177" s="277"/>
      <c r="R177" s="277"/>
      <c r="S177" s="277"/>
      <c r="T177" s="277"/>
      <c r="U177" s="277"/>
      <c r="V177" s="277"/>
    </row>
    <row r="178" spans="1:22" s="243" customFormat="1" ht="15" customHeight="1">
      <c r="A178" s="234"/>
      <c r="B178" s="238"/>
      <c r="C178" s="239"/>
      <c r="D178" s="271" t="s">
        <v>915</v>
      </c>
      <c r="E178" s="275">
        <v>18000</v>
      </c>
      <c r="F178" s="465">
        <f t="shared" si="2"/>
        <v>0</v>
      </c>
      <c r="G178" s="240"/>
      <c r="H178" s="240"/>
      <c r="I178" s="240"/>
      <c r="J178" s="240"/>
      <c r="K178" s="240"/>
      <c r="L178" s="240"/>
      <c r="M178" s="240"/>
      <c r="N178" s="240"/>
      <c r="O178" s="281"/>
      <c r="P178" s="736"/>
      <c r="Q178" s="277"/>
      <c r="R178" s="277"/>
      <c r="S178" s="277"/>
      <c r="T178" s="277"/>
      <c r="U178" s="277"/>
      <c r="V178" s="277"/>
    </row>
    <row r="179" spans="1:22" s="243" customFormat="1" ht="15" customHeight="1">
      <c r="A179" s="234"/>
      <c r="B179" s="238"/>
      <c r="C179" s="239"/>
      <c r="D179" s="271" t="s">
        <v>741</v>
      </c>
      <c r="E179" s="275">
        <v>18637</v>
      </c>
      <c r="F179" s="465">
        <f t="shared" si="2"/>
        <v>0</v>
      </c>
      <c r="G179" s="240"/>
      <c r="H179" s="240"/>
      <c r="I179" s="240"/>
      <c r="J179" s="240"/>
      <c r="K179" s="240"/>
      <c r="L179" s="240"/>
      <c r="M179" s="240"/>
      <c r="N179" s="240"/>
      <c r="O179" s="281"/>
      <c r="P179" s="736"/>
      <c r="Q179" s="277"/>
      <c r="R179" s="277"/>
      <c r="S179" s="277"/>
      <c r="T179" s="277"/>
      <c r="U179" s="277"/>
      <c r="V179" s="277"/>
    </row>
    <row r="180" spans="1:22" s="243" customFormat="1" ht="15" customHeight="1">
      <c r="A180" s="234" t="s">
        <v>23</v>
      </c>
      <c r="B180" s="238">
        <v>882114</v>
      </c>
      <c r="C180" s="239" t="s">
        <v>87</v>
      </c>
      <c r="D180" s="274" t="s">
        <v>540</v>
      </c>
      <c r="E180" s="275"/>
      <c r="F180" s="465">
        <f t="shared" si="2"/>
        <v>0</v>
      </c>
      <c r="G180" s="240"/>
      <c r="H180" s="240"/>
      <c r="I180" s="240"/>
      <c r="J180" s="240"/>
      <c r="K180" s="240"/>
      <c r="L180" s="240"/>
      <c r="M180" s="240"/>
      <c r="N180" s="240"/>
      <c r="O180" s="281"/>
      <c r="P180" s="736"/>
      <c r="Q180" s="277"/>
      <c r="R180" s="277"/>
      <c r="S180" s="277"/>
      <c r="T180" s="277"/>
      <c r="U180" s="277"/>
      <c r="V180" s="277"/>
    </row>
    <row r="181" spans="1:22" s="243" customFormat="1" ht="15" customHeight="1">
      <c r="A181" s="234"/>
      <c r="B181" s="238"/>
      <c r="C181" s="239"/>
      <c r="D181" s="271" t="s">
        <v>915</v>
      </c>
      <c r="E181" s="275"/>
      <c r="F181" s="465">
        <f t="shared" si="2"/>
        <v>0</v>
      </c>
      <c r="G181" s="240"/>
      <c r="H181" s="240"/>
      <c r="I181" s="240"/>
      <c r="J181" s="240"/>
      <c r="K181" s="240"/>
      <c r="L181" s="240"/>
      <c r="M181" s="240"/>
      <c r="N181" s="240"/>
      <c r="O181" s="281"/>
      <c r="P181" s="736"/>
      <c r="Q181" s="277"/>
      <c r="R181" s="277"/>
      <c r="S181" s="277"/>
      <c r="T181" s="277"/>
      <c r="U181" s="277"/>
      <c r="V181" s="277"/>
    </row>
    <row r="182" spans="1:22" s="243" customFormat="1" ht="15" customHeight="1">
      <c r="A182" s="234"/>
      <c r="B182" s="238"/>
      <c r="C182" s="239"/>
      <c r="D182" s="271" t="s">
        <v>741</v>
      </c>
      <c r="E182" s="275"/>
      <c r="F182" s="465">
        <f t="shared" si="2"/>
        <v>0</v>
      </c>
      <c r="G182" s="240"/>
      <c r="H182" s="240"/>
      <c r="I182" s="240"/>
      <c r="J182" s="240"/>
      <c r="K182" s="240"/>
      <c r="L182" s="240"/>
      <c r="M182" s="240"/>
      <c r="N182" s="240"/>
      <c r="O182" s="281"/>
      <c r="P182" s="736"/>
      <c r="Q182" s="277"/>
      <c r="R182" s="277"/>
      <c r="S182" s="277"/>
      <c r="T182" s="277"/>
      <c r="U182" s="277"/>
      <c r="V182" s="277"/>
    </row>
    <row r="183" spans="1:22" s="243" customFormat="1" ht="15" customHeight="1">
      <c r="A183" s="234" t="s">
        <v>17</v>
      </c>
      <c r="B183" s="238">
        <v>882115</v>
      </c>
      <c r="C183" s="239" t="s">
        <v>88</v>
      </c>
      <c r="D183" s="274" t="s">
        <v>540</v>
      </c>
      <c r="E183" s="275">
        <v>1523</v>
      </c>
      <c r="F183" s="465">
        <f t="shared" si="2"/>
        <v>0</v>
      </c>
      <c r="G183" s="240"/>
      <c r="H183" s="240"/>
      <c r="I183" s="240"/>
      <c r="J183" s="240"/>
      <c r="K183" s="240"/>
      <c r="L183" s="240"/>
      <c r="M183" s="240"/>
      <c r="N183" s="240"/>
      <c r="O183" s="281"/>
      <c r="P183" s="736"/>
      <c r="Q183" s="277"/>
      <c r="R183" s="277"/>
      <c r="S183" s="277"/>
      <c r="T183" s="277"/>
      <c r="U183" s="277"/>
      <c r="V183" s="277"/>
    </row>
    <row r="184" spans="1:22" s="243" customFormat="1" ht="15" customHeight="1">
      <c r="A184" s="234"/>
      <c r="B184" s="238"/>
      <c r="C184" s="239"/>
      <c r="D184" s="271" t="s">
        <v>915</v>
      </c>
      <c r="E184" s="275">
        <v>1523</v>
      </c>
      <c r="F184" s="465">
        <f t="shared" si="2"/>
        <v>0</v>
      </c>
      <c r="G184" s="240"/>
      <c r="H184" s="240"/>
      <c r="I184" s="240"/>
      <c r="J184" s="240"/>
      <c r="K184" s="240"/>
      <c r="L184" s="240"/>
      <c r="M184" s="240"/>
      <c r="N184" s="240"/>
      <c r="O184" s="281"/>
      <c r="P184" s="736"/>
      <c r="Q184" s="277"/>
      <c r="R184" s="277"/>
      <c r="S184" s="277"/>
      <c r="T184" s="277"/>
      <c r="U184" s="277"/>
      <c r="V184" s="277"/>
    </row>
    <row r="185" spans="1:22" s="243" customFormat="1" ht="15" customHeight="1">
      <c r="A185" s="234"/>
      <c r="B185" s="238"/>
      <c r="C185" s="239"/>
      <c r="D185" s="271" t="s">
        <v>741</v>
      </c>
      <c r="E185" s="275">
        <v>1621</v>
      </c>
      <c r="F185" s="465">
        <f t="shared" si="2"/>
        <v>0</v>
      </c>
      <c r="G185" s="240"/>
      <c r="H185" s="240"/>
      <c r="I185" s="240"/>
      <c r="J185" s="240"/>
      <c r="K185" s="240"/>
      <c r="L185" s="240"/>
      <c r="M185" s="240"/>
      <c r="N185" s="240"/>
      <c r="O185" s="281"/>
      <c r="P185" s="736"/>
      <c r="Q185" s="277"/>
      <c r="R185" s="277"/>
      <c r="S185" s="277"/>
      <c r="T185" s="277"/>
      <c r="U185" s="277"/>
      <c r="V185" s="277"/>
    </row>
    <row r="186" spans="1:22" s="243" customFormat="1" ht="15" customHeight="1">
      <c r="A186" s="234" t="s">
        <v>23</v>
      </c>
      <c r="B186" s="238">
        <v>882116</v>
      </c>
      <c r="C186" s="239" t="s">
        <v>89</v>
      </c>
      <c r="D186" s="274" t="s">
        <v>540</v>
      </c>
      <c r="E186" s="275"/>
      <c r="F186" s="465">
        <f t="shared" si="2"/>
        <v>1700</v>
      </c>
      <c r="G186" s="240"/>
      <c r="H186" s="240"/>
      <c r="I186" s="240"/>
      <c r="J186" s="240"/>
      <c r="K186" s="240">
        <v>1700</v>
      </c>
      <c r="L186" s="240"/>
      <c r="M186" s="240"/>
      <c r="N186" s="240"/>
      <c r="O186" s="281"/>
      <c r="P186" s="736"/>
      <c r="Q186" s="277"/>
      <c r="R186" s="277"/>
      <c r="S186" s="277"/>
      <c r="T186" s="277"/>
      <c r="U186" s="277"/>
      <c r="V186" s="277"/>
    </row>
    <row r="187" spans="1:22" s="243" customFormat="1" ht="15" customHeight="1">
      <c r="A187" s="234"/>
      <c r="B187" s="238"/>
      <c r="C187" s="239"/>
      <c r="D187" s="271" t="s">
        <v>915</v>
      </c>
      <c r="E187" s="275"/>
      <c r="F187" s="465">
        <f t="shared" si="2"/>
        <v>700</v>
      </c>
      <c r="G187" s="240"/>
      <c r="H187" s="240"/>
      <c r="I187" s="240"/>
      <c r="J187" s="240"/>
      <c r="K187" s="240">
        <v>700</v>
      </c>
      <c r="L187" s="240"/>
      <c r="M187" s="240"/>
      <c r="N187" s="240"/>
      <c r="O187" s="281"/>
      <c r="P187" s="736"/>
      <c r="Q187" s="277"/>
      <c r="R187" s="277"/>
      <c r="S187" s="277"/>
      <c r="T187" s="277"/>
      <c r="U187" s="277"/>
      <c r="V187" s="277"/>
    </row>
    <row r="188" spans="1:22" s="243" customFormat="1" ht="15" customHeight="1">
      <c r="A188" s="234"/>
      <c r="B188" s="238"/>
      <c r="C188" s="239"/>
      <c r="D188" s="271" t="s">
        <v>741</v>
      </c>
      <c r="E188" s="275"/>
      <c r="F188" s="465">
        <f t="shared" si="2"/>
        <v>1324</v>
      </c>
      <c r="G188" s="240"/>
      <c r="H188" s="240"/>
      <c r="I188" s="240"/>
      <c r="J188" s="240"/>
      <c r="K188" s="240">
        <v>1324</v>
      </c>
      <c r="L188" s="240"/>
      <c r="M188" s="240"/>
      <c r="N188" s="240"/>
      <c r="O188" s="281"/>
      <c r="P188" s="736"/>
      <c r="Q188" s="277"/>
      <c r="R188" s="277"/>
      <c r="S188" s="277"/>
      <c r="T188" s="277"/>
      <c r="U188" s="277"/>
      <c r="V188" s="277"/>
    </row>
    <row r="189" spans="1:22" s="243" customFormat="1" ht="15" customHeight="1">
      <c r="A189" s="234" t="s">
        <v>17</v>
      </c>
      <c r="B189" s="238">
        <v>882117</v>
      </c>
      <c r="C189" s="239" t="s">
        <v>799</v>
      </c>
      <c r="D189" s="274" t="s">
        <v>540</v>
      </c>
      <c r="E189" s="275"/>
      <c r="F189" s="465">
        <f t="shared" si="2"/>
        <v>0</v>
      </c>
      <c r="G189" s="240"/>
      <c r="H189" s="240"/>
      <c r="I189" s="240"/>
      <c r="J189" s="240"/>
      <c r="K189" s="240"/>
      <c r="L189" s="240"/>
      <c r="M189" s="240"/>
      <c r="N189" s="240"/>
      <c r="O189" s="281"/>
      <c r="P189" s="736"/>
      <c r="Q189" s="277"/>
      <c r="R189" s="277"/>
      <c r="S189" s="277"/>
      <c r="T189" s="277"/>
      <c r="U189" s="277"/>
      <c r="V189" s="277"/>
    </row>
    <row r="190" spans="1:22" s="243" customFormat="1" ht="15" customHeight="1">
      <c r="A190" s="234"/>
      <c r="B190" s="238"/>
      <c r="C190" s="239"/>
      <c r="D190" s="271" t="s">
        <v>915</v>
      </c>
      <c r="E190" s="275">
        <v>8294</v>
      </c>
      <c r="F190" s="465">
        <f t="shared" si="2"/>
        <v>0</v>
      </c>
      <c r="G190" s="240"/>
      <c r="H190" s="240"/>
      <c r="I190" s="240"/>
      <c r="J190" s="240"/>
      <c r="K190" s="240"/>
      <c r="L190" s="240"/>
      <c r="M190" s="240"/>
      <c r="N190" s="240"/>
      <c r="O190" s="281"/>
      <c r="P190" s="736"/>
      <c r="Q190" s="277"/>
      <c r="R190" s="277"/>
      <c r="S190" s="277"/>
      <c r="T190" s="277"/>
      <c r="U190" s="277"/>
      <c r="V190" s="277"/>
    </row>
    <row r="191" spans="1:22" s="243" customFormat="1" ht="15" customHeight="1">
      <c r="A191" s="234"/>
      <c r="B191" s="238"/>
      <c r="C191" s="239"/>
      <c r="D191" s="271" t="s">
        <v>741</v>
      </c>
      <c r="E191" s="275">
        <v>8294</v>
      </c>
      <c r="F191" s="465">
        <f t="shared" si="2"/>
        <v>0</v>
      </c>
      <c r="G191" s="240"/>
      <c r="H191" s="240"/>
      <c r="I191" s="240"/>
      <c r="J191" s="240"/>
      <c r="K191" s="240"/>
      <c r="L191" s="240"/>
      <c r="M191" s="240"/>
      <c r="N191" s="240"/>
      <c r="O191" s="281"/>
      <c r="P191" s="736"/>
      <c r="Q191" s="277"/>
      <c r="R191" s="277"/>
      <c r="S191" s="277"/>
      <c r="T191" s="277"/>
      <c r="U191" s="277"/>
      <c r="V191" s="277"/>
    </row>
    <row r="192" spans="1:22" s="243" customFormat="1" ht="15" customHeight="1">
      <c r="A192" s="234" t="s">
        <v>17</v>
      </c>
      <c r="B192" s="238">
        <v>882119</v>
      </c>
      <c r="C192" s="239" t="s">
        <v>954</v>
      </c>
      <c r="D192" s="274" t="s">
        <v>540</v>
      </c>
      <c r="E192" s="275">
        <v>300</v>
      </c>
      <c r="F192" s="465">
        <f t="shared" si="2"/>
        <v>0</v>
      </c>
      <c r="G192" s="240"/>
      <c r="H192" s="240"/>
      <c r="I192" s="240"/>
      <c r="J192" s="240"/>
      <c r="K192" s="240"/>
      <c r="L192" s="240"/>
      <c r="M192" s="240"/>
      <c r="N192" s="240"/>
      <c r="O192" s="281"/>
      <c r="P192" s="736"/>
      <c r="Q192" s="277"/>
      <c r="R192" s="277"/>
      <c r="S192" s="277"/>
      <c r="T192" s="277"/>
      <c r="U192" s="277"/>
      <c r="V192" s="277"/>
    </row>
    <row r="193" spans="1:22" s="243" customFormat="1" ht="15" customHeight="1">
      <c r="A193" s="234"/>
      <c r="B193" s="238"/>
      <c r="C193" s="239"/>
      <c r="D193" s="271" t="s">
        <v>915</v>
      </c>
      <c r="E193" s="275">
        <v>300</v>
      </c>
      <c r="F193" s="465">
        <f t="shared" si="2"/>
        <v>0</v>
      </c>
      <c r="G193" s="240"/>
      <c r="H193" s="240"/>
      <c r="I193" s="240"/>
      <c r="J193" s="240"/>
      <c r="K193" s="240"/>
      <c r="L193" s="240"/>
      <c r="M193" s="240"/>
      <c r="N193" s="240"/>
      <c r="O193" s="281"/>
      <c r="P193" s="736"/>
      <c r="Q193" s="277"/>
      <c r="R193" s="277"/>
      <c r="S193" s="277"/>
      <c r="T193" s="277"/>
      <c r="U193" s="277"/>
      <c r="V193" s="277"/>
    </row>
    <row r="194" spans="1:22" s="243" customFormat="1" ht="15" customHeight="1">
      <c r="A194" s="234"/>
      <c r="B194" s="238"/>
      <c r="C194" s="239"/>
      <c r="D194" s="271" t="s">
        <v>741</v>
      </c>
      <c r="E194" s="275"/>
      <c r="F194" s="465">
        <f t="shared" si="2"/>
        <v>0</v>
      </c>
      <c r="G194" s="240"/>
      <c r="H194" s="240"/>
      <c r="I194" s="240"/>
      <c r="J194" s="240"/>
      <c r="K194" s="240"/>
      <c r="L194" s="240"/>
      <c r="M194" s="240"/>
      <c r="N194" s="240"/>
      <c r="O194" s="281"/>
      <c r="P194" s="736"/>
      <c r="Q194" s="277"/>
      <c r="R194" s="277"/>
      <c r="S194" s="277"/>
      <c r="T194" s="277"/>
      <c r="U194" s="277"/>
      <c r="V194" s="277"/>
    </row>
    <row r="195" spans="1:22" s="243" customFormat="1" ht="15" customHeight="1">
      <c r="A195" s="234" t="s">
        <v>17</v>
      </c>
      <c r="B195" s="238">
        <v>882122</v>
      </c>
      <c r="C195" s="239" t="s">
        <v>948</v>
      </c>
      <c r="D195" s="274" t="s">
        <v>540</v>
      </c>
      <c r="E195" s="275"/>
      <c r="F195" s="465">
        <f t="shared" si="2"/>
        <v>16000</v>
      </c>
      <c r="G195" s="240"/>
      <c r="H195" s="240"/>
      <c r="I195" s="240"/>
      <c r="J195" s="240"/>
      <c r="K195" s="240">
        <v>16000</v>
      </c>
      <c r="L195" s="240"/>
      <c r="M195" s="240"/>
      <c r="N195" s="240"/>
      <c r="O195" s="281"/>
      <c r="P195" s="736"/>
      <c r="Q195" s="277"/>
      <c r="R195" s="277"/>
      <c r="S195" s="277"/>
      <c r="T195" s="277"/>
      <c r="U195" s="277"/>
      <c r="V195" s="277"/>
    </row>
    <row r="196" spans="1:22" s="243" customFormat="1" ht="15" customHeight="1">
      <c r="A196" s="234"/>
      <c r="B196" s="238"/>
      <c r="C196" s="239"/>
      <c r="D196" s="271" t="s">
        <v>915</v>
      </c>
      <c r="E196" s="275"/>
      <c r="F196" s="465">
        <f t="shared" si="2"/>
        <v>21900</v>
      </c>
      <c r="G196" s="240"/>
      <c r="H196" s="240"/>
      <c r="I196" s="240"/>
      <c r="J196" s="240"/>
      <c r="K196" s="240">
        <v>21900</v>
      </c>
      <c r="L196" s="240"/>
      <c r="M196" s="240"/>
      <c r="N196" s="240"/>
      <c r="O196" s="281"/>
      <c r="P196" s="736"/>
      <c r="Q196" s="277"/>
      <c r="R196" s="277"/>
      <c r="S196" s="277"/>
      <c r="T196" s="277"/>
      <c r="U196" s="277"/>
      <c r="V196" s="277"/>
    </row>
    <row r="197" spans="1:22" s="243" customFormat="1" ht="15" customHeight="1">
      <c r="A197" s="234"/>
      <c r="B197" s="238"/>
      <c r="C197" s="239"/>
      <c r="D197" s="271" t="s">
        <v>741</v>
      </c>
      <c r="E197" s="275"/>
      <c r="F197" s="465">
        <f t="shared" si="2"/>
        <v>21188</v>
      </c>
      <c r="G197" s="240"/>
      <c r="H197" s="240"/>
      <c r="I197" s="240"/>
      <c r="J197" s="240"/>
      <c r="K197" s="240">
        <v>21188</v>
      </c>
      <c r="L197" s="240"/>
      <c r="M197" s="240"/>
      <c r="N197" s="240"/>
      <c r="O197" s="281"/>
      <c r="P197" s="736"/>
      <c r="Q197" s="277"/>
      <c r="R197" s="277"/>
      <c r="S197" s="277"/>
      <c r="T197" s="277"/>
      <c r="U197" s="277"/>
      <c r="V197" s="277"/>
    </row>
    <row r="198" spans="1:22" s="243" customFormat="1" ht="15" customHeight="1">
      <c r="A198" s="234" t="s">
        <v>17</v>
      </c>
      <c r="B198" s="238">
        <v>882123</v>
      </c>
      <c r="C198" s="239" t="s">
        <v>950</v>
      </c>
      <c r="D198" s="274" t="s">
        <v>540</v>
      </c>
      <c r="E198" s="275"/>
      <c r="F198" s="465">
        <f t="shared" si="2"/>
        <v>2500</v>
      </c>
      <c r="G198" s="236"/>
      <c r="H198" s="236"/>
      <c r="I198" s="236"/>
      <c r="J198" s="236"/>
      <c r="K198" s="236">
        <v>2500</v>
      </c>
      <c r="L198" s="236"/>
      <c r="M198" s="236"/>
      <c r="N198" s="236"/>
      <c r="O198" s="276"/>
      <c r="P198" s="736"/>
      <c r="Q198" s="277"/>
      <c r="R198" s="277"/>
      <c r="S198" s="277"/>
      <c r="T198" s="277"/>
      <c r="U198" s="277"/>
      <c r="V198" s="277"/>
    </row>
    <row r="199" spans="1:22" s="243" customFormat="1" ht="15" customHeight="1">
      <c r="A199" s="234"/>
      <c r="B199" s="238"/>
      <c r="C199" s="239"/>
      <c r="D199" s="271" t="s">
        <v>915</v>
      </c>
      <c r="E199" s="275"/>
      <c r="F199" s="465">
        <f t="shared" si="2"/>
        <v>1500</v>
      </c>
      <c r="G199" s="236"/>
      <c r="H199" s="236"/>
      <c r="I199" s="236"/>
      <c r="J199" s="236"/>
      <c r="K199" s="236">
        <v>1500</v>
      </c>
      <c r="L199" s="236"/>
      <c r="M199" s="236"/>
      <c r="N199" s="236"/>
      <c r="O199" s="276"/>
      <c r="P199" s="736"/>
      <c r="Q199" s="277"/>
      <c r="R199" s="277"/>
      <c r="S199" s="277"/>
      <c r="T199" s="277"/>
      <c r="U199" s="277"/>
      <c r="V199" s="277"/>
    </row>
    <row r="200" spans="1:22" s="243" customFormat="1" ht="15" customHeight="1">
      <c r="A200" s="234"/>
      <c r="B200" s="238"/>
      <c r="C200" s="239"/>
      <c r="D200" s="271" t="s">
        <v>741</v>
      </c>
      <c r="E200" s="275"/>
      <c r="F200" s="465">
        <f t="shared" si="2"/>
        <v>1500</v>
      </c>
      <c r="G200" s="236"/>
      <c r="H200" s="236"/>
      <c r="I200" s="236"/>
      <c r="J200" s="236"/>
      <c r="K200" s="236">
        <v>1500</v>
      </c>
      <c r="L200" s="236"/>
      <c r="M200" s="236"/>
      <c r="N200" s="236"/>
      <c r="O200" s="276"/>
      <c r="P200" s="736"/>
      <c r="Q200" s="277"/>
      <c r="R200" s="277"/>
      <c r="S200" s="277"/>
      <c r="T200" s="277"/>
      <c r="U200" s="277"/>
      <c r="V200" s="277"/>
    </row>
    <row r="201" spans="1:22" s="243" customFormat="1" ht="15" customHeight="1">
      <c r="A201" s="234" t="s">
        <v>17</v>
      </c>
      <c r="B201" s="238">
        <v>882124</v>
      </c>
      <c r="C201" s="239" t="s">
        <v>90</v>
      </c>
      <c r="D201" s="274" t="s">
        <v>540</v>
      </c>
      <c r="E201" s="275"/>
      <c r="F201" s="465">
        <f t="shared" si="2"/>
        <v>4000</v>
      </c>
      <c r="G201" s="236"/>
      <c r="H201" s="236"/>
      <c r="I201" s="236"/>
      <c r="J201" s="236"/>
      <c r="K201" s="236">
        <v>4000</v>
      </c>
      <c r="L201" s="236"/>
      <c r="M201" s="236"/>
      <c r="N201" s="236"/>
      <c r="O201" s="276"/>
      <c r="P201" s="736"/>
      <c r="Q201" s="277"/>
      <c r="R201" s="277"/>
      <c r="S201" s="277"/>
      <c r="T201" s="277"/>
      <c r="U201" s="277"/>
      <c r="V201" s="277"/>
    </row>
    <row r="202" spans="1:22" s="243" customFormat="1" ht="15" customHeight="1">
      <c r="A202" s="234"/>
      <c r="B202" s="238"/>
      <c r="C202" s="239"/>
      <c r="D202" s="271" t="s">
        <v>915</v>
      </c>
      <c r="E202" s="275"/>
      <c r="F202" s="465">
        <f aca="true" t="shared" si="3" ref="F202:F265">SUM(G202:P202)</f>
        <v>5300</v>
      </c>
      <c r="G202" s="236"/>
      <c r="H202" s="236"/>
      <c r="I202" s="236"/>
      <c r="J202" s="236"/>
      <c r="K202" s="236">
        <v>5300</v>
      </c>
      <c r="L202" s="236"/>
      <c r="M202" s="236"/>
      <c r="N202" s="236"/>
      <c r="O202" s="276"/>
      <c r="P202" s="736"/>
      <c r="Q202" s="277"/>
      <c r="R202" s="277"/>
      <c r="S202" s="277"/>
      <c r="T202" s="277"/>
      <c r="U202" s="277"/>
      <c r="V202" s="277"/>
    </row>
    <row r="203" spans="1:22" s="243" customFormat="1" ht="15" customHeight="1">
      <c r="A203" s="234"/>
      <c r="B203" s="238"/>
      <c r="C203" s="239"/>
      <c r="D203" s="271" t="s">
        <v>741</v>
      </c>
      <c r="E203" s="275"/>
      <c r="F203" s="465">
        <f t="shared" si="3"/>
        <v>5336</v>
      </c>
      <c r="G203" s="236"/>
      <c r="H203" s="236"/>
      <c r="I203" s="236"/>
      <c r="J203" s="236"/>
      <c r="K203" s="236">
        <v>5336</v>
      </c>
      <c r="L203" s="236"/>
      <c r="M203" s="236"/>
      <c r="N203" s="236"/>
      <c r="O203" s="276"/>
      <c r="P203" s="736"/>
      <c r="Q203" s="277"/>
      <c r="R203" s="277"/>
      <c r="S203" s="277"/>
      <c r="T203" s="277"/>
      <c r="U203" s="277"/>
      <c r="V203" s="277"/>
    </row>
    <row r="204" spans="1:22" s="243" customFormat="1" ht="15" customHeight="1">
      <c r="A204" s="234" t="s">
        <v>23</v>
      </c>
      <c r="B204" s="238">
        <v>882129</v>
      </c>
      <c r="C204" s="239" t="s">
        <v>91</v>
      </c>
      <c r="D204" s="274" t="s">
        <v>540</v>
      </c>
      <c r="E204" s="275"/>
      <c r="F204" s="465">
        <f t="shared" si="3"/>
        <v>4000</v>
      </c>
      <c r="G204" s="240"/>
      <c r="H204" s="240"/>
      <c r="I204" s="240"/>
      <c r="J204" s="240">
        <v>4000</v>
      </c>
      <c r="K204" s="240"/>
      <c r="L204" s="240"/>
      <c r="M204" s="240"/>
      <c r="N204" s="240"/>
      <c r="O204" s="281"/>
      <c r="P204" s="736"/>
      <c r="Q204" s="277"/>
      <c r="R204" s="277"/>
      <c r="S204" s="277"/>
      <c r="T204" s="277"/>
      <c r="U204" s="277"/>
      <c r="V204" s="277"/>
    </row>
    <row r="205" spans="1:22" s="243" customFormat="1" ht="15" customHeight="1">
      <c r="A205" s="234"/>
      <c r="B205" s="238"/>
      <c r="C205" s="239"/>
      <c r="D205" s="271" t="s">
        <v>915</v>
      </c>
      <c r="E205" s="275"/>
      <c r="F205" s="465">
        <f t="shared" si="3"/>
        <v>4000</v>
      </c>
      <c r="G205" s="240"/>
      <c r="H205" s="240"/>
      <c r="I205" s="240"/>
      <c r="J205" s="240">
        <v>4000</v>
      </c>
      <c r="K205" s="240"/>
      <c r="L205" s="240"/>
      <c r="M205" s="240"/>
      <c r="N205" s="240"/>
      <c r="O205" s="281"/>
      <c r="P205" s="736"/>
      <c r="Q205" s="277"/>
      <c r="R205" s="277"/>
      <c r="S205" s="277"/>
      <c r="T205" s="277"/>
      <c r="U205" s="277"/>
      <c r="V205" s="277"/>
    </row>
    <row r="206" spans="1:22" s="243" customFormat="1" ht="15" customHeight="1">
      <c r="A206" s="234"/>
      <c r="B206" s="238"/>
      <c r="C206" s="239"/>
      <c r="D206" s="271" t="s">
        <v>741</v>
      </c>
      <c r="E206" s="275"/>
      <c r="F206" s="465">
        <f t="shared" si="3"/>
        <v>4000</v>
      </c>
      <c r="G206" s="240"/>
      <c r="H206" s="240"/>
      <c r="I206" s="240"/>
      <c r="J206" s="240">
        <v>4000</v>
      </c>
      <c r="K206" s="240"/>
      <c r="L206" s="240"/>
      <c r="M206" s="240"/>
      <c r="N206" s="240"/>
      <c r="O206" s="281"/>
      <c r="P206" s="736"/>
      <c r="Q206" s="277"/>
      <c r="R206" s="277"/>
      <c r="S206" s="277"/>
      <c r="T206" s="277"/>
      <c r="U206" s="277"/>
      <c r="V206" s="277"/>
    </row>
    <row r="207" spans="1:22" s="243" customFormat="1" ht="15" customHeight="1">
      <c r="A207" s="234" t="s">
        <v>23</v>
      </c>
      <c r="B207" s="238">
        <v>882129</v>
      </c>
      <c r="C207" s="239" t="s">
        <v>92</v>
      </c>
      <c r="D207" s="274" t="s">
        <v>540</v>
      </c>
      <c r="E207" s="275"/>
      <c r="F207" s="465">
        <f t="shared" si="3"/>
        <v>150</v>
      </c>
      <c r="G207" s="240"/>
      <c r="H207" s="240"/>
      <c r="I207" s="240"/>
      <c r="J207" s="240"/>
      <c r="K207" s="240">
        <v>150</v>
      </c>
      <c r="L207" s="240"/>
      <c r="M207" s="240"/>
      <c r="N207" s="240"/>
      <c r="O207" s="281"/>
      <c r="P207" s="736"/>
      <c r="Q207" s="277"/>
      <c r="R207" s="277"/>
      <c r="S207" s="277"/>
      <c r="T207" s="277"/>
      <c r="U207" s="277"/>
      <c r="V207" s="277"/>
    </row>
    <row r="208" spans="1:22" s="243" customFormat="1" ht="15" customHeight="1">
      <c r="A208" s="234"/>
      <c r="B208" s="238"/>
      <c r="C208" s="239"/>
      <c r="D208" s="271" t="s">
        <v>915</v>
      </c>
      <c r="E208" s="275"/>
      <c r="F208" s="465">
        <f t="shared" si="3"/>
        <v>150</v>
      </c>
      <c r="G208" s="240"/>
      <c r="H208" s="240"/>
      <c r="I208" s="240"/>
      <c r="J208" s="240"/>
      <c r="K208" s="240">
        <v>150</v>
      </c>
      <c r="L208" s="240"/>
      <c r="M208" s="240"/>
      <c r="N208" s="240"/>
      <c r="O208" s="281"/>
      <c r="P208" s="736"/>
      <c r="Q208" s="277"/>
      <c r="R208" s="277"/>
      <c r="S208" s="277"/>
      <c r="T208" s="277"/>
      <c r="U208" s="277"/>
      <c r="V208" s="277"/>
    </row>
    <row r="209" spans="1:22" s="243" customFormat="1" ht="15" customHeight="1">
      <c r="A209" s="234"/>
      <c r="B209" s="238"/>
      <c r="C209" s="239"/>
      <c r="D209" s="271" t="s">
        <v>741</v>
      </c>
      <c r="E209" s="275"/>
      <c r="F209" s="465">
        <f t="shared" si="3"/>
        <v>150</v>
      </c>
      <c r="G209" s="240"/>
      <c r="H209" s="240"/>
      <c r="I209" s="240"/>
      <c r="J209" s="240"/>
      <c r="K209" s="240">
        <v>150</v>
      </c>
      <c r="L209" s="240"/>
      <c r="M209" s="240"/>
      <c r="N209" s="240"/>
      <c r="O209" s="281"/>
      <c r="P209" s="736"/>
      <c r="Q209" s="277"/>
      <c r="R209" s="277"/>
      <c r="S209" s="277"/>
      <c r="T209" s="277"/>
      <c r="U209" s="277"/>
      <c r="V209" s="277"/>
    </row>
    <row r="210" spans="1:22" s="243" customFormat="1" ht="15" customHeight="1">
      <c r="A210" s="234" t="s">
        <v>23</v>
      </c>
      <c r="B210" s="238">
        <v>882201</v>
      </c>
      <c r="C210" s="239" t="s">
        <v>945</v>
      </c>
      <c r="D210" s="274" t="s">
        <v>540</v>
      </c>
      <c r="E210" s="275">
        <v>7200</v>
      </c>
      <c r="F210" s="465">
        <f t="shared" si="3"/>
        <v>0</v>
      </c>
      <c r="G210" s="240"/>
      <c r="H210" s="240"/>
      <c r="I210" s="240"/>
      <c r="J210" s="240"/>
      <c r="K210" s="240"/>
      <c r="L210" s="240"/>
      <c r="M210" s="240"/>
      <c r="N210" s="240"/>
      <c r="O210" s="281"/>
      <c r="P210" s="736"/>
      <c r="Q210" s="277"/>
      <c r="R210" s="277"/>
      <c r="S210" s="277"/>
      <c r="T210" s="277"/>
      <c r="U210" s="277"/>
      <c r="V210" s="277"/>
    </row>
    <row r="211" spans="1:22" s="243" customFormat="1" ht="15" customHeight="1">
      <c r="A211" s="234"/>
      <c r="B211" s="238"/>
      <c r="C211" s="239"/>
      <c r="D211" s="271" t="s">
        <v>915</v>
      </c>
      <c r="E211" s="275">
        <v>7200</v>
      </c>
      <c r="F211" s="465">
        <f t="shared" si="3"/>
        <v>0</v>
      </c>
      <c r="G211" s="240"/>
      <c r="H211" s="240"/>
      <c r="I211" s="240"/>
      <c r="J211" s="240"/>
      <c r="K211" s="240"/>
      <c r="L211" s="240"/>
      <c r="M211" s="240"/>
      <c r="N211" s="240"/>
      <c r="O211" s="281"/>
      <c r="P211" s="736"/>
      <c r="Q211" s="277"/>
      <c r="R211" s="277"/>
      <c r="S211" s="277"/>
      <c r="T211" s="277"/>
      <c r="U211" s="277"/>
      <c r="V211" s="277"/>
    </row>
    <row r="212" spans="1:22" s="243" customFormat="1" ht="15" customHeight="1">
      <c r="A212" s="234"/>
      <c r="B212" s="238"/>
      <c r="C212" s="239"/>
      <c r="D212" s="271" t="s">
        <v>741</v>
      </c>
      <c r="E212" s="275">
        <v>5635</v>
      </c>
      <c r="F212" s="465">
        <f t="shared" si="3"/>
        <v>0</v>
      </c>
      <c r="G212" s="240"/>
      <c r="H212" s="240"/>
      <c r="I212" s="240"/>
      <c r="J212" s="240"/>
      <c r="K212" s="240"/>
      <c r="L212" s="240"/>
      <c r="M212" s="240"/>
      <c r="N212" s="240"/>
      <c r="O212" s="281"/>
      <c r="P212" s="736"/>
      <c r="Q212" s="277"/>
      <c r="R212" s="277"/>
      <c r="S212" s="277"/>
      <c r="T212" s="277"/>
      <c r="U212" s="277"/>
      <c r="V212" s="277"/>
    </row>
    <row r="213" spans="1:22" s="243" customFormat="1" ht="15" customHeight="1">
      <c r="A213" s="234" t="s">
        <v>23</v>
      </c>
      <c r="B213" s="238">
        <v>882202</v>
      </c>
      <c r="C213" s="239" t="s">
        <v>959</v>
      </c>
      <c r="D213" s="274" t="s">
        <v>540</v>
      </c>
      <c r="E213" s="275"/>
      <c r="F213" s="465">
        <f t="shared" si="3"/>
        <v>2500</v>
      </c>
      <c r="G213" s="240"/>
      <c r="H213" s="240"/>
      <c r="I213" s="240"/>
      <c r="J213" s="240"/>
      <c r="K213" s="240">
        <v>2500</v>
      </c>
      <c r="L213" s="240"/>
      <c r="M213" s="240"/>
      <c r="N213" s="240"/>
      <c r="O213" s="281"/>
      <c r="P213" s="736"/>
      <c r="Q213" s="277"/>
      <c r="R213" s="277"/>
      <c r="S213" s="277"/>
      <c r="T213" s="277"/>
      <c r="U213" s="277"/>
      <c r="V213" s="277"/>
    </row>
    <row r="214" spans="1:22" s="243" customFormat="1" ht="15" customHeight="1">
      <c r="A214" s="234"/>
      <c r="B214" s="238"/>
      <c r="C214" s="239"/>
      <c r="D214" s="271" t="s">
        <v>915</v>
      </c>
      <c r="E214" s="275"/>
      <c r="F214" s="465">
        <f t="shared" si="3"/>
        <v>1600</v>
      </c>
      <c r="G214" s="240"/>
      <c r="H214" s="240"/>
      <c r="I214" s="240"/>
      <c r="J214" s="240"/>
      <c r="K214" s="240">
        <v>1600</v>
      </c>
      <c r="L214" s="240"/>
      <c r="M214" s="240"/>
      <c r="N214" s="240"/>
      <c r="O214" s="281"/>
      <c r="P214" s="736"/>
      <c r="Q214" s="277"/>
      <c r="R214" s="277"/>
      <c r="S214" s="277"/>
      <c r="T214" s="277"/>
      <c r="U214" s="277"/>
      <c r="V214" s="277"/>
    </row>
    <row r="215" spans="1:22" s="243" customFormat="1" ht="15" customHeight="1">
      <c r="A215" s="234"/>
      <c r="B215" s="238"/>
      <c r="C215" s="239"/>
      <c r="D215" s="271" t="s">
        <v>741</v>
      </c>
      <c r="E215" s="275"/>
      <c r="F215" s="465">
        <f t="shared" si="3"/>
        <v>1652</v>
      </c>
      <c r="G215" s="240"/>
      <c r="H215" s="240"/>
      <c r="I215" s="240"/>
      <c r="J215" s="240"/>
      <c r="K215" s="240">
        <v>1652</v>
      </c>
      <c r="L215" s="240"/>
      <c r="M215" s="240"/>
      <c r="N215" s="240"/>
      <c r="O215" s="281"/>
      <c r="P215" s="736"/>
      <c r="Q215" s="277"/>
      <c r="R215" s="277"/>
      <c r="S215" s="277"/>
      <c r="T215" s="277"/>
      <c r="U215" s="277"/>
      <c r="V215" s="277"/>
    </row>
    <row r="216" spans="1:22" s="243" customFormat="1" ht="15" customHeight="1">
      <c r="A216" s="234" t="s">
        <v>17</v>
      </c>
      <c r="B216" s="238">
        <v>882203</v>
      </c>
      <c r="C216" s="239" t="s">
        <v>958</v>
      </c>
      <c r="D216" s="274" t="s">
        <v>540</v>
      </c>
      <c r="E216" s="275"/>
      <c r="F216" s="465">
        <f t="shared" si="3"/>
        <v>2500</v>
      </c>
      <c r="G216" s="240"/>
      <c r="H216" s="240"/>
      <c r="I216" s="240"/>
      <c r="J216" s="240"/>
      <c r="K216" s="240">
        <v>2500</v>
      </c>
      <c r="L216" s="240"/>
      <c r="M216" s="240"/>
      <c r="N216" s="240"/>
      <c r="O216" s="281"/>
      <c r="P216" s="736"/>
      <c r="Q216" s="277"/>
      <c r="R216" s="277"/>
      <c r="S216" s="277"/>
      <c r="T216" s="277"/>
      <c r="U216" s="277"/>
      <c r="V216" s="277"/>
    </row>
    <row r="217" spans="1:22" s="243" customFormat="1" ht="15" customHeight="1">
      <c r="A217" s="234"/>
      <c r="B217" s="238"/>
      <c r="C217" s="239"/>
      <c r="D217" s="271" t="s">
        <v>915</v>
      </c>
      <c r="E217" s="275"/>
      <c r="F217" s="465">
        <f t="shared" si="3"/>
        <v>500</v>
      </c>
      <c r="G217" s="240"/>
      <c r="H217" s="240"/>
      <c r="I217" s="240"/>
      <c r="J217" s="240"/>
      <c r="K217" s="240">
        <v>500</v>
      </c>
      <c r="L217" s="240"/>
      <c r="M217" s="240"/>
      <c r="N217" s="240"/>
      <c r="O217" s="281"/>
      <c r="P217" s="736"/>
      <c r="Q217" s="277"/>
      <c r="R217" s="277"/>
      <c r="S217" s="277"/>
      <c r="T217" s="277"/>
      <c r="U217" s="277"/>
      <c r="V217" s="277"/>
    </row>
    <row r="218" spans="1:22" s="243" customFormat="1" ht="15" customHeight="1">
      <c r="A218" s="234"/>
      <c r="B218" s="238"/>
      <c r="C218" s="239"/>
      <c r="D218" s="271" t="s">
        <v>741</v>
      </c>
      <c r="E218" s="275">
        <v>240</v>
      </c>
      <c r="F218" s="465">
        <f t="shared" si="3"/>
        <v>740</v>
      </c>
      <c r="G218" s="240"/>
      <c r="H218" s="240"/>
      <c r="I218" s="240">
        <v>240</v>
      </c>
      <c r="J218" s="240"/>
      <c r="K218" s="240">
        <v>500</v>
      </c>
      <c r="L218" s="240"/>
      <c r="M218" s="240"/>
      <c r="N218" s="240"/>
      <c r="O218" s="281"/>
      <c r="P218" s="736"/>
      <c r="Q218" s="277"/>
      <c r="R218" s="277"/>
      <c r="S218" s="277"/>
      <c r="T218" s="277"/>
      <c r="U218" s="277"/>
      <c r="V218" s="277"/>
    </row>
    <row r="219" spans="1:22" s="243" customFormat="1" ht="15" customHeight="1">
      <c r="A219" s="234" t="s">
        <v>17</v>
      </c>
      <c r="B219" s="238">
        <v>889101</v>
      </c>
      <c r="C219" s="239" t="s">
        <v>93</v>
      </c>
      <c r="D219" s="274" t="s">
        <v>540</v>
      </c>
      <c r="E219" s="275"/>
      <c r="F219" s="465">
        <f t="shared" si="3"/>
        <v>7000</v>
      </c>
      <c r="G219" s="240"/>
      <c r="H219" s="240"/>
      <c r="I219" s="240"/>
      <c r="J219" s="240">
        <v>7000</v>
      </c>
      <c r="K219" s="240"/>
      <c r="L219" s="240"/>
      <c r="M219" s="240"/>
      <c r="N219" s="240"/>
      <c r="O219" s="281"/>
      <c r="P219" s="736"/>
      <c r="Q219" s="277"/>
      <c r="R219" s="277"/>
      <c r="S219" s="277"/>
      <c r="T219" s="277"/>
      <c r="U219" s="277"/>
      <c r="V219" s="277"/>
    </row>
    <row r="220" spans="1:22" s="243" customFormat="1" ht="15" customHeight="1">
      <c r="A220" s="853"/>
      <c r="B220" s="854"/>
      <c r="C220" s="855"/>
      <c r="D220" s="916" t="s">
        <v>915</v>
      </c>
      <c r="E220" s="917"/>
      <c r="F220" s="465">
        <f t="shared" si="3"/>
        <v>7000</v>
      </c>
      <c r="G220" s="858"/>
      <c r="H220" s="858"/>
      <c r="I220" s="858"/>
      <c r="J220" s="858">
        <v>7000</v>
      </c>
      <c r="K220" s="858"/>
      <c r="L220" s="858"/>
      <c r="M220" s="858"/>
      <c r="N220" s="858"/>
      <c r="O220" s="918"/>
      <c r="P220" s="919"/>
      <c r="Q220" s="277"/>
      <c r="R220" s="277"/>
      <c r="S220" s="277"/>
      <c r="T220" s="277"/>
      <c r="U220" s="277"/>
      <c r="V220" s="277"/>
    </row>
    <row r="221" spans="1:22" s="243" customFormat="1" ht="15" customHeight="1">
      <c r="A221" s="992"/>
      <c r="B221" s="993"/>
      <c r="C221" s="994"/>
      <c r="D221" s="271" t="s">
        <v>741</v>
      </c>
      <c r="E221" s="995"/>
      <c r="F221" s="465">
        <f t="shared" si="3"/>
        <v>7000</v>
      </c>
      <c r="G221" s="1003"/>
      <c r="H221" s="1003"/>
      <c r="I221" s="1003"/>
      <c r="J221" s="1003">
        <v>7000</v>
      </c>
      <c r="K221" s="1003"/>
      <c r="L221" s="1003"/>
      <c r="M221" s="1003"/>
      <c r="N221" s="1003"/>
      <c r="O221" s="1004"/>
      <c r="P221" s="736"/>
      <c r="Q221" s="277"/>
      <c r="R221" s="277"/>
      <c r="S221" s="277"/>
      <c r="T221" s="277"/>
      <c r="U221" s="277"/>
      <c r="V221" s="277"/>
    </row>
    <row r="222" spans="1:22" s="243" customFormat="1" ht="15" customHeight="1">
      <c r="A222" s="226" t="s">
        <v>23</v>
      </c>
      <c r="B222" s="784">
        <v>889923</v>
      </c>
      <c r="C222" s="233" t="s">
        <v>94</v>
      </c>
      <c r="D222" s="271" t="s">
        <v>540</v>
      </c>
      <c r="E222" s="272">
        <v>2470</v>
      </c>
      <c r="F222" s="465">
        <f t="shared" si="3"/>
        <v>0</v>
      </c>
      <c r="G222" s="785"/>
      <c r="H222" s="785"/>
      <c r="I222" s="785"/>
      <c r="J222" s="785"/>
      <c r="K222" s="785"/>
      <c r="L222" s="785"/>
      <c r="M222" s="785"/>
      <c r="N222" s="785"/>
      <c r="O222" s="787"/>
      <c r="P222" s="735"/>
      <c r="Q222" s="277"/>
      <c r="R222" s="277"/>
      <c r="S222" s="277"/>
      <c r="T222" s="277"/>
      <c r="U222" s="277"/>
      <c r="V222" s="277"/>
    </row>
    <row r="223" spans="1:22" s="243" customFormat="1" ht="15" customHeight="1">
      <c r="A223" s="234"/>
      <c r="B223" s="238"/>
      <c r="C223" s="239"/>
      <c r="D223" s="271" t="s">
        <v>915</v>
      </c>
      <c r="E223" s="275">
        <v>2470</v>
      </c>
      <c r="F223" s="465">
        <f t="shared" si="3"/>
        <v>0</v>
      </c>
      <c r="G223" s="240"/>
      <c r="H223" s="240"/>
      <c r="I223" s="240"/>
      <c r="J223" s="240"/>
      <c r="K223" s="240"/>
      <c r="L223" s="240"/>
      <c r="M223" s="240"/>
      <c r="N223" s="240"/>
      <c r="O223" s="281"/>
      <c r="P223" s="736"/>
      <c r="Q223" s="277"/>
      <c r="R223" s="277"/>
      <c r="S223" s="277"/>
      <c r="T223" s="277"/>
      <c r="U223" s="277"/>
      <c r="V223" s="277"/>
    </row>
    <row r="224" spans="1:22" s="243" customFormat="1" ht="15" customHeight="1">
      <c r="A224" s="234"/>
      <c r="B224" s="238"/>
      <c r="C224" s="239"/>
      <c r="D224" s="271" t="s">
        <v>741</v>
      </c>
      <c r="E224" s="275">
        <v>2470</v>
      </c>
      <c r="F224" s="465">
        <f t="shared" si="3"/>
        <v>0</v>
      </c>
      <c r="G224" s="240"/>
      <c r="H224" s="240"/>
      <c r="I224" s="240"/>
      <c r="J224" s="240"/>
      <c r="K224" s="240"/>
      <c r="L224" s="240"/>
      <c r="M224" s="240"/>
      <c r="N224" s="240"/>
      <c r="O224" s="281"/>
      <c r="P224" s="736"/>
      <c r="Q224" s="277"/>
      <c r="R224" s="277"/>
      <c r="S224" s="277"/>
      <c r="T224" s="277"/>
      <c r="U224" s="277"/>
      <c r="V224" s="277"/>
    </row>
    <row r="225" spans="1:22" s="243" customFormat="1" ht="15" customHeight="1">
      <c r="A225" s="234" t="s">
        <v>23</v>
      </c>
      <c r="B225" s="238">
        <v>889925</v>
      </c>
      <c r="C225" s="239" t="s">
        <v>95</v>
      </c>
      <c r="D225" s="274" t="s">
        <v>540</v>
      </c>
      <c r="E225" s="275">
        <v>14560</v>
      </c>
      <c r="F225" s="465">
        <f t="shared" si="3"/>
        <v>0</v>
      </c>
      <c r="G225" s="240"/>
      <c r="H225" s="240"/>
      <c r="I225" s="240"/>
      <c r="J225" s="240"/>
      <c r="K225" s="240"/>
      <c r="L225" s="240"/>
      <c r="M225" s="240"/>
      <c r="N225" s="240"/>
      <c r="O225" s="281"/>
      <c r="P225" s="736"/>
      <c r="Q225" s="277"/>
      <c r="R225" s="277"/>
      <c r="S225" s="277"/>
      <c r="T225" s="277"/>
      <c r="U225" s="277"/>
      <c r="V225" s="277"/>
    </row>
    <row r="226" spans="1:22" s="243" customFormat="1" ht="15" customHeight="1">
      <c r="A226" s="234"/>
      <c r="B226" s="238"/>
      <c r="C226" s="239"/>
      <c r="D226" s="271" t="s">
        <v>915</v>
      </c>
      <c r="E226" s="275">
        <v>14560</v>
      </c>
      <c r="F226" s="465">
        <f t="shared" si="3"/>
        <v>0</v>
      </c>
      <c r="G226" s="240"/>
      <c r="H226" s="240"/>
      <c r="I226" s="240"/>
      <c r="J226" s="240"/>
      <c r="K226" s="240"/>
      <c r="L226" s="240"/>
      <c r="M226" s="240"/>
      <c r="N226" s="240"/>
      <c r="O226" s="281"/>
      <c r="P226" s="736"/>
      <c r="Q226" s="277"/>
      <c r="R226" s="277"/>
      <c r="S226" s="277"/>
      <c r="T226" s="277"/>
      <c r="U226" s="277"/>
      <c r="V226" s="277"/>
    </row>
    <row r="227" spans="1:22" s="243" customFormat="1" ht="15" customHeight="1">
      <c r="A227" s="234"/>
      <c r="B227" s="238"/>
      <c r="C227" s="239"/>
      <c r="D227" s="271" t="s">
        <v>741</v>
      </c>
      <c r="E227" s="275">
        <v>14560</v>
      </c>
      <c r="F227" s="465">
        <f t="shared" si="3"/>
        <v>0</v>
      </c>
      <c r="G227" s="240"/>
      <c r="H227" s="240"/>
      <c r="I227" s="240"/>
      <c r="J227" s="240"/>
      <c r="K227" s="240"/>
      <c r="L227" s="240"/>
      <c r="M227" s="240"/>
      <c r="N227" s="240"/>
      <c r="O227" s="281"/>
      <c r="P227" s="736"/>
      <c r="Q227" s="277"/>
      <c r="R227" s="277"/>
      <c r="S227" s="277"/>
      <c r="T227" s="277"/>
      <c r="U227" s="277"/>
      <c r="V227" s="277"/>
    </row>
    <row r="228" spans="1:27" s="282" customFormat="1" ht="15" customHeight="1">
      <c r="A228" s="234" t="s">
        <v>23</v>
      </c>
      <c r="B228" s="238">
        <v>889926</v>
      </c>
      <c r="C228" s="239" t="s">
        <v>120</v>
      </c>
      <c r="D228" s="274" t="s">
        <v>540</v>
      </c>
      <c r="E228" s="275">
        <v>8000</v>
      </c>
      <c r="F228" s="465">
        <f t="shared" si="3"/>
        <v>0</v>
      </c>
      <c r="G228" s="240"/>
      <c r="H228" s="240"/>
      <c r="I228" s="240"/>
      <c r="J228" s="240"/>
      <c r="K228" s="240"/>
      <c r="L228" s="240"/>
      <c r="M228" s="240"/>
      <c r="N228" s="241"/>
      <c r="O228" s="281"/>
      <c r="P228" s="736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  <c r="AA228" s="277"/>
    </row>
    <row r="229" spans="1:16" s="277" customFormat="1" ht="15" customHeight="1">
      <c r="A229" s="234"/>
      <c r="B229" s="238"/>
      <c r="C229" s="239"/>
      <c r="D229" s="271" t="s">
        <v>915</v>
      </c>
      <c r="E229" s="275">
        <v>8000</v>
      </c>
      <c r="F229" s="465">
        <f t="shared" si="3"/>
        <v>0</v>
      </c>
      <c r="G229" s="240"/>
      <c r="H229" s="240"/>
      <c r="I229" s="240"/>
      <c r="J229" s="240"/>
      <c r="K229" s="240"/>
      <c r="L229" s="240"/>
      <c r="M229" s="240"/>
      <c r="N229" s="241"/>
      <c r="O229" s="281"/>
      <c r="P229" s="736"/>
    </row>
    <row r="230" spans="1:16" s="277" customFormat="1" ht="15" customHeight="1">
      <c r="A230" s="234"/>
      <c r="B230" s="238"/>
      <c r="C230" s="239"/>
      <c r="D230" s="271" t="s">
        <v>741</v>
      </c>
      <c r="E230" s="275">
        <v>8000</v>
      </c>
      <c r="F230" s="465">
        <f t="shared" si="3"/>
        <v>0</v>
      </c>
      <c r="G230" s="240"/>
      <c r="H230" s="240"/>
      <c r="I230" s="240"/>
      <c r="J230" s="240"/>
      <c r="K230" s="240"/>
      <c r="L230" s="240"/>
      <c r="M230" s="240"/>
      <c r="N230" s="241"/>
      <c r="O230" s="281"/>
      <c r="P230" s="736"/>
    </row>
    <row r="231" spans="1:16" s="277" customFormat="1" ht="15" customHeight="1">
      <c r="A231" s="234" t="s">
        <v>17</v>
      </c>
      <c r="B231" s="238">
        <v>889935</v>
      </c>
      <c r="C231" s="239" t="s">
        <v>98</v>
      </c>
      <c r="D231" s="274" t="s">
        <v>540</v>
      </c>
      <c r="E231" s="275"/>
      <c r="F231" s="465">
        <f t="shared" si="3"/>
        <v>0</v>
      </c>
      <c r="G231" s="240"/>
      <c r="H231" s="240"/>
      <c r="I231" s="240"/>
      <c r="J231" s="240"/>
      <c r="K231" s="240"/>
      <c r="L231" s="240"/>
      <c r="M231" s="240"/>
      <c r="N231" s="241"/>
      <c r="O231" s="281"/>
      <c r="P231" s="736"/>
    </row>
    <row r="232" spans="1:16" s="277" customFormat="1" ht="15" customHeight="1">
      <c r="A232" s="853"/>
      <c r="B232" s="854"/>
      <c r="C232" s="855"/>
      <c r="D232" s="916" t="s">
        <v>915</v>
      </c>
      <c r="E232" s="917">
        <v>998</v>
      </c>
      <c r="F232" s="465">
        <f t="shared" si="3"/>
        <v>0</v>
      </c>
      <c r="G232" s="858"/>
      <c r="H232" s="858"/>
      <c r="I232" s="858"/>
      <c r="J232" s="858"/>
      <c r="K232" s="858"/>
      <c r="L232" s="858"/>
      <c r="M232" s="858"/>
      <c r="N232" s="1001"/>
      <c r="O232" s="918"/>
      <c r="P232" s="736"/>
    </row>
    <row r="233" spans="1:16" s="277" customFormat="1" ht="15" customHeight="1" thickBot="1">
      <c r="A233" s="1006"/>
      <c r="B233" s="1007"/>
      <c r="C233" s="1008"/>
      <c r="D233" s="1169" t="s">
        <v>741</v>
      </c>
      <c r="E233" s="1009">
        <v>998</v>
      </c>
      <c r="F233" s="1166">
        <f t="shared" si="3"/>
        <v>0</v>
      </c>
      <c r="G233" s="1010"/>
      <c r="H233" s="1010"/>
      <c r="I233" s="1010"/>
      <c r="J233" s="1010"/>
      <c r="K233" s="1010"/>
      <c r="L233" s="1010"/>
      <c r="M233" s="1010"/>
      <c r="N233" s="1023"/>
      <c r="O233" s="1011"/>
      <c r="P233" s="1012"/>
    </row>
    <row r="234" spans="1:22" s="243" customFormat="1" ht="15" customHeight="1">
      <c r="A234" s="288" t="s">
        <v>23</v>
      </c>
      <c r="B234" s="1013">
        <v>889942</v>
      </c>
      <c r="C234" s="1014" t="s">
        <v>121</v>
      </c>
      <c r="D234" s="1015" t="s">
        <v>540</v>
      </c>
      <c r="E234" s="1016">
        <v>2500</v>
      </c>
      <c r="F234" s="1017">
        <f t="shared" si="3"/>
        <v>3500</v>
      </c>
      <c r="G234" s="1021"/>
      <c r="H234" s="1021"/>
      <c r="I234" s="1021"/>
      <c r="J234" s="1021"/>
      <c r="K234" s="1021"/>
      <c r="L234" s="1021"/>
      <c r="M234" s="1021"/>
      <c r="N234" s="1021">
        <v>3500</v>
      </c>
      <c r="O234" s="1022"/>
      <c r="P234" s="1020"/>
      <c r="Q234" s="277"/>
      <c r="R234" s="277"/>
      <c r="S234" s="277"/>
      <c r="T234" s="277"/>
      <c r="U234" s="277"/>
      <c r="V234" s="277"/>
    </row>
    <row r="235" spans="1:22" s="243" customFormat="1" ht="15" customHeight="1">
      <c r="A235" s="234"/>
      <c r="B235" s="238"/>
      <c r="C235" s="239"/>
      <c r="D235" s="271" t="s">
        <v>915</v>
      </c>
      <c r="E235" s="275">
        <v>2500</v>
      </c>
      <c r="F235" s="465">
        <f t="shared" si="3"/>
        <v>100</v>
      </c>
      <c r="G235" s="240"/>
      <c r="H235" s="240"/>
      <c r="I235" s="240"/>
      <c r="J235" s="240"/>
      <c r="K235" s="240"/>
      <c r="L235" s="240"/>
      <c r="M235" s="240"/>
      <c r="N235" s="240">
        <v>100</v>
      </c>
      <c r="O235" s="281"/>
      <c r="P235" s="736"/>
      <c r="Q235" s="277"/>
      <c r="R235" s="277"/>
      <c r="S235" s="277"/>
      <c r="T235" s="277"/>
      <c r="U235" s="277"/>
      <c r="V235" s="277"/>
    </row>
    <row r="236" spans="1:22" s="243" customFormat="1" ht="15" customHeight="1">
      <c r="A236" s="234"/>
      <c r="B236" s="238"/>
      <c r="C236" s="239"/>
      <c r="D236" s="271" t="s">
        <v>741</v>
      </c>
      <c r="E236" s="275">
        <v>2500</v>
      </c>
      <c r="F236" s="465">
        <f t="shared" si="3"/>
        <v>100</v>
      </c>
      <c r="G236" s="240"/>
      <c r="H236" s="240"/>
      <c r="I236" s="240"/>
      <c r="J236" s="240"/>
      <c r="K236" s="240"/>
      <c r="L236" s="240"/>
      <c r="M236" s="240"/>
      <c r="N236" s="240">
        <v>100</v>
      </c>
      <c r="O236" s="281"/>
      <c r="P236" s="736"/>
      <c r="Q236" s="277"/>
      <c r="R236" s="277"/>
      <c r="S236" s="277"/>
      <c r="T236" s="277"/>
      <c r="U236" s="277"/>
      <c r="V236" s="277"/>
    </row>
    <row r="237" spans="1:22" s="243" customFormat="1" ht="16.5" customHeight="1">
      <c r="A237" s="234" t="s">
        <v>23</v>
      </c>
      <c r="B237" s="238">
        <v>890216</v>
      </c>
      <c r="C237" s="283" t="s">
        <v>122</v>
      </c>
      <c r="D237" s="274" t="s">
        <v>540</v>
      </c>
      <c r="E237" s="275"/>
      <c r="F237" s="465">
        <f t="shared" si="3"/>
        <v>12108</v>
      </c>
      <c r="G237" s="240"/>
      <c r="H237" s="240">
        <v>884</v>
      </c>
      <c r="I237" s="240">
        <v>6524</v>
      </c>
      <c r="J237" s="240">
        <v>700</v>
      </c>
      <c r="K237" s="240">
        <v>4000</v>
      </c>
      <c r="L237" s="240"/>
      <c r="M237" s="240"/>
      <c r="N237" s="240"/>
      <c r="O237" s="281"/>
      <c r="P237" s="736"/>
      <c r="Q237" s="277"/>
      <c r="R237" s="277"/>
      <c r="S237" s="277"/>
      <c r="T237" s="277"/>
      <c r="U237" s="277"/>
      <c r="V237" s="277"/>
    </row>
    <row r="238" spans="1:22" s="243" customFormat="1" ht="16.5" customHeight="1">
      <c r="A238" s="234"/>
      <c r="B238" s="238"/>
      <c r="C238" s="283"/>
      <c r="D238" s="271" t="s">
        <v>915</v>
      </c>
      <c r="E238" s="275"/>
      <c r="F238" s="465">
        <f t="shared" si="3"/>
        <v>12108</v>
      </c>
      <c r="G238" s="240"/>
      <c r="H238" s="240">
        <v>884</v>
      </c>
      <c r="I238" s="240">
        <v>6524</v>
      </c>
      <c r="J238" s="240">
        <v>700</v>
      </c>
      <c r="K238" s="240">
        <v>4000</v>
      </c>
      <c r="L238" s="240"/>
      <c r="M238" s="240"/>
      <c r="N238" s="240"/>
      <c r="O238" s="281"/>
      <c r="P238" s="736"/>
      <c r="Q238" s="277"/>
      <c r="R238" s="277"/>
      <c r="S238" s="277"/>
      <c r="T238" s="277"/>
      <c r="U238" s="277"/>
      <c r="V238" s="277"/>
    </row>
    <row r="239" spans="1:22" s="243" customFormat="1" ht="16.5" customHeight="1">
      <c r="A239" s="234"/>
      <c r="B239" s="238"/>
      <c r="C239" s="283"/>
      <c r="D239" s="271" t="s">
        <v>741</v>
      </c>
      <c r="E239" s="275"/>
      <c r="F239" s="465">
        <f t="shared" si="3"/>
        <v>13674</v>
      </c>
      <c r="G239" s="240">
        <v>856</v>
      </c>
      <c r="H239" s="240">
        <v>1594</v>
      </c>
      <c r="I239" s="240">
        <v>6524</v>
      </c>
      <c r="J239" s="240">
        <v>700</v>
      </c>
      <c r="K239" s="240">
        <v>4000</v>
      </c>
      <c r="L239" s="240"/>
      <c r="M239" s="240"/>
      <c r="N239" s="240"/>
      <c r="O239" s="281"/>
      <c r="P239" s="736"/>
      <c r="Q239" s="277"/>
      <c r="R239" s="277"/>
      <c r="S239" s="277"/>
      <c r="T239" s="277"/>
      <c r="U239" s="277"/>
      <c r="V239" s="277"/>
    </row>
    <row r="240" spans="1:22" ht="15" customHeight="1">
      <c r="A240" s="231" t="s">
        <v>17</v>
      </c>
      <c r="B240" s="238">
        <v>890441</v>
      </c>
      <c r="C240" s="239" t="s">
        <v>2</v>
      </c>
      <c r="D240" s="274" t="s">
        <v>540</v>
      </c>
      <c r="E240" s="275"/>
      <c r="F240" s="465">
        <f t="shared" si="3"/>
        <v>0</v>
      </c>
      <c r="G240" s="236"/>
      <c r="H240" s="236"/>
      <c r="I240" s="236"/>
      <c r="J240" s="236"/>
      <c r="K240" s="236"/>
      <c r="L240" s="236"/>
      <c r="M240" s="236"/>
      <c r="N240" s="236"/>
      <c r="O240" s="276"/>
      <c r="P240" s="738"/>
      <c r="Q240" s="284"/>
      <c r="R240" s="284"/>
      <c r="S240" s="284"/>
      <c r="T240" s="284"/>
      <c r="U240" s="284"/>
      <c r="V240" s="284"/>
    </row>
    <row r="241" spans="1:22" ht="15" customHeight="1">
      <c r="A241" s="231"/>
      <c r="B241" s="238"/>
      <c r="C241" s="239"/>
      <c r="D241" s="271" t="s">
        <v>915</v>
      </c>
      <c r="E241" s="275"/>
      <c r="F241" s="465">
        <f t="shared" si="3"/>
        <v>0</v>
      </c>
      <c r="G241" s="236"/>
      <c r="H241" s="236"/>
      <c r="I241" s="236"/>
      <c r="J241" s="236"/>
      <c r="K241" s="236"/>
      <c r="L241" s="236"/>
      <c r="M241" s="236"/>
      <c r="N241" s="236"/>
      <c r="O241" s="276"/>
      <c r="P241" s="738"/>
      <c r="Q241" s="284"/>
      <c r="R241" s="284"/>
      <c r="S241" s="284"/>
      <c r="T241" s="284"/>
      <c r="U241" s="284"/>
      <c r="V241" s="284"/>
    </row>
    <row r="242" spans="1:22" ht="15" customHeight="1">
      <c r="A242" s="231"/>
      <c r="B242" s="238"/>
      <c r="C242" s="239"/>
      <c r="D242" s="271" t="s">
        <v>741</v>
      </c>
      <c r="E242" s="275">
        <v>3400</v>
      </c>
      <c r="F242" s="465">
        <f t="shared" si="3"/>
        <v>3400</v>
      </c>
      <c r="G242" s="236">
        <v>3000</v>
      </c>
      <c r="H242" s="236">
        <v>400</v>
      </c>
      <c r="I242" s="236"/>
      <c r="J242" s="236"/>
      <c r="K242" s="236"/>
      <c r="L242" s="236"/>
      <c r="M242" s="236"/>
      <c r="N242" s="236"/>
      <c r="O242" s="276"/>
      <c r="P242" s="738"/>
      <c r="Q242" s="284"/>
      <c r="R242" s="284"/>
      <c r="S242" s="284"/>
      <c r="T242" s="284"/>
      <c r="U242" s="284"/>
      <c r="V242" s="284"/>
    </row>
    <row r="243" spans="1:22" ht="15" customHeight="1">
      <c r="A243" s="231" t="s">
        <v>17</v>
      </c>
      <c r="B243" s="238">
        <v>890442</v>
      </c>
      <c r="C243" s="239" t="s">
        <v>123</v>
      </c>
      <c r="D243" s="274" t="s">
        <v>540</v>
      </c>
      <c r="E243" s="275">
        <v>40380</v>
      </c>
      <c r="F243" s="465">
        <f t="shared" si="3"/>
        <v>44700</v>
      </c>
      <c r="G243" s="236">
        <v>38062</v>
      </c>
      <c r="H243" s="236">
        <v>5138</v>
      </c>
      <c r="I243" s="236">
        <v>1500</v>
      </c>
      <c r="J243" s="236"/>
      <c r="K243" s="236"/>
      <c r="L243" s="236"/>
      <c r="M243" s="236"/>
      <c r="N243" s="236"/>
      <c r="O243" s="276"/>
      <c r="P243" s="738"/>
      <c r="Q243" s="284"/>
      <c r="R243" s="284"/>
      <c r="S243" s="284"/>
      <c r="T243" s="284"/>
      <c r="U243" s="284"/>
      <c r="V243" s="284"/>
    </row>
    <row r="244" spans="1:22" ht="15" customHeight="1">
      <c r="A244" s="231"/>
      <c r="B244" s="238"/>
      <c r="C244" s="239"/>
      <c r="D244" s="271" t="s">
        <v>915</v>
      </c>
      <c r="E244" s="275">
        <v>31011</v>
      </c>
      <c r="F244" s="465">
        <f t="shared" si="3"/>
        <v>34285</v>
      </c>
      <c r="G244" s="236">
        <v>28821</v>
      </c>
      <c r="H244" s="236">
        <v>3964</v>
      </c>
      <c r="I244" s="236">
        <v>1500</v>
      </c>
      <c r="J244" s="236"/>
      <c r="K244" s="236"/>
      <c r="L244" s="236"/>
      <c r="M244" s="236"/>
      <c r="N244" s="236"/>
      <c r="O244" s="276"/>
      <c r="P244" s="738"/>
      <c r="Q244" s="284"/>
      <c r="R244" s="284"/>
      <c r="S244" s="284"/>
      <c r="T244" s="284"/>
      <c r="U244" s="284"/>
      <c r="V244" s="284"/>
    </row>
    <row r="245" spans="1:22" ht="15" customHeight="1">
      <c r="A245" s="231"/>
      <c r="B245" s="238"/>
      <c r="C245" s="239"/>
      <c r="D245" s="271" t="s">
        <v>741</v>
      </c>
      <c r="E245" s="275">
        <v>29148</v>
      </c>
      <c r="F245" s="465">
        <f t="shared" si="3"/>
        <v>31745</v>
      </c>
      <c r="G245" s="236">
        <v>25821</v>
      </c>
      <c r="H245" s="236">
        <v>3564</v>
      </c>
      <c r="I245" s="236">
        <v>2360</v>
      </c>
      <c r="J245" s="236"/>
      <c r="K245" s="236"/>
      <c r="L245" s="236"/>
      <c r="M245" s="236"/>
      <c r="N245" s="236"/>
      <c r="O245" s="276"/>
      <c r="P245" s="738"/>
      <c r="Q245" s="284"/>
      <c r="R245" s="284"/>
      <c r="S245" s="284"/>
      <c r="T245" s="284"/>
      <c r="U245" s="284"/>
      <c r="V245" s="284"/>
    </row>
    <row r="246" spans="1:22" s="243" customFormat="1" ht="15" customHeight="1">
      <c r="A246" s="234" t="s">
        <v>17</v>
      </c>
      <c r="B246" s="238">
        <v>910501</v>
      </c>
      <c r="C246" s="239" t="s">
        <v>124</v>
      </c>
      <c r="D246" s="274" t="s">
        <v>540</v>
      </c>
      <c r="E246" s="275">
        <v>2000</v>
      </c>
      <c r="F246" s="465">
        <f t="shared" si="3"/>
        <v>131604</v>
      </c>
      <c r="G246" s="240"/>
      <c r="H246" s="240"/>
      <c r="I246" s="240"/>
      <c r="J246" s="240">
        <v>129604</v>
      </c>
      <c r="K246" s="240"/>
      <c r="L246" s="240"/>
      <c r="M246" s="240"/>
      <c r="N246" s="240">
        <v>2000</v>
      </c>
      <c r="O246" s="281"/>
      <c r="P246" s="736"/>
      <c r="Q246" s="277"/>
      <c r="R246" s="277"/>
      <c r="S246" s="277"/>
      <c r="T246" s="277"/>
      <c r="U246" s="277"/>
      <c r="V246" s="277"/>
    </row>
    <row r="247" spans="1:22" s="243" customFormat="1" ht="15" customHeight="1">
      <c r="A247" s="234"/>
      <c r="B247" s="238"/>
      <c r="C247" s="239"/>
      <c r="D247" s="271" t="s">
        <v>915</v>
      </c>
      <c r="E247" s="275">
        <v>2000</v>
      </c>
      <c r="F247" s="465">
        <f t="shared" si="3"/>
        <v>151411</v>
      </c>
      <c r="G247" s="240">
        <v>60</v>
      </c>
      <c r="H247" s="240">
        <v>31</v>
      </c>
      <c r="I247" s="240">
        <v>1966</v>
      </c>
      <c r="J247" s="240">
        <v>147354</v>
      </c>
      <c r="K247" s="240"/>
      <c r="L247" s="240"/>
      <c r="M247" s="240"/>
      <c r="N247" s="240">
        <v>2000</v>
      </c>
      <c r="O247" s="281"/>
      <c r="P247" s="736"/>
      <c r="Q247" s="277"/>
      <c r="R247" s="277"/>
      <c r="S247" s="277"/>
      <c r="T247" s="277"/>
      <c r="U247" s="277"/>
      <c r="V247" s="277"/>
    </row>
    <row r="248" spans="1:22" s="243" customFormat="1" ht="15" customHeight="1">
      <c r="A248" s="234"/>
      <c r="B248" s="238"/>
      <c r="C248" s="239"/>
      <c r="D248" s="271" t="s">
        <v>741</v>
      </c>
      <c r="E248" s="275">
        <v>2000</v>
      </c>
      <c r="F248" s="465">
        <f t="shared" si="3"/>
        <v>154727</v>
      </c>
      <c r="G248" s="240">
        <v>244</v>
      </c>
      <c r="H248" s="240">
        <v>414</v>
      </c>
      <c r="I248" s="240">
        <v>2814</v>
      </c>
      <c r="J248" s="240">
        <v>147885</v>
      </c>
      <c r="K248" s="240"/>
      <c r="L248" s="240"/>
      <c r="M248" s="240">
        <v>1370</v>
      </c>
      <c r="N248" s="240">
        <v>2000</v>
      </c>
      <c r="O248" s="281"/>
      <c r="P248" s="736"/>
      <c r="Q248" s="277"/>
      <c r="R248" s="277"/>
      <c r="S248" s="277"/>
      <c r="T248" s="277"/>
      <c r="U248" s="277"/>
      <c r="V248" s="277"/>
    </row>
    <row r="249" spans="1:22" s="243" customFormat="1" ht="15" customHeight="1">
      <c r="A249" s="234" t="s">
        <v>17</v>
      </c>
      <c r="B249" s="238">
        <v>890502</v>
      </c>
      <c r="C249" s="239" t="s">
        <v>800</v>
      </c>
      <c r="D249" s="274" t="s">
        <v>540</v>
      </c>
      <c r="E249" s="275"/>
      <c r="F249" s="465">
        <f t="shared" si="3"/>
        <v>0</v>
      </c>
      <c r="G249" s="240"/>
      <c r="H249" s="240"/>
      <c r="I249" s="240"/>
      <c r="J249" s="240"/>
      <c r="K249" s="240"/>
      <c r="L249" s="240"/>
      <c r="M249" s="240"/>
      <c r="N249" s="240"/>
      <c r="O249" s="281"/>
      <c r="P249" s="736"/>
      <c r="Q249" s="277"/>
      <c r="R249" s="277"/>
      <c r="S249" s="277"/>
      <c r="T249" s="277"/>
      <c r="U249" s="277"/>
      <c r="V249" s="277"/>
    </row>
    <row r="250" spans="1:22" s="243" customFormat="1" ht="15" customHeight="1">
      <c r="A250" s="234"/>
      <c r="B250" s="238"/>
      <c r="C250" s="239"/>
      <c r="D250" s="271" t="s">
        <v>915</v>
      </c>
      <c r="E250" s="275">
        <v>13723</v>
      </c>
      <c r="F250" s="465">
        <f t="shared" si="3"/>
        <v>14365</v>
      </c>
      <c r="G250" s="240">
        <v>13780</v>
      </c>
      <c r="H250" s="240">
        <v>585</v>
      </c>
      <c r="I250" s="240"/>
      <c r="J250" s="240"/>
      <c r="K250" s="240"/>
      <c r="L250" s="240"/>
      <c r="M250" s="240"/>
      <c r="N250" s="240"/>
      <c r="O250" s="281"/>
      <c r="P250" s="736"/>
      <c r="Q250" s="277"/>
      <c r="R250" s="277"/>
      <c r="S250" s="277"/>
      <c r="T250" s="277"/>
      <c r="U250" s="277"/>
      <c r="V250" s="277"/>
    </row>
    <row r="251" spans="1:22" s="243" customFormat="1" ht="15" customHeight="1">
      <c r="A251" s="234"/>
      <c r="B251" s="238"/>
      <c r="C251" s="239"/>
      <c r="D251" s="271" t="s">
        <v>741</v>
      </c>
      <c r="E251" s="275">
        <v>13723</v>
      </c>
      <c r="F251" s="465">
        <f t="shared" si="3"/>
        <v>14365</v>
      </c>
      <c r="G251" s="240">
        <v>13780</v>
      </c>
      <c r="H251" s="240">
        <v>585</v>
      </c>
      <c r="I251" s="240"/>
      <c r="J251" s="240"/>
      <c r="K251" s="240"/>
      <c r="L251" s="240"/>
      <c r="M251" s="240"/>
      <c r="N251" s="240"/>
      <c r="O251" s="281"/>
      <c r="P251" s="736"/>
      <c r="Q251" s="277"/>
      <c r="R251" s="277"/>
      <c r="S251" s="277"/>
      <c r="T251" s="277"/>
      <c r="U251" s="277"/>
      <c r="V251" s="277"/>
    </row>
    <row r="252" spans="1:22" s="243" customFormat="1" ht="15" customHeight="1">
      <c r="A252" s="234" t="s">
        <v>23</v>
      </c>
      <c r="B252" s="238">
        <v>931202</v>
      </c>
      <c r="C252" s="239" t="s">
        <v>128</v>
      </c>
      <c r="D252" s="274" t="s">
        <v>540</v>
      </c>
      <c r="E252" s="275"/>
      <c r="F252" s="465">
        <f t="shared" si="3"/>
        <v>1000</v>
      </c>
      <c r="G252" s="240"/>
      <c r="H252" s="240"/>
      <c r="I252" s="240"/>
      <c r="J252" s="240">
        <v>1000</v>
      </c>
      <c r="K252" s="240"/>
      <c r="L252" s="240"/>
      <c r="M252" s="240"/>
      <c r="N252" s="240"/>
      <c r="O252" s="281"/>
      <c r="P252" s="736"/>
      <c r="Q252" s="277"/>
      <c r="R252" s="277"/>
      <c r="S252" s="277"/>
      <c r="T252" s="277"/>
      <c r="U252" s="277"/>
      <c r="V252" s="277"/>
    </row>
    <row r="253" spans="1:22" s="243" customFormat="1" ht="15" customHeight="1">
      <c r="A253" s="234"/>
      <c r="B253" s="238"/>
      <c r="C253" s="239"/>
      <c r="D253" s="271" t="s">
        <v>915</v>
      </c>
      <c r="E253" s="275"/>
      <c r="F253" s="465">
        <f t="shared" si="3"/>
        <v>4500</v>
      </c>
      <c r="G253" s="240"/>
      <c r="H253" s="240"/>
      <c r="I253" s="240"/>
      <c r="J253" s="240">
        <v>4500</v>
      </c>
      <c r="K253" s="240"/>
      <c r="L253" s="240"/>
      <c r="M253" s="240"/>
      <c r="N253" s="240"/>
      <c r="O253" s="281"/>
      <c r="P253" s="736"/>
      <c r="Q253" s="277"/>
      <c r="R253" s="277"/>
      <c r="S253" s="277"/>
      <c r="T253" s="277"/>
      <c r="U253" s="277"/>
      <c r="V253" s="277"/>
    </row>
    <row r="254" spans="1:22" s="243" customFormat="1" ht="15" customHeight="1">
      <c r="A254" s="234"/>
      <c r="B254" s="238"/>
      <c r="C254" s="239"/>
      <c r="D254" s="271" t="s">
        <v>741</v>
      </c>
      <c r="E254" s="275"/>
      <c r="F254" s="465">
        <f t="shared" si="3"/>
        <v>4500</v>
      </c>
      <c r="G254" s="240"/>
      <c r="H254" s="240"/>
      <c r="I254" s="240"/>
      <c r="J254" s="240">
        <v>4500</v>
      </c>
      <c r="K254" s="240"/>
      <c r="L254" s="240"/>
      <c r="M254" s="240"/>
      <c r="N254" s="240"/>
      <c r="O254" s="281"/>
      <c r="P254" s="736"/>
      <c r="Q254" s="277"/>
      <c r="R254" s="277"/>
      <c r="S254" s="277"/>
      <c r="T254" s="277"/>
      <c r="U254" s="277"/>
      <c r="V254" s="277"/>
    </row>
    <row r="255" spans="1:22" s="243" customFormat="1" ht="15" customHeight="1">
      <c r="A255" s="234" t="s">
        <v>23</v>
      </c>
      <c r="B255" s="238">
        <v>931903</v>
      </c>
      <c r="C255" s="239" t="s">
        <v>129</v>
      </c>
      <c r="D255" s="274" t="s">
        <v>540</v>
      </c>
      <c r="E255" s="275">
        <v>1000</v>
      </c>
      <c r="F255" s="465">
        <f t="shared" si="3"/>
        <v>50945</v>
      </c>
      <c r="G255" s="240"/>
      <c r="H255" s="240">
        <v>1285</v>
      </c>
      <c r="I255" s="240">
        <v>6260</v>
      </c>
      <c r="J255" s="240">
        <v>43400</v>
      </c>
      <c r="K255" s="240"/>
      <c r="L255" s="240"/>
      <c r="M255" s="240"/>
      <c r="N255" s="240"/>
      <c r="O255" s="281"/>
      <c r="P255" s="736"/>
      <c r="Q255" s="277"/>
      <c r="R255" s="277"/>
      <c r="S255" s="277"/>
      <c r="T255" s="277"/>
      <c r="U255" s="277"/>
      <c r="V255" s="277"/>
    </row>
    <row r="256" spans="1:22" s="243" customFormat="1" ht="15" customHeight="1">
      <c r="A256" s="234"/>
      <c r="B256" s="238"/>
      <c r="C256" s="239"/>
      <c r="D256" s="271" t="s">
        <v>915</v>
      </c>
      <c r="E256" s="275"/>
      <c r="F256" s="465">
        <f t="shared" si="3"/>
        <v>59048</v>
      </c>
      <c r="G256" s="240"/>
      <c r="H256" s="240">
        <v>1285</v>
      </c>
      <c r="I256" s="240">
        <v>6579</v>
      </c>
      <c r="J256" s="240">
        <v>50984</v>
      </c>
      <c r="K256" s="240"/>
      <c r="L256" s="240"/>
      <c r="M256" s="240">
        <v>200</v>
      </c>
      <c r="N256" s="240"/>
      <c r="O256" s="281"/>
      <c r="P256" s="736"/>
      <c r="Q256" s="277"/>
      <c r="R256" s="277"/>
      <c r="S256" s="277"/>
      <c r="T256" s="277"/>
      <c r="U256" s="277"/>
      <c r="V256" s="277"/>
    </row>
    <row r="257" spans="1:22" s="243" customFormat="1" ht="15" customHeight="1">
      <c r="A257" s="234"/>
      <c r="B257" s="238"/>
      <c r="C257" s="239"/>
      <c r="D257" s="271" t="s">
        <v>741</v>
      </c>
      <c r="E257" s="275"/>
      <c r="F257" s="465">
        <f t="shared" si="3"/>
        <v>74668</v>
      </c>
      <c r="G257" s="240"/>
      <c r="H257" s="240">
        <v>1285</v>
      </c>
      <c r="I257" s="240">
        <v>6699</v>
      </c>
      <c r="J257" s="240">
        <v>66484</v>
      </c>
      <c r="K257" s="240"/>
      <c r="L257" s="240"/>
      <c r="M257" s="240">
        <v>200</v>
      </c>
      <c r="N257" s="240"/>
      <c r="O257" s="281"/>
      <c r="P257" s="736"/>
      <c r="Q257" s="277"/>
      <c r="R257" s="277"/>
      <c r="S257" s="277"/>
      <c r="T257" s="277"/>
      <c r="U257" s="277"/>
      <c r="V257" s="277"/>
    </row>
    <row r="258" spans="1:22" s="243" customFormat="1" ht="15" customHeight="1">
      <c r="A258" s="234" t="s">
        <v>23</v>
      </c>
      <c r="B258" s="238">
        <v>932911</v>
      </c>
      <c r="C258" s="239" t="s">
        <v>130</v>
      </c>
      <c r="D258" s="274" t="s">
        <v>540</v>
      </c>
      <c r="E258" s="275"/>
      <c r="F258" s="465">
        <f t="shared" si="3"/>
        <v>27291</v>
      </c>
      <c r="G258" s="240"/>
      <c r="H258" s="240"/>
      <c r="I258" s="240">
        <v>20300</v>
      </c>
      <c r="J258" s="240"/>
      <c r="K258" s="240"/>
      <c r="L258" s="240"/>
      <c r="M258" s="240">
        <v>4191</v>
      </c>
      <c r="N258" s="241">
        <v>2800</v>
      </c>
      <c r="O258" s="281"/>
      <c r="P258" s="736"/>
      <c r="Q258" s="277"/>
      <c r="R258" s="277"/>
      <c r="S258" s="277"/>
      <c r="T258" s="277"/>
      <c r="U258" s="277"/>
      <c r="V258" s="277"/>
    </row>
    <row r="259" spans="1:22" s="243" customFormat="1" ht="15" customHeight="1">
      <c r="A259" s="234"/>
      <c r="B259" s="238"/>
      <c r="C259" s="239"/>
      <c r="D259" s="271" t="s">
        <v>915</v>
      </c>
      <c r="E259" s="275"/>
      <c r="F259" s="465">
        <f t="shared" si="3"/>
        <v>48599</v>
      </c>
      <c r="G259" s="240"/>
      <c r="H259" s="240"/>
      <c r="I259" s="240">
        <v>20300</v>
      </c>
      <c r="J259" s="240"/>
      <c r="K259" s="240"/>
      <c r="L259" s="240"/>
      <c r="M259" s="240">
        <v>18191</v>
      </c>
      <c r="N259" s="241">
        <v>10108</v>
      </c>
      <c r="O259" s="281"/>
      <c r="P259" s="736"/>
      <c r="Q259" s="277"/>
      <c r="R259" s="277"/>
      <c r="S259" s="277"/>
      <c r="T259" s="277"/>
      <c r="U259" s="277"/>
      <c r="V259" s="277"/>
    </row>
    <row r="260" spans="1:22" s="243" customFormat="1" ht="15" customHeight="1">
      <c r="A260" s="234"/>
      <c r="B260" s="238"/>
      <c r="C260" s="239"/>
      <c r="D260" s="271" t="s">
        <v>741</v>
      </c>
      <c r="E260" s="275"/>
      <c r="F260" s="465">
        <f t="shared" si="3"/>
        <v>48599</v>
      </c>
      <c r="G260" s="240"/>
      <c r="H260" s="240"/>
      <c r="I260" s="240">
        <v>18676</v>
      </c>
      <c r="J260" s="240"/>
      <c r="K260" s="240"/>
      <c r="L260" s="240"/>
      <c r="M260" s="240">
        <v>19815</v>
      </c>
      <c r="N260" s="241">
        <v>10108</v>
      </c>
      <c r="O260" s="281"/>
      <c r="P260" s="736"/>
      <c r="Q260" s="277"/>
      <c r="R260" s="277"/>
      <c r="S260" s="277"/>
      <c r="T260" s="277"/>
      <c r="U260" s="277"/>
      <c r="V260" s="277"/>
    </row>
    <row r="261" spans="1:22" s="243" customFormat="1" ht="15" customHeight="1">
      <c r="A261" s="234" t="s">
        <v>23</v>
      </c>
      <c r="B261" s="238">
        <v>940000</v>
      </c>
      <c r="C261" s="239" t="s">
        <v>131</v>
      </c>
      <c r="D261" s="274" t="s">
        <v>540</v>
      </c>
      <c r="E261" s="275"/>
      <c r="F261" s="465">
        <f t="shared" si="3"/>
        <v>31376</v>
      </c>
      <c r="G261" s="240"/>
      <c r="H261" s="240"/>
      <c r="I261" s="240"/>
      <c r="J261" s="240">
        <v>31376</v>
      </c>
      <c r="K261" s="240"/>
      <c r="L261" s="240"/>
      <c r="M261" s="240"/>
      <c r="N261" s="241"/>
      <c r="O261" s="281"/>
      <c r="P261" s="736"/>
      <c r="Q261" s="277"/>
      <c r="R261" s="277"/>
      <c r="S261" s="277"/>
      <c r="T261" s="277"/>
      <c r="U261" s="277"/>
      <c r="V261" s="277"/>
    </row>
    <row r="262" spans="1:22" s="243" customFormat="1" ht="15" customHeight="1">
      <c r="A262" s="234"/>
      <c r="B262" s="238"/>
      <c r="C262" s="239"/>
      <c r="D262" s="271" t="s">
        <v>915</v>
      </c>
      <c r="E262" s="275">
        <v>2291</v>
      </c>
      <c r="F262" s="465">
        <f t="shared" si="3"/>
        <v>30128</v>
      </c>
      <c r="G262" s="240"/>
      <c r="H262" s="240"/>
      <c r="I262" s="240"/>
      <c r="J262" s="240">
        <v>30128</v>
      </c>
      <c r="K262" s="240"/>
      <c r="L262" s="240"/>
      <c r="M262" s="240"/>
      <c r="N262" s="241"/>
      <c r="O262" s="281"/>
      <c r="P262" s="736"/>
      <c r="Q262" s="277"/>
      <c r="R262" s="277"/>
      <c r="S262" s="277"/>
      <c r="T262" s="277"/>
      <c r="U262" s="277"/>
      <c r="V262" s="277"/>
    </row>
    <row r="263" spans="1:22" s="243" customFormat="1" ht="15" customHeight="1">
      <c r="A263" s="234"/>
      <c r="B263" s="238"/>
      <c r="C263" s="239"/>
      <c r="D263" s="271" t="s">
        <v>741</v>
      </c>
      <c r="E263" s="275">
        <v>2291</v>
      </c>
      <c r="F263" s="465">
        <f t="shared" si="3"/>
        <v>30128</v>
      </c>
      <c r="G263" s="240"/>
      <c r="H263" s="240"/>
      <c r="I263" s="240"/>
      <c r="J263" s="240">
        <v>30128</v>
      </c>
      <c r="K263" s="240"/>
      <c r="L263" s="240"/>
      <c r="M263" s="240"/>
      <c r="N263" s="241"/>
      <c r="O263" s="281"/>
      <c r="P263" s="736"/>
      <c r="Q263" s="277"/>
      <c r="R263" s="277"/>
      <c r="S263" s="277"/>
      <c r="T263" s="277"/>
      <c r="U263" s="277"/>
      <c r="V263" s="277"/>
    </row>
    <row r="264" spans="1:22" s="243" customFormat="1" ht="15" customHeight="1">
      <c r="A264" s="234" t="s">
        <v>17</v>
      </c>
      <c r="B264" s="238">
        <v>960302</v>
      </c>
      <c r="C264" s="239" t="s">
        <v>132</v>
      </c>
      <c r="D264" s="274" t="s">
        <v>540</v>
      </c>
      <c r="E264" s="275">
        <v>6961</v>
      </c>
      <c r="F264" s="465">
        <f t="shared" si="3"/>
        <v>14541</v>
      </c>
      <c r="G264" s="236"/>
      <c r="H264" s="236"/>
      <c r="I264" s="236">
        <v>14541</v>
      </c>
      <c r="J264" s="236"/>
      <c r="K264" s="236"/>
      <c r="L264" s="236"/>
      <c r="M264" s="236"/>
      <c r="N264" s="236"/>
      <c r="O264" s="276"/>
      <c r="P264" s="736"/>
      <c r="Q264" s="277"/>
      <c r="R264" s="277"/>
      <c r="S264" s="277"/>
      <c r="T264" s="277"/>
      <c r="U264" s="277"/>
      <c r="V264" s="277"/>
    </row>
    <row r="265" spans="1:22" s="243" customFormat="1" ht="15" customHeight="1">
      <c r="A265" s="234"/>
      <c r="B265" s="244"/>
      <c r="C265" s="730"/>
      <c r="D265" s="271" t="s">
        <v>915</v>
      </c>
      <c r="E265" s="285">
        <v>6961</v>
      </c>
      <c r="F265" s="465">
        <f t="shared" si="3"/>
        <v>14541</v>
      </c>
      <c r="G265" s="247"/>
      <c r="H265" s="247"/>
      <c r="I265" s="247">
        <v>14541</v>
      </c>
      <c r="J265" s="247"/>
      <c r="K265" s="247"/>
      <c r="L265" s="247"/>
      <c r="M265" s="247"/>
      <c r="N265" s="247"/>
      <c r="O265" s="247"/>
      <c r="P265" s="914"/>
      <c r="Q265" s="277"/>
      <c r="R265" s="277"/>
      <c r="S265" s="277"/>
      <c r="T265" s="277"/>
      <c r="U265" s="277"/>
      <c r="V265" s="277"/>
    </row>
    <row r="266" spans="1:22" s="243" customFormat="1" ht="15" customHeight="1">
      <c r="A266" s="234"/>
      <c r="B266" s="244"/>
      <c r="C266" s="730"/>
      <c r="D266" s="271" t="s">
        <v>741</v>
      </c>
      <c r="E266" s="285">
        <v>8598</v>
      </c>
      <c r="F266" s="465">
        <f>SUM(G266:P266)</f>
        <v>14541</v>
      </c>
      <c r="G266" s="247"/>
      <c r="H266" s="247"/>
      <c r="I266" s="247">
        <v>14541</v>
      </c>
      <c r="J266" s="247"/>
      <c r="K266" s="247"/>
      <c r="L266" s="247"/>
      <c r="M266" s="247"/>
      <c r="N266" s="247"/>
      <c r="O266" s="247"/>
      <c r="P266" s="914"/>
      <c r="Q266" s="277"/>
      <c r="R266" s="277"/>
      <c r="S266" s="277"/>
      <c r="T266" s="277"/>
      <c r="U266" s="277"/>
      <c r="V266" s="277"/>
    </row>
    <row r="267" spans="1:22" s="243" customFormat="1" ht="15" customHeight="1">
      <c r="A267" s="234"/>
      <c r="B267" s="244"/>
      <c r="C267" s="730"/>
      <c r="D267" s="1000"/>
      <c r="E267" s="285"/>
      <c r="F267" s="235"/>
      <c r="G267" s="247"/>
      <c r="H267" s="247"/>
      <c r="I267" s="247"/>
      <c r="J267" s="247"/>
      <c r="K267" s="247"/>
      <c r="L267" s="247"/>
      <c r="M267" s="247"/>
      <c r="N267" s="247"/>
      <c r="O267" s="247"/>
      <c r="P267" s="739"/>
      <c r="Q267" s="277"/>
      <c r="R267" s="277"/>
      <c r="S267" s="277"/>
      <c r="T267" s="277"/>
      <c r="U267" s="277"/>
      <c r="V267" s="277"/>
    </row>
    <row r="268" spans="1:22" ht="15" customHeight="1">
      <c r="A268" s="231"/>
      <c r="B268" s="1211" t="s">
        <v>689</v>
      </c>
      <c r="C268" s="1212"/>
      <c r="D268" s="479" t="s">
        <v>539</v>
      </c>
      <c r="E268" s="466">
        <f aca="true" t="shared" si="4" ref="E268:P268">SUM(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+E219+E222+E225+E228+E231+E234+E237+E240+E243+E246+E249+E252+E255+E258+E261+E264)</f>
        <v>7814353</v>
      </c>
      <c r="F268" s="466">
        <f t="shared" si="4"/>
        <v>7814353</v>
      </c>
      <c r="G268" s="466">
        <f t="shared" si="4"/>
        <v>88155</v>
      </c>
      <c r="H268" s="466">
        <f t="shared" si="4"/>
        <v>28033</v>
      </c>
      <c r="I268" s="466">
        <f t="shared" si="4"/>
        <v>690648</v>
      </c>
      <c r="J268" s="466">
        <f t="shared" si="4"/>
        <v>569019</v>
      </c>
      <c r="K268" s="466">
        <f t="shared" si="4"/>
        <v>61350</v>
      </c>
      <c r="L268" s="466">
        <f t="shared" si="4"/>
        <v>118226</v>
      </c>
      <c r="M268" s="466">
        <f t="shared" si="4"/>
        <v>2129489</v>
      </c>
      <c r="N268" s="466">
        <f t="shared" si="4"/>
        <v>131839</v>
      </c>
      <c r="O268" s="466">
        <f t="shared" si="4"/>
        <v>2489934</v>
      </c>
      <c r="P268" s="731">
        <f t="shared" si="4"/>
        <v>1507660</v>
      </c>
      <c r="Q268" s="284"/>
      <c r="R268" s="284"/>
      <c r="S268" s="284"/>
      <c r="T268" s="284"/>
      <c r="U268" s="284"/>
      <c r="V268" s="284"/>
    </row>
    <row r="269" spans="1:22" ht="12.75">
      <c r="A269" s="231"/>
      <c r="B269" s="628"/>
      <c r="C269" s="629"/>
      <c r="D269" s="850" t="s">
        <v>915</v>
      </c>
      <c r="E269" s="466">
        <f aca="true" t="shared" si="5" ref="E269:P270">SUM(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+E217+E220+E223+E226+E229+E232+E235+E238+E241+E244+E247+E250+E253+E256+E259+E262+E265)</f>
        <v>7256394</v>
      </c>
      <c r="F269" s="466">
        <f t="shared" si="5"/>
        <v>7256394</v>
      </c>
      <c r="G269" s="466">
        <f t="shared" si="5"/>
        <v>108703</v>
      </c>
      <c r="H269" s="466">
        <f t="shared" si="5"/>
        <v>32839</v>
      </c>
      <c r="I269" s="466">
        <f t="shared" si="5"/>
        <v>792857</v>
      </c>
      <c r="J269" s="466">
        <f t="shared" si="5"/>
        <v>750548</v>
      </c>
      <c r="K269" s="466">
        <f t="shared" si="5"/>
        <v>64356</v>
      </c>
      <c r="L269" s="466">
        <f t="shared" si="5"/>
        <v>160203</v>
      </c>
      <c r="M269" s="466">
        <f t="shared" si="5"/>
        <v>3291917</v>
      </c>
      <c r="N269" s="466">
        <f t="shared" si="5"/>
        <v>338324</v>
      </c>
      <c r="O269" s="466">
        <f t="shared" si="5"/>
        <v>189272</v>
      </c>
      <c r="P269" s="731">
        <f t="shared" si="5"/>
        <v>1527375</v>
      </c>
      <c r="Q269" s="284"/>
      <c r="R269" s="284"/>
      <c r="S269" s="284"/>
      <c r="T269" s="284"/>
      <c r="U269" s="284"/>
      <c r="V269" s="284"/>
    </row>
    <row r="270" spans="1:22" ht="12.75">
      <c r="A270" s="231"/>
      <c r="B270" s="628"/>
      <c r="C270" s="629"/>
      <c r="D270" s="850" t="s">
        <v>741</v>
      </c>
      <c r="E270" s="466">
        <f t="shared" si="5"/>
        <v>4515483</v>
      </c>
      <c r="F270" s="466">
        <f t="shared" si="5"/>
        <v>4515483</v>
      </c>
      <c r="G270" s="466">
        <f t="shared" si="5"/>
        <v>112421</v>
      </c>
      <c r="H270" s="466">
        <f t="shared" si="5"/>
        <v>36511</v>
      </c>
      <c r="I270" s="466">
        <f t="shared" si="5"/>
        <v>787048</v>
      </c>
      <c r="J270" s="466">
        <f t="shared" si="5"/>
        <v>768025</v>
      </c>
      <c r="K270" s="466">
        <f t="shared" si="5"/>
        <v>64356</v>
      </c>
      <c r="L270" s="466">
        <f t="shared" si="5"/>
        <v>137173</v>
      </c>
      <c r="M270" s="466">
        <f t="shared" si="5"/>
        <v>709047</v>
      </c>
      <c r="N270" s="466">
        <f t="shared" si="5"/>
        <v>338324</v>
      </c>
      <c r="O270" s="466">
        <f t="shared" si="5"/>
        <v>24303</v>
      </c>
      <c r="P270" s="731">
        <f t="shared" si="5"/>
        <v>1538275</v>
      </c>
      <c r="Q270" s="284"/>
      <c r="R270" s="284"/>
      <c r="S270" s="284"/>
      <c r="T270" s="284"/>
      <c r="U270" s="284"/>
      <c r="V270" s="284"/>
    </row>
    <row r="271" spans="1:22" ht="12.75">
      <c r="A271" s="231"/>
      <c r="B271" s="628"/>
      <c r="C271" s="629"/>
      <c r="D271" s="794"/>
      <c r="E271" s="466"/>
      <c r="F271" s="466"/>
      <c r="G271" s="466"/>
      <c r="H271" s="466"/>
      <c r="I271" s="466"/>
      <c r="J271" s="466"/>
      <c r="K271" s="466"/>
      <c r="L271" s="466"/>
      <c r="M271" s="466"/>
      <c r="N271" s="466"/>
      <c r="O271" s="466"/>
      <c r="P271" s="731"/>
      <c r="Q271" s="284"/>
      <c r="R271" s="284"/>
      <c r="S271" s="284"/>
      <c r="T271" s="284"/>
      <c r="U271" s="284"/>
      <c r="V271" s="284"/>
    </row>
    <row r="272" spans="1:22" ht="12.75">
      <c r="A272" s="231"/>
      <c r="B272" s="1220" t="s">
        <v>133</v>
      </c>
      <c r="C272" s="1210"/>
      <c r="D272" s="480" t="s">
        <v>539</v>
      </c>
      <c r="E272" s="258">
        <f aca="true" t="shared" si="6" ref="E272:P272">SUM(E9+E12+E15+E18+E24+E27+E30+E39+E42+E45+E48+E51+E60+E63+E78+E84+E87+E90+E93+E132+E135+E138+E141+E162+E168+E171+E174+E177+E183+E189+E192+E195+E198+E201+E216+E219+E231+E240+E243+E246+E249+E264)</f>
        <v>3313559</v>
      </c>
      <c r="F272" s="258">
        <f t="shared" si="6"/>
        <v>2185410</v>
      </c>
      <c r="G272" s="258">
        <f t="shared" si="6"/>
        <v>39406</v>
      </c>
      <c r="H272" s="258">
        <f t="shared" si="6"/>
        <v>5501</v>
      </c>
      <c r="I272" s="258">
        <f t="shared" si="6"/>
        <v>460336</v>
      </c>
      <c r="J272" s="258">
        <f t="shared" si="6"/>
        <v>373429</v>
      </c>
      <c r="K272" s="258">
        <f t="shared" si="6"/>
        <v>53000</v>
      </c>
      <c r="L272" s="258">
        <f t="shared" si="6"/>
        <v>49102</v>
      </c>
      <c r="M272" s="258">
        <f t="shared" si="6"/>
        <v>676471</v>
      </c>
      <c r="N272" s="258">
        <f t="shared" si="6"/>
        <v>2000</v>
      </c>
      <c r="O272" s="258">
        <f t="shared" si="6"/>
        <v>526165</v>
      </c>
      <c r="P272" s="313">
        <f t="shared" si="6"/>
        <v>0</v>
      </c>
      <c r="Q272" s="284"/>
      <c r="R272" s="284"/>
      <c r="S272" s="284"/>
      <c r="T272" s="284"/>
      <c r="U272" s="284"/>
      <c r="V272" s="284"/>
    </row>
    <row r="273" spans="1:22" ht="12.75">
      <c r="A273" s="231"/>
      <c r="B273" s="626"/>
      <c r="C273" s="627"/>
      <c r="D273" s="850" t="s">
        <v>915</v>
      </c>
      <c r="E273" s="258">
        <f aca="true" t="shared" si="7" ref="E273:P274">SUM(E10+E13+E16+E19+E25+E28+E31+E40+E43+E46+E49+E52+E61+E64+E79+E85+E88+E91+E94+E133+E136+E139+E142+E163+E169+E172+E175+E178+E184+E190+E193+E196+E199+E202+E217+E220+E232+E241+E244+E247+E250+E265)</f>
        <v>3515530</v>
      </c>
      <c r="F273" s="258">
        <f t="shared" si="7"/>
        <v>2625000</v>
      </c>
      <c r="G273" s="258">
        <f t="shared" si="7"/>
        <v>53306</v>
      </c>
      <c r="H273" s="258">
        <f t="shared" si="7"/>
        <v>6919</v>
      </c>
      <c r="I273" s="258">
        <f t="shared" si="7"/>
        <v>550746</v>
      </c>
      <c r="J273" s="258">
        <f t="shared" si="7"/>
        <v>424965</v>
      </c>
      <c r="K273" s="258">
        <f t="shared" si="7"/>
        <v>57906</v>
      </c>
      <c r="L273" s="258">
        <f t="shared" si="7"/>
        <v>51764</v>
      </c>
      <c r="M273" s="258">
        <f t="shared" si="7"/>
        <v>1249857</v>
      </c>
      <c r="N273" s="258">
        <f t="shared" si="7"/>
        <v>229537</v>
      </c>
      <c r="O273" s="258">
        <f t="shared" si="7"/>
        <v>0</v>
      </c>
      <c r="P273" s="313">
        <f t="shared" si="7"/>
        <v>0</v>
      </c>
      <c r="Q273" s="284"/>
      <c r="R273" s="284"/>
      <c r="S273" s="284"/>
      <c r="T273" s="284"/>
      <c r="U273" s="284"/>
      <c r="V273" s="284"/>
    </row>
    <row r="274" spans="1:22" ht="12.75">
      <c r="A274" s="231"/>
      <c r="B274" s="626"/>
      <c r="C274" s="627"/>
      <c r="D274" s="850" t="s">
        <v>741</v>
      </c>
      <c r="E274" s="258">
        <f t="shared" si="7"/>
        <v>2530465</v>
      </c>
      <c r="F274" s="258">
        <f t="shared" si="7"/>
        <v>1989025</v>
      </c>
      <c r="G274" s="258">
        <f t="shared" si="7"/>
        <v>54090</v>
      </c>
      <c r="H274" s="258">
        <f t="shared" si="7"/>
        <v>7448</v>
      </c>
      <c r="I274" s="258">
        <f t="shared" si="7"/>
        <v>536786</v>
      </c>
      <c r="J274" s="258">
        <f t="shared" si="7"/>
        <v>425848</v>
      </c>
      <c r="K274" s="258">
        <f t="shared" si="7"/>
        <v>57230</v>
      </c>
      <c r="L274" s="258">
        <f t="shared" si="7"/>
        <v>50734</v>
      </c>
      <c r="M274" s="258">
        <f t="shared" si="7"/>
        <v>627352</v>
      </c>
      <c r="N274" s="258">
        <f t="shared" si="7"/>
        <v>229537</v>
      </c>
      <c r="O274" s="258">
        <f t="shared" si="7"/>
        <v>0</v>
      </c>
      <c r="P274" s="313">
        <f t="shared" si="7"/>
        <v>0</v>
      </c>
      <c r="Q274" s="284"/>
      <c r="R274" s="284"/>
      <c r="S274" s="284"/>
      <c r="T274" s="284"/>
      <c r="U274" s="284"/>
      <c r="V274" s="284"/>
    </row>
    <row r="275" spans="1:22" ht="12.75">
      <c r="A275" s="231"/>
      <c r="B275" s="626"/>
      <c r="C275" s="627"/>
      <c r="D275" s="794"/>
      <c r="E275" s="258"/>
      <c r="F275" s="258"/>
      <c r="G275" s="258"/>
      <c r="H275" s="258"/>
      <c r="I275" s="258"/>
      <c r="J275" s="258"/>
      <c r="K275" s="258"/>
      <c r="L275" s="258"/>
      <c r="M275" s="258"/>
      <c r="N275" s="258"/>
      <c r="O275" s="258"/>
      <c r="P275" s="313"/>
      <c r="Q275" s="284"/>
      <c r="R275" s="284"/>
      <c r="S275" s="284"/>
      <c r="T275" s="284"/>
      <c r="U275" s="284"/>
      <c r="V275" s="284"/>
    </row>
    <row r="276" spans="1:22" ht="12.75">
      <c r="A276" s="231"/>
      <c r="B276" s="1220" t="s">
        <v>134</v>
      </c>
      <c r="C276" s="1210"/>
      <c r="D276" s="480" t="s">
        <v>539</v>
      </c>
      <c r="E276" s="258">
        <f aca="true" t="shared" si="8" ref="E276:P276">SUM(E21+E33+E36+E66+E69+E72+E75+E81+E114+E117+E120+E123+E126+E129+E144+E147+E150+E153+E156+E159+E165+E180+E186+E204+E207+E210+E213+E222+E225+E228+E234+E237+E252+E255+E258+E261)</f>
        <v>2392964</v>
      </c>
      <c r="F276" s="258">
        <f t="shared" si="8"/>
        <v>3533254</v>
      </c>
      <c r="G276" s="258">
        <f t="shared" si="8"/>
        <v>10622</v>
      </c>
      <c r="H276" s="258">
        <f t="shared" si="8"/>
        <v>10998</v>
      </c>
      <c r="I276" s="258">
        <f t="shared" si="8"/>
        <v>147194</v>
      </c>
      <c r="J276" s="258">
        <f t="shared" si="8"/>
        <v>192544</v>
      </c>
      <c r="K276" s="258">
        <f t="shared" si="8"/>
        <v>8350</v>
      </c>
      <c r="L276" s="258">
        <f t="shared" si="8"/>
        <v>69124</v>
      </c>
      <c r="M276" s="258">
        <f t="shared" si="8"/>
        <v>1443908</v>
      </c>
      <c r="N276" s="258">
        <f t="shared" si="8"/>
        <v>6300</v>
      </c>
      <c r="O276" s="258">
        <f t="shared" si="8"/>
        <v>1644214</v>
      </c>
      <c r="P276" s="313">
        <f t="shared" si="8"/>
        <v>0</v>
      </c>
      <c r="Q276" s="284"/>
      <c r="R276" s="284"/>
      <c r="S276" s="284"/>
      <c r="T276" s="284"/>
      <c r="U276" s="284"/>
      <c r="V276" s="284"/>
    </row>
    <row r="277" spans="1:22" ht="12.75">
      <c r="A277" s="231"/>
      <c r="B277" s="626"/>
      <c r="C277" s="627"/>
      <c r="D277" s="850" t="s">
        <v>915</v>
      </c>
      <c r="E277" s="258">
        <f aca="true" t="shared" si="9" ref="E277:P278">SUM(E22+E34+E37+E67+E70+E73+E76+E82+E115+E118+E121+E124+E127+E130+E145+E148+E151+E154+E157+E160+E166+E181+E187+E205+E208+E211+E214+E223+E226+E229+E235+E238+E253+E256+E259+E262)</f>
        <v>1303799</v>
      </c>
      <c r="F277" s="258">
        <f t="shared" si="9"/>
        <v>2624177</v>
      </c>
      <c r="G277" s="258">
        <f t="shared" si="9"/>
        <v>13820</v>
      </c>
      <c r="H277" s="258">
        <f t="shared" si="9"/>
        <v>10126</v>
      </c>
      <c r="I277" s="258">
        <f t="shared" si="9"/>
        <v>164611</v>
      </c>
      <c r="J277" s="258">
        <f t="shared" si="9"/>
        <v>322537</v>
      </c>
      <c r="K277" s="258">
        <f t="shared" si="9"/>
        <v>6450</v>
      </c>
      <c r="L277" s="258">
        <f t="shared" si="9"/>
        <v>108439</v>
      </c>
      <c r="M277" s="258">
        <f t="shared" si="9"/>
        <v>1987986</v>
      </c>
      <c r="N277" s="258">
        <f t="shared" si="9"/>
        <v>10208</v>
      </c>
      <c r="O277" s="258">
        <f t="shared" si="9"/>
        <v>0</v>
      </c>
      <c r="P277" s="313">
        <f t="shared" si="9"/>
        <v>0</v>
      </c>
      <c r="Q277" s="284"/>
      <c r="R277" s="284"/>
      <c r="S277" s="284"/>
      <c r="T277" s="284"/>
      <c r="U277" s="284"/>
      <c r="V277" s="284"/>
    </row>
    <row r="278" spans="1:22" ht="12.75">
      <c r="A278" s="231"/>
      <c r="B278" s="626"/>
      <c r="C278" s="627"/>
      <c r="D278" s="850" t="s">
        <v>741</v>
      </c>
      <c r="E278" s="258">
        <f t="shared" si="9"/>
        <v>223128</v>
      </c>
      <c r="F278" s="258">
        <f t="shared" si="9"/>
        <v>704906</v>
      </c>
      <c r="G278" s="258">
        <f t="shared" si="9"/>
        <v>16466</v>
      </c>
      <c r="H278" s="258">
        <f t="shared" si="9"/>
        <v>13246</v>
      </c>
      <c r="I278" s="258">
        <f t="shared" si="9"/>
        <v>163337</v>
      </c>
      <c r="J278" s="258">
        <f t="shared" si="9"/>
        <v>339131</v>
      </c>
      <c r="K278" s="258">
        <f t="shared" si="9"/>
        <v>7126</v>
      </c>
      <c r="L278" s="258">
        <f t="shared" si="9"/>
        <v>86439</v>
      </c>
      <c r="M278" s="258">
        <f t="shared" si="9"/>
        <v>68953</v>
      </c>
      <c r="N278" s="258">
        <f t="shared" si="9"/>
        <v>10208</v>
      </c>
      <c r="O278" s="258">
        <f t="shared" si="9"/>
        <v>0</v>
      </c>
      <c r="P278" s="313">
        <f t="shared" si="9"/>
        <v>0</v>
      </c>
      <c r="Q278" s="284"/>
      <c r="R278" s="284"/>
      <c r="S278" s="284"/>
      <c r="T278" s="284"/>
      <c r="U278" s="284"/>
      <c r="V278" s="284"/>
    </row>
    <row r="279" spans="1:22" ht="12.75">
      <c r="A279" s="231"/>
      <c r="B279" s="626"/>
      <c r="C279" s="627"/>
      <c r="D279" s="794"/>
      <c r="E279" s="258"/>
      <c r="F279" s="258"/>
      <c r="G279" s="258"/>
      <c r="H279" s="258"/>
      <c r="I279" s="258"/>
      <c r="J279" s="258"/>
      <c r="K279" s="258"/>
      <c r="L279" s="258"/>
      <c r="M279" s="258"/>
      <c r="N279" s="258"/>
      <c r="O279" s="258"/>
      <c r="P279" s="313"/>
      <c r="Q279" s="284"/>
      <c r="R279" s="284"/>
      <c r="S279" s="284"/>
      <c r="T279" s="284"/>
      <c r="U279" s="284"/>
      <c r="V279" s="284"/>
    </row>
    <row r="280" spans="1:22" ht="12.75">
      <c r="A280" s="231"/>
      <c r="B280" s="1220" t="s">
        <v>135</v>
      </c>
      <c r="C280" s="1210"/>
      <c r="D280" s="480" t="s">
        <v>539</v>
      </c>
      <c r="E280" s="258">
        <f aca="true" t="shared" si="10" ref="E280:P280">SUM(E54+E57+E96+E99+E102+E105+E108+E111)</f>
        <v>2107830</v>
      </c>
      <c r="F280" s="258">
        <f t="shared" si="10"/>
        <v>2095689</v>
      </c>
      <c r="G280" s="258">
        <f t="shared" si="10"/>
        <v>38127</v>
      </c>
      <c r="H280" s="258">
        <f t="shared" si="10"/>
        <v>11534</v>
      </c>
      <c r="I280" s="258">
        <f t="shared" si="10"/>
        <v>83118</v>
      </c>
      <c r="J280" s="258">
        <f t="shared" si="10"/>
        <v>3046</v>
      </c>
      <c r="K280" s="258">
        <f t="shared" si="10"/>
        <v>0</v>
      </c>
      <c r="L280" s="258">
        <f t="shared" si="10"/>
        <v>0</v>
      </c>
      <c r="M280" s="258">
        <f t="shared" si="10"/>
        <v>9110</v>
      </c>
      <c r="N280" s="258">
        <f t="shared" si="10"/>
        <v>123539</v>
      </c>
      <c r="O280" s="258">
        <f t="shared" si="10"/>
        <v>319555</v>
      </c>
      <c r="P280" s="313">
        <f t="shared" si="10"/>
        <v>1507660</v>
      </c>
      <c r="Q280" s="284"/>
      <c r="R280" s="284"/>
      <c r="S280" s="284"/>
      <c r="T280" s="284"/>
      <c r="U280" s="284"/>
      <c r="V280" s="284"/>
    </row>
    <row r="281" spans="1:22" ht="12.75">
      <c r="A281" s="289"/>
      <c r="B281" s="848"/>
      <c r="C281" s="1002"/>
      <c r="D281" s="1024" t="s">
        <v>915</v>
      </c>
      <c r="E281" s="262">
        <f aca="true" t="shared" si="11" ref="E281:P282">SUM(E55+E58+E97+E100+E103+E106+E109+E112)</f>
        <v>2437065</v>
      </c>
      <c r="F281" s="262">
        <f t="shared" si="11"/>
        <v>2007217</v>
      </c>
      <c r="G281" s="262">
        <f t="shared" si="11"/>
        <v>41577</v>
      </c>
      <c r="H281" s="262">
        <f t="shared" si="11"/>
        <v>15794</v>
      </c>
      <c r="I281" s="262">
        <f t="shared" si="11"/>
        <v>77500</v>
      </c>
      <c r="J281" s="262">
        <f t="shared" si="11"/>
        <v>3046</v>
      </c>
      <c r="K281" s="262">
        <f t="shared" si="11"/>
        <v>0</v>
      </c>
      <c r="L281" s="262">
        <f t="shared" si="11"/>
        <v>0</v>
      </c>
      <c r="M281" s="262">
        <f t="shared" si="11"/>
        <v>54074</v>
      </c>
      <c r="N281" s="262">
        <f t="shared" si="11"/>
        <v>98579</v>
      </c>
      <c r="O281" s="262">
        <f t="shared" si="11"/>
        <v>189272</v>
      </c>
      <c r="P281" s="315">
        <f t="shared" si="11"/>
        <v>1527375</v>
      </c>
      <c r="Q281" s="284"/>
      <c r="R281" s="284"/>
      <c r="S281" s="284"/>
      <c r="T281" s="284"/>
      <c r="U281" s="284"/>
      <c r="V281" s="284"/>
    </row>
    <row r="282" spans="1:22" ht="13.5" thickBot="1">
      <c r="A282" s="290"/>
      <c r="B282" s="684"/>
      <c r="C282" s="828"/>
      <c r="D282" s="1025" t="s">
        <v>741</v>
      </c>
      <c r="E282" s="1167">
        <f t="shared" si="11"/>
        <v>1761890</v>
      </c>
      <c r="F282" s="1167">
        <f t="shared" si="11"/>
        <v>1821552</v>
      </c>
      <c r="G282" s="1167">
        <f t="shared" si="11"/>
        <v>41865</v>
      </c>
      <c r="H282" s="1167">
        <f t="shared" si="11"/>
        <v>15817</v>
      </c>
      <c r="I282" s="1167">
        <f t="shared" si="11"/>
        <v>86925</v>
      </c>
      <c r="J282" s="1167">
        <f t="shared" si="11"/>
        <v>3046</v>
      </c>
      <c r="K282" s="1167">
        <f t="shared" si="11"/>
        <v>0</v>
      </c>
      <c r="L282" s="1167">
        <f t="shared" si="11"/>
        <v>0</v>
      </c>
      <c r="M282" s="1167">
        <f t="shared" si="11"/>
        <v>12742</v>
      </c>
      <c r="N282" s="1167">
        <f t="shared" si="11"/>
        <v>98579</v>
      </c>
      <c r="O282" s="1167">
        <f t="shared" si="11"/>
        <v>24303</v>
      </c>
      <c r="P282" s="1168">
        <f t="shared" si="11"/>
        <v>1538275</v>
      </c>
      <c r="Q282" s="284"/>
      <c r="R282" s="284"/>
      <c r="S282" s="284"/>
      <c r="T282" s="284"/>
      <c r="U282" s="284"/>
      <c r="V282" s="284"/>
    </row>
    <row r="283" spans="7:22" ht="12.75">
      <c r="G283" s="213"/>
      <c r="H283" s="213"/>
      <c r="I283" s="213"/>
      <c r="J283" s="213"/>
      <c r="K283" s="213"/>
      <c r="L283" s="213"/>
      <c r="M283" s="213"/>
      <c r="N283" s="216"/>
      <c r="O283" s="213"/>
      <c r="P283" s="284"/>
      <c r="Q283" s="284"/>
      <c r="R283" s="284"/>
      <c r="S283" s="284"/>
      <c r="T283" s="284"/>
      <c r="U283" s="284"/>
      <c r="V283" s="284"/>
    </row>
    <row r="284" spans="1:22" ht="12.75">
      <c r="A284" s="1411" t="s">
        <v>231</v>
      </c>
      <c r="G284" s="213"/>
      <c r="H284" s="213"/>
      <c r="I284" s="213"/>
      <c r="J284" s="213"/>
      <c r="K284" s="213"/>
      <c r="L284" s="213"/>
      <c r="M284" s="213"/>
      <c r="N284" s="216"/>
      <c r="O284" s="213"/>
      <c r="P284" s="284"/>
      <c r="Q284" s="284"/>
      <c r="R284" s="284"/>
      <c r="S284" s="284"/>
      <c r="T284" s="284"/>
      <c r="U284" s="284"/>
      <c r="V284" s="284"/>
    </row>
    <row r="285" spans="1:22" ht="12.75">
      <c r="A285" s="8" t="s">
        <v>232</v>
      </c>
      <c r="G285" s="213"/>
      <c r="H285" s="213"/>
      <c r="I285" s="213"/>
      <c r="J285" s="213"/>
      <c r="K285" s="213"/>
      <c r="L285" s="213"/>
      <c r="M285" s="213"/>
      <c r="N285" s="216"/>
      <c r="O285" s="213"/>
      <c r="P285" s="284"/>
      <c r="Q285" s="284"/>
      <c r="R285" s="284"/>
      <c r="S285" s="284"/>
      <c r="T285" s="284"/>
      <c r="U285" s="284"/>
      <c r="V285" s="284"/>
    </row>
    <row r="286" spans="1:22" ht="12.75">
      <c r="A286" s="8" t="s">
        <v>233</v>
      </c>
      <c r="G286" s="213"/>
      <c r="H286" s="213"/>
      <c r="I286" s="213"/>
      <c r="J286" s="213"/>
      <c r="K286" s="213"/>
      <c r="L286" s="213"/>
      <c r="M286" s="213"/>
      <c r="N286" s="216"/>
      <c r="O286" s="213"/>
      <c r="P286" s="284"/>
      <c r="Q286" s="284"/>
      <c r="R286" s="284"/>
      <c r="S286" s="284"/>
      <c r="T286" s="284"/>
      <c r="U286" s="284"/>
      <c r="V286" s="284"/>
    </row>
    <row r="287" spans="1:22" ht="12.75">
      <c r="A287" s="8" t="s">
        <v>234</v>
      </c>
      <c r="G287" s="213"/>
      <c r="H287" s="213"/>
      <c r="I287" s="213"/>
      <c r="J287" s="213"/>
      <c r="K287" s="213"/>
      <c r="L287" s="213"/>
      <c r="M287" s="213"/>
      <c r="N287" s="216"/>
      <c r="O287" s="213"/>
      <c r="P287" s="284"/>
      <c r="Q287" s="284"/>
      <c r="R287" s="284"/>
      <c r="S287" s="284"/>
      <c r="T287" s="284"/>
      <c r="U287" s="284"/>
      <c r="V287" s="284"/>
    </row>
    <row r="288" spans="1:22" ht="12.75">
      <c r="A288" s="8" t="s">
        <v>235</v>
      </c>
      <c r="G288" s="213"/>
      <c r="H288" s="213"/>
      <c r="I288" s="213"/>
      <c r="J288" s="213"/>
      <c r="K288" s="213"/>
      <c r="L288" s="213"/>
      <c r="M288" s="213"/>
      <c r="N288" s="216"/>
      <c r="O288" s="213"/>
      <c r="P288" s="284"/>
      <c r="Q288" s="284"/>
      <c r="R288" s="284"/>
      <c r="S288" s="284"/>
      <c r="T288" s="284"/>
      <c r="U288" s="284"/>
      <c r="V288" s="284"/>
    </row>
    <row r="289" spans="7:22" ht="12.75">
      <c r="G289" s="213"/>
      <c r="H289" s="213"/>
      <c r="I289" s="213"/>
      <c r="J289" s="213"/>
      <c r="K289" s="213"/>
      <c r="L289" s="213"/>
      <c r="M289" s="213"/>
      <c r="N289" s="216"/>
      <c r="O289" s="213"/>
      <c r="P289" s="284"/>
      <c r="Q289" s="284"/>
      <c r="R289" s="284"/>
      <c r="S289" s="284"/>
      <c r="T289" s="284"/>
      <c r="U289" s="284"/>
      <c r="V289" s="284"/>
    </row>
    <row r="290" spans="7:22" ht="12.75">
      <c r="G290" s="213"/>
      <c r="H290" s="213"/>
      <c r="I290" s="213"/>
      <c r="J290" s="213"/>
      <c r="K290" s="213"/>
      <c r="L290" s="213"/>
      <c r="M290" s="213"/>
      <c r="N290" s="216"/>
      <c r="O290" s="213"/>
      <c r="P290" s="284"/>
      <c r="Q290" s="284"/>
      <c r="R290" s="284"/>
      <c r="S290" s="284"/>
      <c r="T290" s="284"/>
      <c r="U290" s="284"/>
      <c r="V290" s="284"/>
    </row>
    <row r="291" spans="7:22" ht="12.75">
      <c r="G291" s="213"/>
      <c r="H291" s="213"/>
      <c r="I291" s="213"/>
      <c r="J291" s="213"/>
      <c r="K291" s="213"/>
      <c r="L291" s="213"/>
      <c r="M291" s="213"/>
      <c r="N291" s="216"/>
      <c r="O291" s="213"/>
      <c r="P291" s="284"/>
      <c r="Q291" s="284"/>
      <c r="R291" s="284"/>
      <c r="S291" s="284"/>
      <c r="T291" s="284"/>
      <c r="U291" s="284"/>
      <c r="V291" s="284"/>
    </row>
    <row r="292" spans="7:22" ht="12.75">
      <c r="G292" s="213"/>
      <c r="H292" s="213"/>
      <c r="I292" s="213"/>
      <c r="J292" s="213"/>
      <c r="K292" s="213"/>
      <c r="L292" s="213"/>
      <c r="M292" s="213"/>
      <c r="N292" s="216"/>
      <c r="O292" s="213"/>
      <c r="P292" s="284"/>
      <c r="Q292" s="284"/>
      <c r="R292" s="284"/>
      <c r="S292" s="284"/>
      <c r="T292" s="284"/>
      <c r="U292" s="284"/>
      <c r="V292" s="284"/>
    </row>
    <row r="293" spans="7:22" ht="12.75">
      <c r="G293" s="213"/>
      <c r="H293" s="213"/>
      <c r="I293" s="213"/>
      <c r="J293" s="213"/>
      <c r="K293" s="213"/>
      <c r="L293" s="213"/>
      <c r="M293" s="213"/>
      <c r="N293" s="216"/>
      <c r="O293" s="213"/>
      <c r="P293" s="284"/>
      <c r="Q293" s="284"/>
      <c r="R293" s="284"/>
      <c r="S293" s="284"/>
      <c r="T293" s="284"/>
      <c r="U293" s="284"/>
      <c r="V293" s="284"/>
    </row>
    <row r="294" spans="7:22" ht="12.75">
      <c r="G294" s="213"/>
      <c r="H294" s="213"/>
      <c r="I294" s="213"/>
      <c r="J294" s="213"/>
      <c r="K294" s="213"/>
      <c r="L294" s="213"/>
      <c r="M294" s="213"/>
      <c r="N294" s="216"/>
      <c r="O294" s="213"/>
      <c r="P294" s="284"/>
      <c r="Q294" s="284"/>
      <c r="R294" s="284"/>
      <c r="S294" s="284"/>
      <c r="T294" s="284"/>
      <c r="U294" s="284"/>
      <c r="V294" s="284"/>
    </row>
    <row r="295" spans="7:22" ht="12.75">
      <c r="G295" s="213"/>
      <c r="H295" s="213"/>
      <c r="I295" s="213"/>
      <c r="J295" s="213"/>
      <c r="K295" s="213"/>
      <c r="L295" s="213"/>
      <c r="M295" s="213"/>
      <c r="N295" s="216"/>
      <c r="O295" s="213"/>
      <c r="P295" s="284"/>
      <c r="Q295" s="284"/>
      <c r="R295" s="284"/>
      <c r="S295" s="284"/>
      <c r="T295" s="284"/>
      <c r="U295" s="284"/>
      <c r="V295" s="284"/>
    </row>
    <row r="296" spans="7:22" ht="12.75">
      <c r="G296" s="213"/>
      <c r="H296" s="213"/>
      <c r="I296" s="213"/>
      <c r="J296" s="213"/>
      <c r="K296" s="213"/>
      <c r="L296" s="213"/>
      <c r="M296" s="213"/>
      <c r="N296" s="216"/>
      <c r="O296" s="213"/>
      <c r="P296" s="284"/>
      <c r="Q296" s="284"/>
      <c r="R296" s="284"/>
      <c r="S296" s="284"/>
      <c r="T296" s="284"/>
      <c r="U296" s="284"/>
      <c r="V296" s="284"/>
    </row>
    <row r="297" spans="7:22" ht="12.75">
      <c r="G297" s="213"/>
      <c r="H297" s="213"/>
      <c r="I297" s="213"/>
      <c r="J297" s="213"/>
      <c r="K297" s="213"/>
      <c r="L297" s="213"/>
      <c r="M297" s="213"/>
      <c r="N297" s="216"/>
      <c r="O297" s="213"/>
      <c r="P297" s="284"/>
      <c r="Q297" s="284"/>
      <c r="R297" s="284"/>
      <c r="S297" s="284"/>
      <c r="T297" s="284"/>
      <c r="U297" s="284"/>
      <c r="V297" s="284"/>
    </row>
    <row r="298" spans="7:22" ht="12.75">
      <c r="G298" s="213"/>
      <c r="H298" s="213"/>
      <c r="I298" s="213"/>
      <c r="J298" s="213"/>
      <c r="K298" s="213"/>
      <c r="L298" s="213"/>
      <c r="M298" s="213"/>
      <c r="N298" s="216"/>
      <c r="O298" s="213"/>
      <c r="P298" s="284"/>
      <c r="Q298" s="284"/>
      <c r="R298" s="284"/>
      <c r="S298" s="284"/>
      <c r="T298" s="284"/>
      <c r="U298" s="284"/>
      <c r="V298" s="284"/>
    </row>
    <row r="299" spans="7:22" ht="12.75">
      <c r="G299" s="213"/>
      <c r="H299" s="213"/>
      <c r="I299" s="213"/>
      <c r="J299" s="213"/>
      <c r="K299" s="213"/>
      <c r="L299" s="213"/>
      <c r="M299" s="213"/>
      <c r="N299" s="216"/>
      <c r="O299" s="213"/>
      <c r="P299" s="284"/>
      <c r="Q299" s="284"/>
      <c r="R299" s="284"/>
      <c r="S299" s="284"/>
      <c r="T299" s="284"/>
      <c r="U299" s="284"/>
      <c r="V299" s="284"/>
    </row>
    <row r="300" spans="7:22" ht="12.75">
      <c r="G300" s="213"/>
      <c r="H300" s="213"/>
      <c r="I300" s="213"/>
      <c r="J300" s="213"/>
      <c r="K300" s="213"/>
      <c r="L300" s="213"/>
      <c r="M300" s="213"/>
      <c r="N300" s="216"/>
      <c r="O300" s="213"/>
      <c r="P300" s="284"/>
      <c r="Q300" s="284"/>
      <c r="R300" s="284"/>
      <c r="S300" s="284"/>
      <c r="T300" s="284"/>
      <c r="U300" s="284"/>
      <c r="V300" s="284"/>
    </row>
    <row r="301" spans="7:22" ht="12.75">
      <c r="G301" s="213"/>
      <c r="H301" s="213"/>
      <c r="I301" s="213"/>
      <c r="J301" s="213"/>
      <c r="K301" s="213"/>
      <c r="L301" s="213"/>
      <c r="M301" s="213"/>
      <c r="N301" s="216"/>
      <c r="O301" s="213"/>
      <c r="P301" s="284"/>
      <c r="Q301" s="284"/>
      <c r="R301" s="284"/>
      <c r="S301" s="284"/>
      <c r="T301" s="284"/>
      <c r="U301" s="284"/>
      <c r="V301" s="284"/>
    </row>
    <row r="302" spans="7:22" ht="12.75">
      <c r="G302" s="213"/>
      <c r="H302" s="213"/>
      <c r="I302" s="213"/>
      <c r="J302" s="213"/>
      <c r="K302" s="213"/>
      <c r="L302" s="213"/>
      <c r="M302" s="213"/>
      <c r="N302" s="216"/>
      <c r="O302" s="213"/>
      <c r="P302" s="284"/>
      <c r="Q302" s="284"/>
      <c r="R302" s="284"/>
      <c r="S302" s="284"/>
      <c r="T302" s="284"/>
      <c r="U302" s="284"/>
      <c r="V302" s="284"/>
    </row>
    <row r="303" spans="7:22" ht="12.75">
      <c r="G303" s="213"/>
      <c r="H303" s="213"/>
      <c r="I303" s="213"/>
      <c r="J303" s="213"/>
      <c r="K303" s="213"/>
      <c r="L303" s="213"/>
      <c r="M303" s="213"/>
      <c r="N303" s="216"/>
      <c r="O303" s="213"/>
      <c r="P303" s="284"/>
      <c r="Q303" s="284"/>
      <c r="R303" s="284"/>
      <c r="S303" s="284"/>
      <c r="T303" s="284"/>
      <c r="U303" s="284"/>
      <c r="V303" s="284"/>
    </row>
    <row r="304" spans="7:22" ht="12.75">
      <c r="G304" s="213"/>
      <c r="H304" s="213"/>
      <c r="I304" s="213"/>
      <c r="J304" s="213"/>
      <c r="K304" s="213"/>
      <c r="L304" s="213"/>
      <c r="M304" s="213"/>
      <c r="N304" s="216"/>
      <c r="O304" s="213"/>
      <c r="P304" s="284"/>
      <c r="Q304" s="284"/>
      <c r="R304" s="284"/>
      <c r="S304" s="284"/>
      <c r="T304" s="284"/>
      <c r="U304" s="284"/>
      <c r="V304" s="284"/>
    </row>
    <row r="305" spans="7:22" ht="12.75">
      <c r="G305" s="213"/>
      <c r="H305" s="213"/>
      <c r="I305" s="213"/>
      <c r="J305" s="213"/>
      <c r="K305" s="213"/>
      <c r="L305" s="213"/>
      <c r="M305" s="213"/>
      <c r="N305" s="216"/>
      <c r="O305" s="213"/>
      <c r="P305" s="284"/>
      <c r="Q305" s="284"/>
      <c r="R305" s="284"/>
      <c r="S305" s="284"/>
      <c r="T305" s="284"/>
      <c r="U305" s="284"/>
      <c r="V305" s="284"/>
    </row>
    <row r="306" spans="7:22" ht="12.75">
      <c r="G306" s="213"/>
      <c r="H306" s="213"/>
      <c r="I306" s="213"/>
      <c r="J306" s="213"/>
      <c r="K306" s="213"/>
      <c r="L306" s="213"/>
      <c r="M306" s="213"/>
      <c r="N306" s="216"/>
      <c r="O306" s="213"/>
      <c r="P306" s="284"/>
      <c r="Q306" s="284"/>
      <c r="R306" s="284"/>
      <c r="S306" s="284"/>
      <c r="T306" s="284"/>
      <c r="U306" s="284"/>
      <c r="V306" s="284"/>
    </row>
    <row r="307" spans="7:22" ht="12.75">
      <c r="G307" s="213"/>
      <c r="H307" s="213"/>
      <c r="I307" s="213"/>
      <c r="J307" s="213"/>
      <c r="K307" s="213"/>
      <c r="L307" s="213"/>
      <c r="M307" s="213"/>
      <c r="N307" s="216"/>
      <c r="O307" s="213"/>
      <c r="P307" s="284"/>
      <c r="Q307" s="284"/>
      <c r="R307" s="284"/>
      <c r="S307" s="284"/>
      <c r="T307" s="284"/>
      <c r="U307" s="284"/>
      <c r="V307" s="284"/>
    </row>
    <row r="308" spans="7:22" ht="12.75">
      <c r="G308" s="213"/>
      <c r="H308" s="213"/>
      <c r="I308" s="213"/>
      <c r="J308" s="213"/>
      <c r="K308" s="213"/>
      <c r="L308" s="213"/>
      <c r="M308" s="213"/>
      <c r="N308" s="216"/>
      <c r="O308" s="213"/>
      <c r="P308" s="284"/>
      <c r="Q308" s="284"/>
      <c r="R308" s="284"/>
      <c r="S308" s="284"/>
      <c r="T308" s="284"/>
      <c r="U308" s="284"/>
      <c r="V308" s="284"/>
    </row>
    <row r="309" spans="7:22" ht="12.75">
      <c r="G309" s="213"/>
      <c r="H309" s="213"/>
      <c r="I309" s="213"/>
      <c r="J309" s="213"/>
      <c r="K309" s="213"/>
      <c r="L309" s="213"/>
      <c r="M309" s="213"/>
      <c r="N309" s="216"/>
      <c r="O309" s="213"/>
      <c r="P309" s="284"/>
      <c r="Q309" s="284"/>
      <c r="R309" s="284"/>
      <c r="S309" s="284"/>
      <c r="T309" s="284"/>
      <c r="U309" s="284"/>
      <c r="V309" s="284"/>
    </row>
    <row r="310" spans="7:22" ht="12.75">
      <c r="G310" s="213"/>
      <c r="H310" s="213"/>
      <c r="I310" s="213"/>
      <c r="J310" s="213"/>
      <c r="K310" s="213"/>
      <c r="L310" s="213"/>
      <c r="M310" s="213"/>
      <c r="N310" s="216"/>
      <c r="O310" s="213"/>
      <c r="P310" s="284"/>
      <c r="Q310" s="284"/>
      <c r="R310" s="284"/>
      <c r="S310" s="284"/>
      <c r="T310" s="284"/>
      <c r="U310" s="284"/>
      <c r="V310" s="284"/>
    </row>
    <row r="311" spans="7:22" ht="12.75">
      <c r="G311" s="213"/>
      <c r="H311" s="213"/>
      <c r="I311" s="213"/>
      <c r="J311" s="213"/>
      <c r="K311" s="213"/>
      <c r="L311" s="213"/>
      <c r="M311" s="213"/>
      <c r="N311" s="216"/>
      <c r="O311" s="213"/>
      <c r="P311" s="284"/>
      <c r="Q311" s="284"/>
      <c r="R311" s="284"/>
      <c r="S311" s="284"/>
      <c r="T311" s="284"/>
      <c r="U311" s="284"/>
      <c r="V311" s="284"/>
    </row>
    <row r="312" spans="7:22" ht="12.75">
      <c r="G312" s="213"/>
      <c r="H312" s="213"/>
      <c r="I312" s="213"/>
      <c r="J312" s="213"/>
      <c r="K312" s="213"/>
      <c r="L312" s="213"/>
      <c r="M312" s="213"/>
      <c r="N312" s="216"/>
      <c r="O312" s="213"/>
      <c r="P312" s="284"/>
      <c r="Q312" s="284"/>
      <c r="R312" s="284"/>
      <c r="S312" s="284"/>
      <c r="T312" s="284"/>
      <c r="U312" s="284"/>
      <c r="V312" s="284"/>
    </row>
    <row r="313" spans="7:22" ht="12.75">
      <c r="G313" s="213"/>
      <c r="H313" s="213"/>
      <c r="I313" s="213"/>
      <c r="J313" s="213"/>
      <c r="K313" s="213"/>
      <c r="L313" s="213"/>
      <c r="M313" s="213"/>
      <c r="N313" s="216"/>
      <c r="O313" s="213"/>
      <c r="P313" s="284"/>
      <c r="Q313" s="284"/>
      <c r="R313" s="284"/>
      <c r="S313" s="284"/>
      <c r="T313" s="284"/>
      <c r="U313" s="284"/>
      <c r="V313" s="284"/>
    </row>
    <row r="314" spans="7:22" ht="12.75">
      <c r="G314" s="213"/>
      <c r="H314" s="213"/>
      <c r="I314" s="213"/>
      <c r="J314" s="213"/>
      <c r="K314" s="213"/>
      <c r="L314" s="213"/>
      <c r="M314" s="213"/>
      <c r="N314" s="216"/>
      <c r="O314" s="213"/>
      <c r="P314" s="284"/>
      <c r="Q314" s="284"/>
      <c r="R314" s="284"/>
      <c r="S314" s="284"/>
      <c r="T314" s="284"/>
      <c r="U314" s="284"/>
      <c r="V314" s="284"/>
    </row>
    <row r="315" spans="7:22" ht="12.75">
      <c r="G315" s="213"/>
      <c r="H315" s="213"/>
      <c r="I315" s="213"/>
      <c r="J315" s="213"/>
      <c r="K315" s="213"/>
      <c r="L315" s="213"/>
      <c r="M315" s="213"/>
      <c r="N315" s="216"/>
      <c r="O315" s="213"/>
      <c r="P315" s="284"/>
      <c r="Q315" s="284"/>
      <c r="R315" s="284"/>
      <c r="S315" s="284"/>
      <c r="T315" s="284"/>
      <c r="U315" s="284"/>
      <c r="V315" s="284"/>
    </row>
    <row r="316" spans="7:22" ht="12.75">
      <c r="G316" s="213"/>
      <c r="H316" s="213"/>
      <c r="I316" s="213"/>
      <c r="J316" s="213"/>
      <c r="K316" s="213"/>
      <c r="L316" s="213"/>
      <c r="M316" s="213"/>
      <c r="N316" s="216"/>
      <c r="O316" s="213"/>
      <c r="P316" s="284"/>
      <c r="Q316" s="284"/>
      <c r="R316" s="284"/>
      <c r="S316" s="284"/>
      <c r="T316" s="284"/>
      <c r="U316" s="284"/>
      <c r="V316" s="284"/>
    </row>
    <row r="317" spans="7:22" ht="12.75">
      <c r="G317" s="213"/>
      <c r="H317" s="213"/>
      <c r="I317" s="213"/>
      <c r="J317" s="213"/>
      <c r="K317" s="213"/>
      <c r="L317" s="213"/>
      <c r="M317" s="213"/>
      <c r="N317" s="216"/>
      <c r="O317" s="213"/>
      <c r="P317" s="284"/>
      <c r="Q317" s="284"/>
      <c r="R317" s="284"/>
      <c r="S317" s="284"/>
      <c r="T317" s="284"/>
      <c r="U317" s="284"/>
      <c r="V317" s="284"/>
    </row>
    <row r="318" spans="7:22" ht="12.75">
      <c r="G318" s="213"/>
      <c r="H318" s="213"/>
      <c r="I318" s="213"/>
      <c r="J318" s="213"/>
      <c r="K318" s="213"/>
      <c r="L318" s="213"/>
      <c r="M318" s="213"/>
      <c r="N318" s="216"/>
      <c r="O318" s="213"/>
      <c r="P318" s="284"/>
      <c r="Q318" s="284"/>
      <c r="R318" s="284"/>
      <c r="S318" s="284"/>
      <c r="T318" s="284"/>
      <c r="U318" s="284"/>
      <c r="V318" s="284"/>
    </row>
    <row r="319" spans="7:22" ht="12.75">
      <c r="G319" s="213"/>
      <c r="H319" s="213"/>
      <c r="I319" s="213"/>
      <c r="J319" s="213"/>
      <c r="K319" s="213"/>
      <c r="L319" s="213"/>
      <c r="M319" s="213"/>
      <c r="N319" s="216"/>
      <c r="O319" s="213"/>
      <c r="P319" s="284"/>
      <c r="Q319" s="284"/>
      <c r="R319" s="284"/>
      <c r="S319" s="284"/>
      <c r="T319" s="284"/>
      <c r="U319" s="284"/>
      <c r="V319" s="284"/>
    </row>
    <row r="320" spans="7:22" ht="12.75">
      <c r="G320" s="213"/>
      <c r="H320" s="213"/>
      <c r="I320" s="213"/>
      <c r="J320" s="213"/>
      <c r="K320" s="213"/>
      <c r="L320" s="213"/>
      <c r="M320" s="213"/>
      <c r="N320" s="216"/>
      <c r="O320" s="213"/>
      <c r="P320" s="284"/>
      <c r="Q320" s="284"/>
      <c r="R320" s="284"/>
      <c r="S320" s="284"/>
      <c r="T320" s="284"/>
      <c r="U320" s="284"/>
      <c r="V320" s="284"/>
    </row>
    <row r="321" spans="7:22" ht="12.75">
      <c r="G321" s="213"/>
      <c r="H321" s="213"/>
      <c r="I321" s="213"/>
      <c r="J321" s="213"/>
      <c r="K321" s="213"/>
      <c r="L321" s="213"/>
      <c r="M321" s="213"/>
      <c r="N321" s="216"/>
      <c r="O321" s="213"/>
      <c r="P321" s="284"/>
      <c r="Q321" s="284"/>
      <c r="R321" s="284"/>
      <c r="S321" s="284"/>
      <c r="T321" s="284"/>
      <c r="U321" s="284"/>
      <c r="V321" s="284"/>
    </row>
    <row r="322" spans="7:22" ht="12.75">
      <c r="G322" s="213"/>
      <c r="H322" s="213"/>
      <c r="I322" s="213"/>
      <c r="J322" s="213"/>
      <c r="K322" s="213"/>
      <c r="L322" s="213"/>
      <c r="M322" s="213"/>
      <c r="N322" s="216"/>
      <c r="O322" s="213"/>
      <c r="P322" s="284"/>
      <c r="Q322" s="284"/>
      <c r="R322" s="284"/>
      <c r="S322" s="284"/>
      <c r="T322" s="284"/>
      <c r="U322" s="284"/>
      <c r="V322" s="284"/>
    </row>
    <row r="323" spans="7:22" ht="12.75">
      <c r="G323" s="213"/>
      <c r="H323" s="213"/>
      <c r="I323" s="213"/>
      <c r="J323" s="213"/>
      <c r="K323" s="213"/>
      <c r="L323" s="213"/>
      <c r="M323" s="213"/>
      <c r="N323" s="216"/>
      <c r="O323" s="213"/>
      <c r="P323" s="284"/>
      <c r="Q323" s="284"/>
      <c r="R323" s="284"/>
      <c r="S323" s="284"/>
      <c r="T323" s="284"/>
      <c r="U323" s="284"/>
      <c r="V323" s="284"/>
    </row>
    <row r="324" spans="7:22" ht="12.75">
      <c r="G324" s="213"/>
      <c r="H324" s="213"/>
      <c r="I324" s="213"/>
      <c r="J324" s="213"/>
      <c r="K324" s="213"/>
      <c r="L324" s="213"/>
      <c r="M324" s="213"/>
      <c r="N324" s="216"/>
      <c r="O324" s="213"/>
      <c r="P324" s="284"/>
      <c r="Q324" s="284"/>
      <c r="R324" s="284"/>
      <c r="S324" s="284"/>
      <c r="T324" s="284"/>
      <c r="U324" s="284"/>
      <c r="V324" s="284"/>
    </row>
    <row r="325" spans="7:22" ht="12.75">
      <c r="G325" s="213"/>
      <c r="H325" s="213"/>
      <c r="I325" s="213"/>
      <c r="J325" s="213"/>
      <c r="K325" s="213"/>
      <c r="L325" s="213"/>
      <c r="M325" s="213"/>
      <c r="N325" s="216"/>
      <c r="O325" s="213"/>
      <c r="P325" s="284"/>
      <c r="Q325" s="284"/>
      <c r="R325" s="284"/>
      <c r="S325" s="284"/>
      <c r="T325" s="284"/>
      <c r="U325" s="284"/>
      <c r="V325" s="284"/>
    </row>
    <row r="326" spans="7:22" ht="12.75">
      <c r="G326" s="213"/>
      <c r="H326" s="213"/>
      <c r="I326" s="213"/>
      <c r="J326" s="213"/>
      <c r="K326" s="213"/>
      <c r="L326" s="213"/>
      <c r="M326" s="213"/>
      <c r="N326" s="216"/>
      <c r="O326" s="213"/>
      <c r="P326" s="284"/>
      <c r="Q326" s="284"/>
      <c r="R326" s="284"/>
      <c r="S326" s="284"/>
      <c r="T326" s="284"/>
      <c r="U326" s="284"/>
      <c r="V326" s="284"/>
    </row>
    <row r="327" spans="7:22" ht="12.75">
      <c r="G327" s="213"/>
      <c r="H327" s="213"/>
      <c r="I327" s="213"/>
      <c r="J327" s="213"/>
      <c r="K327" s="213"/>
      <c r="L327" s="213"/>
      <c r="M327" s="213"/>
      <c r="N327" s="216"/>
      <c r="O327" s="213"/>
      <c r="P327" s="284"/>
      <c r="Q327" s="284"/>
      <c r="R327" s="284"/>
      <c r="S327" s="284"/>
      <c r="T327" s="284"/>
      <c r="U327" s="284"/>
      <c r="V327" s="284"/>
    </row>
    <row r="328" spans="7:22" ht="12.75">
      <c r="G328" s="213"/>
      <c r="H328" s="213"/>
      <c r="I328" s="213"/>
      <c r="J328" s="213"/>
      <c r="K328" s="213"/>
      <c r="L328" s="213"/>
      <c r="M328" s="213"/>
      <c r="N328" s="216"/>
      <c r="O328" s="213"/>
      <c r="P328" s="284"/>
      <c r="Q328" s="284"/>
      <c r="R328" s="284"/>
      <c r="S328" s="284"/>
      <c r="T328" s="284"/>
      <c r="U328" s="284"/>
      <c r="V328" s="284"/>
    </row>
    <row r="329" spans="7:22" ht="12.75">
      <c r="G329" s="213"/>
      <c r="H329" s="213"/>
      <c r="I329" s="213"/>
      <c r="J329" s="213"/>
      <c r="K329" s="213"/>
      <c r="L329" s="213"/>
      <c r="M329" s="213"/>
      <c r="N329" s="216"/>
      <c r="O329" s="213"/>
      <c r="P329" s="284"/>
      <c r="Q329" s="284"/>
      <c r="R329" s="284"/>
      <c r="S329" s="284"/>
      <c r="T329" s="284"/>
      <c r="U329" s="284"/>
      <c r="V329" s="284"/>
    </row>
    <row r="330" spans="7:22" ht="12.75">
      <c r="G330" s="213"/>
      <c r="H330" s="213"/>
      <c r="I330" s="213"/>
      <c r="J330" s="213"/>
      <c r="K330" s="213"/>
      <c r="L330" s="213"/>
      <c r="M330" s="213"/>
      <c r="N330" s="216"/>
      <c r="O330" s="213"/>
      <c r="P330" s="284"/>
      <c r="Q330" s="284"/>
      <c r="R330" s="284"/>
      <c r="S330" s="284"/>
      <c r="T330" s="284"/>
      <c r="U330" s="284"/>
      <c r="V330" s="284"/>
    </row>
    <row r="331" spans="7:22" ht="12.75">
      <c r="G331" s="213"/>
      <c r="H331" s="213"/>
      <c r="I331" s="213"/>
      <c r="J331" s="213"/>
      <c r="K331" s="213"/>
      <c r="L331" s="213"/>
      <c r="M331" s="213"/>
      <c r="N331" s="216"/>
      <c r="O331" s="213"/>
      <c r="P331" s="284"/>
      <c r="Q331" s="284"/>
      <c r="R331" s="284"/>
      <c r="S331" s="284"/>
      <c r="T331" s="284"/>
      <c r="U331" s="284"/>
      <c r="V331" s="284"/>
    </row>
    <row r="332" spans="7:22" ht="12.75">
      <c r="G332" s="213"/>
      <c r="H332" s="213"/>
      <c r="I332" s="213"/>
      <c r="J332" s="213"/>
      <c r="K332" s="213"/>
      <c r="L332" s="213"/>
      <c r="M332" s="213"/>
      <c r="N332" s="216"/>
      <c r="O332" s="213"/>
      <c r="P332" s="284"/>
      <c r="Q332" s="284"/>
      <c r="R332" s="284"/>
      <c r="S332" s="284"/>
      <c r="T332" s="284"/>
      <c r="U332" s="284"/>
      <c r="V332" s="284"/>
    </row>
    <row r="333" spans="7:22" ht="12.75">
      <c r="G333" s="213"/>
      <c r="H333" s="213"/>
      <c r="I333" s="213"/>
      <c r="J333" s="213"/>
      <c r="K333" s="213"/>
      <c r="L333" s="213"/>
      <c r="M333" s="213"/>
      <c r="N333" s="216"/>
      <c r="O333" s="213"/>
      <c r="P333" s="284"/>
      <c r="Q333" s="284"/>
      <c r="R333" s="284"/>
      <c r="S333" s="284"/>
      <c r="T333" s="284"/>
      <c r="U333" s="284"/>
      <c r="V333" s="284"/>
    </row>
    <row r="334" spans="7:22" ht="12.75">
      <c r="G334" s="213"/>
      <c r="H334" s="213"/>
      <c r="I334" s="213"/>
      <c r="J334" s="213"/>
      <c r="K334" s="213"/>
      <c r="L334" s="213"/>
      <c r="M334" s="213"/>
      <c r="N334" s="216"/>
      <c r="O334" s="213"/>
      <c r="P334" s="284"/>
      <c r="Q334" s="284"/>
      <c r="R334" s="284"/>
      <c r="S334" s="284"/>
      <c r="T334" s="284"/>
      <c r="U334" s="284"/>
      <c r="V334" s="284"/>
    </row>
    <row r="335" spans="7:22" ht="12.75">
      <c r="G335" s="213"/>
      <c r="H335" s="213"/>
      <c r="I335" s="213"/>
      <c r="J335" s="213"/>
      <c r="K335" s="213"/>
      <c r="L335" s="213"/>
      <c r="M335" s="213"/>
      <c r="N335" s="216"/>
      <c r="O335" s="213"/>
      <c r="P335" s="284"/>
      <c r="Q335" s="284"/>
      <c r="R335" s="284"/>
      <c r="S335" s="284"/>
      <c r="T335" s="284"/>
      <c r="U335" s="284"/>
      <c r="V335" s="284"/>
    </row>
    <row r="336" spans="16:22" ht="12.75">
      <c r="P336" s="284"/>
      <c r="Q336" s="284"/>
      <c r="R336" s="284"/>
      <c r="S336" s="284"/>
      <c r="T336" s="284"/>
      <c r="U336" s="284"/>
      <c r="V336" s="284"/>
    </row>
    <row r="337" spans="16:22" ht="12.75">
      <c r="P337" s="284"/>
      <c r="Q337" s="284"/>
      <c r="R337" s="284"/>
      <c r="S337" s="284"/>
      <c r="T337" s="284"/>
      <c r="U337" s="284"/>
      <c r="V337" s="284"/>
    </row>
    <row r="338" spans="16:22" ht="12.75">
      <c r="P338" s="284"/>
      <c r="Q338" s="284"/>
      <c r="R338" s="284"/>
      <c r="S338" s="284"/>
      <c r="T338" s="284"/>
      <c r="U338" s="284"/>
      <c r="V338" s="284"/>
    </row>
    <row r="339" spans="16:22" ht="12.75">
      <c r="P339" s="284"/>
      <c r="Q339" s="284"/>
      <c r="R339" s="284"/>
      <c r="S339" s="284"/>
      <c r="T339" s="284"/>
      <c r="U339" s="284"/>
      <c r="V339" s="284"/>
    </row>
    <row r="340" spans="16:22" ht="12.75">
      <c r="P340" s="284"/>
      <c r="Q340" s="284"/>
      <c r="R340" s="284"/>
      <c r="S340" s="284"/>
      <c r="T340" s="284"/>
      <c r="U340" s="284"/>
      <c r="V340" s="284"/>
    </row>
    <row r="341" spans="16:22" ht="12.75">
      <c r="P341" s="284"/>
      <c r="Q341" s="284"/>
      <c r="R341" s="284"/>
      <c r="S341" s="284"/>
      <c r="T341" s="284"/>
      <c r="U341" s="284"/>
      <c r="V341" s="284"/>
    </row>
    <row r="342" spans="16:22" ht="12.75">
      <c r="P342" s="284"/>
      <c r="Q342" s="284"/>
      <c r="R342" s="284"/>
      <c r="S342" s="284"/>
      <c r="T342" s="284"/>
      <c r="U342" s="284"/>
      <c r="V342" s="284"/>
    </row>
    <row r="343" spans="16:22" ht="12.75">
      <c r="P343" s="284"/>
      <c r="Q343" s="284"/>
      <c r="R343" s="284"/>
      <c r="S343" s="284"/>
      <c r="T343" s="284"/>
      <c r="U343" s="284"/>
      <c r="V343" s="284"/>
    </row>
    <row r="344" spans="16:22" ht="12.75">
      <c r="P344" s="284"/>
      <c r="Q344" s="284"/>
      <c r="R344" s="284"/>
      <c r="S344" s="284"/>
      <c r="T344" s="284"/>
      <c r="U344" s="284"/>
      <c r="V344" s="284"/>
    </row>
    <row r="345" spans="16:22" ht="12.75">
      <c r="P345" s="284"/>
      <c r="Q345" s="284"/>
      <c r="R345" s="284"/>
      <c r="S345" s="284"/>
      <c r="T345" s="284"/>
      <c r="U345" s="284"/>
      <c r="V345" s="284"/>
    </row>
    <row r="346" spans="16:22" ht="12.75">
      <c r="P346" s="284"/>
      <c r="Q346" s="284"/>
      <c r="R346" s="284"/>
      <c r="S346" s="284"/>
      <c r="T346" s="284"/>
      <c r="U346" s="284"/>
      <c r="V346" s="284"/>
    </row>
    <row r="347" spans="16:22" ht="12.75">
      <c r="P347" s="284"/>
      <c r="Q347" s="284"/>
      <c r="R347" s="284"/>
      <c r="S347" s="284"/>
      <c r="T347" s="284"/>
      <c r="U347" s="284"/>
      <c r="V347" s="284"/>
    </row>
    <row r="348" spans="16:22" ht="12.75">
      <c r="P348" s="284"/>
      <c r="Q348" s="284"/>
      <c r="R348" s="284"/>
      <c r="S348" s="284"/>
      <c r="T348" s="284"/>
      <c r="U348" s="284"/>
      <c r="V348" s="284"/>
    </row>
    <row r="349" spans="16:22" ht="12.75">
      <c r="P349" s="284"/>
      <c r="Q349" s="284"/>
      <c r="R349" s="284"/>
      <c r="S349" s="284"/>
      <c r="T349" s="284"/>
      <c r="U349" s="284"/>
      <c r="V349" s="284"/>
    </row>
    <row r="350" spans="16:22" ht="12.75">
      <c r="P350" s="284"/>
      <c r="Q350" s="284"/>
      <c r="R350" s="284"/>
      <c r="S350" s="284"/>
      <c r="T350" s="284"/>
      <c r="U350" s="284"/>
      <c r="V350" s="284"/>
    </row>
    <row r="351" spans="16:22" ht="12.75">
      <c r="P351" s="284"/>
      <c r="Q351" s="284"/>
      <c r="R351" s="284"/>
      <c r="S351" s="284"/>
      <c r="T351" s="284"/>
      <c r="U351" s="284"/>
      <c r="V351" s="284"/>
    </row>
    <row r="352" spans="16:22" ht="12.75">
      <c r="P352" s="284"/>
      <c r="Q352" s="284"/>
      <c r="R352" s="284"/>
      <c r="S352" s="284"/>
      <c r="T352" s="284"/>
      <c r="U352" s="284"/>
      <c r="V352" s="284"/>
    </row>
    <row r="353" spans="16:22" ht="12.75">
      <c r="P353" s="284"/>
      <c r="Q353" s="284"/>
      <c r="R353" s="284"/>
      <c r="S353" s="284"/>
      <c r="T353" s="284"/>
      <c r="U353" s="284"/>
      <c r="V353" s="284"/>
    </row>
    <row r="354" spans="16:22" ht="12.75">
      <c r="P354" s="284"/>
      <c r="Q354" s="284"/>
      <c r="R354" s="284"/>
      <c r="S354" s="284"/>
      <c r="T354" s="284"/>
      <c r="U354" s="284"/>
      <c r="V354" s="284"/>
    </row>
    <row r="355" spans="16:22" ht="12.75">
      <c r="P355" s="284"/>
      <c r="Q355" s="284"/>
      <c r="R355" s="284"/>
      <c r="S355" s="284"/>
      <c r="T355" s="284"/>
      <c r="U355" s="284"/>
      <c r="V355" s="284"/>
    </row>
    <row r="356" spans="16:22" ht="12.75">
      <c r="P356" s="284"/>
      <c r="Q356" s="284"/>
      <c r="R356" s="284"/>
      <c r="S356" s="284"/>
      <c r="T356" s="284"/>
      <c r="U356" s="284"/>
      <c r="V356" s="284"/>
    </row>
    <row r="357" spans="16:22" ht="12.75">
      <c r="P357" s="284"/>
      <c r="Q357" s="284"/>
      <c r="R357" s="284"/>
      <c r="S357" s="284"/>
      <c r="T357" s="284"/>
      <c r="U357" s="284"/>
      <c r="V357" s="284"/>
    </row>
    <row r="358" spans="16:22" ht="12.75">
      <c r="P358" s="284"/>
      <c r="Q358" s="284"/>
      <c r="R358" s="284"/>
      <c r="S358" s="284"/>
      <c r="T358" s="284"/>
      <c r="U358" s="284"/>
      <c r="V358" s="284"/>
    </row>
    <row r="359" spans="16:22" ht="12.75">
      <c r="P359" s="284"/>
      <c r="Q359" s="284"/>
      <c r="R359" s="284"/>
      <c r="S359" s="284"/>
      <c r="T359" s="284"/>
      <c r="U359" s="284"/>
      <c r="V359" s="284"/>
    </row>
    <row r="360" spans="16:22" ht="12.75">
      <c r="P360" s="284"/>
      <c r="Q360" s="284"/>
      <c r="R360" s="284"/>
      <c r="S360" s="284"/>
      <c r="T360" s="284"/>
      <c r="U360" s="284"/>
      <c r="V360" s="284"/>
    </row>
    <row r="361" spans="16:22" ht="12.75">
      <c r="P361" s="284"/>
      <c r="Q361" s="284"/>
      <c r="R361" s="284"/>
      <c r="S361" s="284"/>
      <c r="T361" s="284"/>
      <c r="U361" s="284"/>
      <c r="V361" s="284"/>
    </row>
    <row r="362" spans="16:22" ht="12.75">
      <c r="P362" s="284"/>
      <c r="Q362" s="284"/>
      <c r="R362" s="284"/>
      <c r="S362" s="284"/>
      <c r="T362" s="284"/>
      <c r="U362" s="284"/>
      <c r="V362" s="284"/>
    </row>
    <row r="363" spans="16:22" ht="12.75">
      <c r="P363" s="284"/>
      <c r="Q363" s="284"/>
      <c r="R363" s="284"/>
      <c r="S363" s="284"/>
      <c r="T363" s="284"/>
      <c r="U363" s="284"/>
      <c r="V363" s="284"/>
    </row>
    <row r="364" spans="16:22" ht="12.75">
      <c r="P364" s="284"/>
      <c r="Q364" s="284"/>
      <c r="R364" s="284"/>
      <c r="S364" s="284"/>
      <c r="T364" s="284"/>
      <c r="U364" s="284"/>
      <c r="V364" s="284"/>
    </row>
    <row r="365" spans="16:22" ht="12.75">
      <c r="P365" s="284"/>
      <c r="Q365" s="284"/>
      <c r="R365" s="284"/>
      <c r="S365" s="284"/>
      <c r="T365" s="284"/>
      <c r="U365" s="284"/>
      <c r="V365" s="284"/>
    </row>
    <row r="366" spans="16:22" ht="12.75">
      <c r="P366" s="284"/>
      <c r="Q366" s="284"/>
      <c r="R366" s="284"/>
      <c r="S366" s="284"/>
      <c r="T366" s="284"/>
      <c r="U366" s="284"/>
      <c r="V366" s="284"/>
    </row>
    <row r="367" spans="16:22" ht="12.75">
      <c r="P367" s="284"/>
      <c r="Q367" s="284"/>
      <c r="R367" s="284"/>
      <c r="S367" s="284"/>
      <c r="T367" s="284"/>
      <c r="U367" s="284"/>
      <c r="V367" s="284"/>
    </row>
    <row r="368" spans="16:22" ht="12.75">
      <c r="P368" s="284"/>
      <c r="Q368" s="284"/>
      <c r="R368" s="284"/>
      <c r="S368" s="284"/>
      <c r="T368" s="284"/>
      <c r="U368" s="284"/>
      <c r="V368" s="284"/>
    </row>
    <row r="369" spans="16:22" ht="12.75">
      <c r="P369" s="284"/>
      <c r="Q369" s="284"/>
      <c r="R369" s="284"/>
      <c r="S369" s="284"/>
      <c r="T369" s="284"/>
      <c r="U369" s="284"/>
      <c r="V369" s="284"/>
    </row>
    <row r="370" spans="16:22" ht="12.75">
      <c r="P370" s="284"/>
      <c r="Q370" s="284"/>
      <c r="R370" s="284"/>
      <c r="S370" s="284"/>
      <c r="T370" s="284"/>
      <c r="U370" s="284"/>
      <c r="V370" s="284"/>
    </row>
    <row r="371" spans="16:22" ht="12.75">
      <c r="P371" s="284"/>
      <c r="Q371" s="284"/>
      <c r="R371" s="284"/>
      <c r="S371" s="284"/>
      <c r="T371" s="284"/>
      <c r="U371" s="284"/>
      <c r="V371" s="284"/>
    </row>
    <row r="372" spans="16:22" ht="12.75">
      <c r="P372" s="284"/>
      <c r="Q372" s="284"/>
      <c r="R372" s="284"/>
      <c r="S372" s="284"/>
      <c r="T372" s="284"/>
      <c r="U372" s="284"/>
      <c r="V372" s="284"/>
    </row>
    <row r="373" spans="16:22" ht="12.75">
      <c r="P373" s="284"/>
      <c r="Q373" s="284"/>
      <c r="R373" s="284"/>
      <c r="S373" s="284"/>
      <c r="T373" s="284"/>
      <c r="U373" s="284"/>
      <c r="V373" s="284"/>
    </row>
    <row r="374" spans="16:22" ht="12.75">
      <c r="P374" s="284"/>
      <c r="Q374" s="284"/>
      <c r="R374" s="284"/>
      <c r="S374" s="284"/>
      <c r="T374" s="284"/>
      <c r="U374" s="284"/>
      <c r="V374" s="284"/>
    </row>
    <row r="375" spans="16:22" ht="12.75">
      <c r="P375" s="284"/>
      <c r="Q375" s="284"/>
      <c r="R375" s="284"/>
      <c r="S375" s="284"/>
      <c r="T375" s="284"/>
      <c r="U375" s="284"/>
      <c r="V375" s="284"/>
    </row>
    <row r="376" spans="16:22" ht="12.75">
      <c r="P376" s="284"/>
      <c r="Q376" s="284"/>
      <c r="R376" s="284"/>
      <c r="S376" s="284"/>
      <c r="T376" s="284"/>
      <c r="U376" s="284"/>
      <c r="V376" s="284"/>
    </row>
    <row r="377" spans="16:22" ht="12.75">
      <c r="P377" s="284"/>
      <c r="Q377" s="284"/>
      <c r="R377" s="284"/>
      <c r="S377" s="284"/>
      <c r="T377" s="284"/>
      <c r="U377" s="284"/>
      <c r="V377" s="284"/>
    </row>
    <row r="378" spans="16:22" ht="12.75">
      <c r="P378" s="284"/>
      <c r="Q378" s="284"/>
      <c r="R378" s="284"/>
      <c r="S378" s="284"/>
      <c r="T378" s="284"/>
      <c r="U378" s="284"/>
      <c r="V378" s="284"/>
    </row>
    <row r="379" spans="16:22" ht="12.75">
      <c r="P379" s="284"/>
      <c r="Q379" s="284"/>
      <c r="R379" s="284"/>
      <c r="S379" s="284"/>
      <c r="T379" s="284"/>
      <c r="U379" s="284"/>
      <c r="V379" s="284"/>
    </row>
    <row r="380" spans="16:22" ht="12.75">
      <c r="P380" s="284"/>
      <c r="Q380" s="284"/>
      <c r="R380" s="284"/>
      <c r="S380" s="284"/>
      <c r="T380" s="284"/>
      <c r="U380" s="284"/>
      <c r="V380" s="284"/>
    </row>
    <row r="381" spans="16:22" ht="12.75">
      <c r="P381" s="284"/>
      <c r="Q381" s="284"/>
      <c r="R381" s="284"/>
      <c r="S381" s="284"/>
      <c r="T381" s="284"/>
      <c r="U381" s="284"/>
      <c r="V381" s="284"/>
    </row>
    <row r="382" spans="16:22" ht="12.75">
      <c r="P382" s="284"/>
      <c r="Q382" s="284"/>
      <c r="R382" s="284"/>
      <c r="S382" s="284"/>
      <c r="T382" s="284"/>
      <c r="U382" s="284"/>
      <c r="V382" s="284"/>
    </row>
    <row r="383" spans="16:22" ht="12.75">
      <c r="P383" s="284"/>
      <c r="Q383" s="284"/>
      <c r="R383" s="284"/>
      <c r="S383" s="284"/>
      <c r="T383" s="284"/>
      <c r="U383" s="284"/>
      <c r="V383" s="284"/>
    </row>
    <row r="384" spans="16:22" ht="12.75">
      <c r="P384" s="284"/>
      <c r="Q384" s="284"/>
      <c r="R384" s="284"/>
      <c r="S384" s="284"/>
      <c r="T384" s="284"/>
      <c r="U384" s="284"/>
      <c r="V384" s="284"/>
    </row>
    <row r="385" spans="16:22" ht="12.75">
      <c r="P385" s="284"/>
      <c r="Q385" s="284"/>
      <c r="R385" s="284"/>
      <c r="S385" s="284"/>
      <c r="T385" s="284"/>
      <c r="U385" s="284"/>
      <c r="V385" s="284"/>
    </row>
    <row r="386" spans="16:22" ht="12.75">
      <c r="P386" s="284"/>
      <c r="Q386" s="284"/>
      <c r="R386" s="284"/>
      <c r="S386" s="284"/>
      <c r="T386" s="284"/>
      <c r="U386" s="284"/>
      <c r="V386" s="284"/>
    </row>
    <row r="387" spans="16:22" ht="12.75">
      <c r="P387" s="284"/>
      <c r="Q387" s="284"/>
      <c r="R387" s="284"/>
      <c r="S387" s="284"/>
      <c r="T387" s="284"/>
      <c r="U387" s="284"/>
      <c r="V387" s="284"/>
    </row>
    <row r="388" spans="16:22" ht="12.75">
      <c r="P388" s="284"/>
      <c r="Q388" s="284"/>
      <c r="R388" s="284"/>
      <c r="S388" s="284"/>
      <c r="T388" s="284"/>
      <c r="U388" s="284"/>
      <c r="V388" s="284"/>
    </row>
    <row r="389" spans="16:22" ht="12.75">
      <c r="P389" s="284"/>
      <c r="Q389" s="284"/>
      <c r="R389" s="284"/>
      <c r="S389" s="284"/>
      <c r="T389" s="284"/>
      <c r="U389" s="284"/>
      <c r="V389" s="284"/>
    </row>
    <row r="390" spans="16:22" ht="12.75">
      <c r="P390" s="284"/>
      <c r="Q390" s="284"/>
      <c r="R390" s="284"/>
      <c r="S390" s="284"/>
      <c r="T390" s="284"/>
      <c r="U390" s="284"/>
      <c r="V390" s="284"/>
    </row>
    <row r="391" spans="16:22" ht="12.75">
      <c r="P391" s="284"/>
      <c r="Q391" s="284"/>
      <c r="R391" s="284"/>
      <c r="S391" s="284"/>
      <c r="T391" s="284"/>
      <c r="U391" s="284"/>
      <c r="V391" s="284"/>
    </row>
    <row r="392" spans="16:22" ht="12.75">
      <c r="P392" s="284"/>
      <c r="Q392" s="284"/>
      <c r="R392" s="284"/>
      <c r="S392" s="284"/>
      <c r="T392" s="284"/>
      <c r="U392" s="284"/>
      <c r="V392" s="284"/>
    </row>
    <row r="393" spans="16:22" ht="12.75">
      <c r="P393" s="284"/>
      <c r="Q393" s="284"/>
      <c r="R393" s="284"/>
      <c r="S393" s="284"/>
      <c r="T393" s="284"/>
      <c r="U393" s="284"/>
      <c r="V393" s="284"/>
    </row>
    <row r="394" spans="16:22" ht="12.75">
      <c r="P394" s="284"/>
      <c r="Q394" s="284"/>
      <c r="R394" s="284"/>
      <c r="S394" s="284"/>
      <c r="T394" s="284"/>
      <c r="U394" s="284"/>
      <c r="V394" s="284"/>
    </row>
    <row r="395" spans="16:22" ht="12.75">
      <c r="P395" s="284"/>
      <c r="Q395" s="284"/>
      <c r="R395" s="284"/>
      <c r="S395" s="284"/>
      <c r="T395" s="284"/>
      <c r="U395" s="284"/>
      <c r="V395" s="284"/>
    </row>
    <row r="396" spans="16:22" ht="12.75">
      <c r="P396" s="284"/>
      <c r="Q396" s="284"/>
      <c r="R396" s="284"/>
      <c r="S396" s="284"/>
      <c r="T396" s="284"/>
      <c r="U396" s="284"/>
      <c r="V396" s="284"/>
    </row>
    <row r="397" spans="16:22" ht="12.75">
      <c r="P397" s="284"/>
      <c r="Q397" s="284"/>
      <c r="R397" s="284"/>
      <c r="S397" s="284"/>
      <c r="T397" s="284"/>
      <c r="U397" s="284"/>
      <c r="V397" s="284"/>
    </row>
    <row r="398" spans="16:22" ht="12.75">
      <c r="P398" s="284"/>
      <c r="Q398" s="284"/>
      <c r="R398" s="284"/>
      <c r="S398" s="284"/>
      <c r="T398" s="284"/>
      <c r="U398" s="284"/>
      <c r="V398" s="284"/>
    </row>
    <row r="399" spans="16:22" ht="12.75">
      <c r="P399" s="284"/>
      <c r="Q399" s="284"/>
      <c r="R399" s="284"/>
      <c r="S399" s="284"/>
      <c r="T399" s="284"/>
      <c r="U399" s="284"/>
      <c r="V399" s="284"/>
    </row>
    <row r="400" spans="16:22" ht="12.75">
      <c r="P400" s="284"/>
      <c r="Q400" s="284"/>
      <c r="R400" s="284"/>
      <c r="S400" s="284"/>
      <c r="T400" s="284"/>
      <c r="U400" s="284"/>
      <c r="V400" s="284"/>
    </row>
    <row r="401" spans="16:22" ht="12.75">
      <c r="P401" s="284"/>
      <c r="Q401" s="284"/>
      <c r="R401" s="284"/>
      <c r="S401" s="284"/>
      <c r="T401" s="284"/>
      <c r="U401" s="284"/>
      <c r="V401" s="284"/>
    </row>
    <row r="402" spans="16:22" ht="12.75">
      <c r="P402" s="284"/>
      <c r="Q402" s="284"/>
      <c r="R402" s="284"/>
      <c r="S402" s="284"/>
      <c r="T402" s="284"/>
      <c r="U402" s="284"/>
      <c r="V402" s="284"/>
    </row>
    <row r="403" spans="16:22" ht="12.75">
      <c r="P403" s="284"/>
      <c r="Q403" s="284"/>
      <c r="R403" s="284"/>
      <c r="S403" s="284"/>
      <c r="T403" s="284"/>
      <c r="U403" s="284"/>
      <c r="V403" s="284"/>
    </row>
    <row r="404" spans="16:22" ht="12.75">
      <c r="P404" s="284"/>
      <c r="Q404" s="284"/>
      <c r="R404" s="284"/>
      <c r="S404" s="284"/>
      <c r="T404" s="284"/>
      <c r="U404" s="284"/>
      <c r="V404" s="284"/>
    </row>
    <row r="405" spans="16:22" ht="12.75">
      <c r="P405" s="284"/>
      <c r="Q405" s="284"/>
      <c r="R405" s="284"/>
      <c r="S405" s="284"/>
      <c r="T405" s="284"/>
      <c r="U405" s="284"/>
      <c r="V405" s="284"/>
    </row>
    <row r="406" spans="16:22" ht="12.75">
      <c r="P406" s="284"/>
      <c r="Q406" s="284"/>
      <c r="R406" s="284"/>
      <c r="S406" s="284"/>
      <c r="T406" s="284"/>
      <c r="U406" s="284"/>
      <c r="V406" s="284"/>
    </row>
    <row r="407" spans="16:22" ht="12.75">
      <c r="P407" s="284"/>
      <c r="Q407" s="284"/>
      <c r="R407" s="284"/>
      <c r="S407" s="284"/>
      <c r="T407" s="284"/>
      <c r="U407" s="284"/>
      <c r="V407" s="284"/>
    </row>
    <row r="408" spans="16:22" ht="12.75">
      <c r="P408" s="284"/>
      <c r="Q408" s="284"/>
      <c r="R408" s="284"/>
      <c r="S408" s="284"/>
      <c r="T408" s="284"/>
      <c r="U408" s="284"/>
      <c r="V408" s="284"/>
    </row>
    <row r="409" spans="16:22" ht="12.75">
      <c r="P409" s="284"/>
      <c r="Q409" s="284"/>
      <c r="R409" s="284"/>
      <c r="S409" s="284"/>
      <c r="T409" s="284"/>
      <c r="U409" s="284"/>
      <c r="V409" s="284"/>
    </row>
    <row r="410" spans="16:22" ht="12.75">
      <c r="P410" s="284"/>
      <c r="Q410" s="284"/>
      <c r="R410" s="284"/>
      <c r="S410" s="284"/>
      <c r="T410" s="284"/>
      <c r="U410" s="284"/>
      <c r="V410" s="284"/>
    </row>
    <row r="411" spans="16:22" ht="12.75">
      <c r="P411" s="284"/>
      <c r="Q411" s="284"/>
      <c r="R411" s="284"/>
      <c r="S411" s="284"/>
      <c r="T411" s="284"/>
      <c r="U411" s="284"/>
      <c r="V411" s="284"/>
    </row>
    <row r="412" spans="16:22" ht="12.75">
      <c r="P412" s="284"/>
      <c r="Q412" s="284"/>
      <c r="R412" s="284"/>
      <c r="S412" s="284"/>
      <c r="T412" s="284"/>
      <c r="U412" s="284"/>
      <c r="V412" s="284"/>
    </row>
    <row r="413" spans="16:22" ht="12.75">
      <c r="P413" s="284"/>
      <c r="Q413" s="284"/>
      <c r="R413" s="284"/>
      <c r="S413" s="284"/>
      <c r="T413" s="284"/>
      <c r="U413" s="284"/>
      <c r="V413" s="284"/>
    </row>
    <row r="414" spans="16:22" ht="12.75">
      <c r="P414" s="284"/>
      <c r="Q414" s="284"/>
      <c r="R414" s="284"/>
      <c r="S414" s="284"/>
      <c r="T414" s="284"/>
      <c r="U414" s="284"/>
      <c r="V414" s="284"/>
    </row>
    <row r="415" spans="16:22" ht="12.75">
      <c r="P415" s="284"/>
      <c r="Q415" s="284"/>
      <c r="R415" s="284"/>
      <c r="S415" s="284"/>
      <c r="T415" s="284"/>
      <c r="U415" s="284"/>
      <c r="V415" s="284"/>
    </row>
    <row r="416" spans="16:22" ht="12.75">
      <c r="P416" s="284"/>
      <c r="Q416" s="284"/>
      <c r="R416" s="284"/>
      <c r="S416" s="284"/>
      <c r="T416" s="284"/>
      <c r="U416" s="284"/>
      <c r="V416" s="284"/>
    </row>
    <row r="417" spans="16:22" ht="12.75">
      <c r="P417" s="284"/>
      <c r="Q417" s="284"/>
      <c r="R417" s="284"/>
      <c r="S417" s="284"/>
      <c r="T417" s="284"/>
      <c r="U417" s="284"/>
      <c r="V417" s="284"/>
    </row>
    <row r="418" spans="16:22" ht="12.75">
      <c r="P418" s="284"/>
      <c r="Q418" s="284"/>
      <c r="R418" s="284"/>
      <c r="S418" s="284"/>
      <c r="T418" s="284"/>
      <c r="U418" s="284"/>
      <c r="V418" s="284"/>
    </row>
    <row r="419" spans="16:22" ht="12.75">
      <c r="P419" s="284"/>
      <c r="Q419" s="284"/>
      <c r="R419" s="284"/>
      <c r="S419" s="284"/>
      <c r="T419" s="284"/>
      <c r="U419" s="284"/>
      <c r="V419" s="284"/>
    </row>
    <row r="420" spans="16:22" ht="12.75">
      <c r="P420" s="284"/>
      <c r="Q420" s="284"/>
      <c r="R420" s="284"/>
      <c r="S420" s="284"/>
      <c r="T420" s="284"/>
      <c r="U420" s="284"/>
      <c r="V420" s="284"/>
    </row>
    <row r="421" spans="16:22" ht="12.75">
      <c r="P421" s="284"/>
      <c r="Q421" s="284"/>
      <c r="R421" s="284"/>
      <c r="S421" s="284"/>
      <c r="T421" s="284"/>
      <c r="U421" s="284"/>
      <c r="V421" s="284"/>
    </row>
    <row r="422" spans="16:22" ht="12.75">
      <c r="P422" s="284"/>
      <c r="Q422" s="284"/>
      <c r="R422" s="284"/>
      <c r="S422" s="284"/>
      <c r="T422" s="284"/>
      <c r="U422" s="284"/>
      <c r="V422" s="284"/>
    </row>
    <row r="423" spans="16:22" ht="12.75">
      <c r="P423" s="284"/>
      <c r="Q423" s="284"/>
      <c r="R423" s="284"/>
      <c r="S423" s="284"/>
      <c r="T423" s="284"/>
      <c r="U423" s="284"/>
      <c r="V423" s="284"/>
    </row>
    <row r="424" spans="16:22" ht="12.75">
      <c r="P424" s="284"/>
      <c r="Q424" s="284"/>
      <c r="R424" s="284"/>
      <c r="S424" s="284"/>
      <c r="T424" s="284"/>
      <c r="U424" s="284"/>
      <c r="V424" s="284"/>
    </row>
    <row r="425" spans="16:22" ht="12.75">
      <c r="P425" s="284"/>
      <c r="Q425" s="284"/>
      <c r="R425" s="284"/>
      <c r="S425" s="284"/>
      <c r="T425" s="284"/>
      <c r="U425" s="284"/>
      <c r="V425" s="284"/>
    </row>
    <row r="426" spans="16:22" ht="12.75">
      <c r="P426" s="284"/>
      <c r="Q426" s="284"/>
      <c r="R426" s="284"/>
      <c r="S426" s="284"/>
      <c r="T426" s="284"/>
      <c r="U426" s="284"/>
      <c r="V426" s="284"/>
    </row>
    <row r="427" spans="16:22" ht="12.75">
      <c r="P427" s="284"/>
      <c r="Q427" s="284"/>
      <c r="R427" s="284"/>
      <c r="S427" s="284"/>
      <c r="T427" s="284"/>
      <c r="U427" s="284"/>
      <c r="V427" s="284"/>
    </row>
    <row r="428" spans="16:22" ht="12.75">
      <c r="P428" s="284"/>
      <c r="Q428" s="284"/>
      <c r="R428" s="284"/>
      <c r="S428" s="284"/>
      <c r="T428" s="284"/>
      <c r="U428" s="284"/>
      <c r="V428" s="284"/>
    </row>
    <row r="429" spans="16:22" ht="12.75">
      <c r="P429" s="284"/>
      <c r="Q429" s="284"/>
      <c r="R429" s="284"/>
      <c r="S429" s="284"/>
      <c r="T429" s="284"/>
      <c r="U429" s="284"/>
      <c r="V429" s="284"/>
    </row>
    <row r="430" spans="16:22" ht="12.75">
      <c r="P430" s="284"/>
      <c r="Q430" s="284"/>
      <c r="R430" s="284"/>
      <c r="S430" s="284"/>
      <c r="T430" s="284"/>
      <c r="U430" s="284"/>
      <c r="V430" s="284"/>
    </row>
    <row r="431" spans="16:22" ht="12.75">
      <c r="P431" s="284"/>
      <c r="Q431" s="284"/>
      <c r="R431" s="284"/>
      <c r="S431" s="284"/>
      <c r="T431" s="284"/>
      <c r="U431" s="284"/>
      <c r="V431" s="284"/>
    </row>
    <row r="432" spans="16:22" ht="12.75">
      <c r="P432" s="284"/>
      <c r="Q432" s="284"/>
      <c r="R432" s="284"/>
      <c r="S432" s="284"/>
      <c r="T432" s="284"/>
      <c r="U432" s="284"/>
      <c r="V432" s="284"/>
    </row>
    <row r="433" spans="16:22" ht="12.75">
      <c r="P433" s="284"/>
      <c r="Q433" s="284"/>
      <c r="R433" s="284"/>
      <c r="S433" s="284"/>
      <c r="T433" s="284"/>
      <c r="U433" s="284"/>
      <c r="V433" s="284"/>
    </row>
    <row r="434" spans="16:22" ht="12.75">
      <c r="P434" s="284"/>
      <c r="Q434" s="284"/>
      <c r="R434" s="284"/>
      <c r="S434" s="284"/>
      <c r="T434" s="284"/>
      <c r="U434" s="284"/>
      <c r="V434" s="284"/>
    </row>
    <row r="435" spans="16:22" ht="12.75">
      <c r="P435" s="284"/>
      <c r="Q435" s="284"/>
      <c r="R435" s="284"/>
      <c r="S435" s="284"/>
      <c r="T435" s="284"/>
      <c r="U435" s="284"/>
      <c r="V435" s="284"/>
    </row>
    <row r="436" spans="16:22" ht="12.75">
      <c r="P436" s="284"/>
      <c r="Q436" s="284"/>
      <c r="R436" s="284"/>
      <c r="S436" s="284"/>
      <c r="T436" s="284"/>
      <c r="U436" s="284"/>
      <c r="V436" s="284"/>
    </row>
    <row r="437" spans="16:22" ht="12.75">
      <c r="P437" s="284"/>
      <c r="Q437" s="284"/>
      <c r="R437" s="284"/>
      <c r="S437" s="284"/>
      <c r="T437" s="284"/>
      <c r="U437" s="284"/>
      <c r="V437" s="284"/>
    </row>
    <row r="438" spans="16:22" ht="12.75">
      <c r="P438" s="284"/>
      <c r="Q438" s="284"/>
      <c r="R438" s="284"/>
      <c r="S438" s="284"/>
      <c r="T438" s="284"/>
      <c r="U438" s="284"/>
      <c r="V438" s="284"/>
    </row>
    <row r="439" spans="16:22" ht="12.75">
      <c r="P439" s="284"/>
      <c r="Q439" s="284"/>
      <c r="R439" s="284"/>
      <c r="S439" s="284"/>
      <c r="T439" s="284"/>
      <c r="U439" s="284"/>
      <c r="V439" s="284"/>
    </row>
    <row r="440" spans="16:22" ht="12.75">
      <c r="P440" s="284"/>
      <c r="Q440" s="284"/>
      <c r="R440" s="284"/>
      <c r="S440" s="284"/>
      <c r="T440" s="284"/>
      <c r="U440" s="284"/>
      <c r="V440" s="284"/>
    </row>
    <row r="441" spans="16:22" ht="12.75">
      <c r="P441" s="284"/>
      <c r="Q441" s="284"/>
      <c r="R441" s="284"/>
      <c r="S441" s="284"/>
      <c r="T441" s="284"/>
      <c r="U441" s="284"/>
      <c r="V441" s="284"/>
    </row>
    <row r="442" spans="16:22" ht="12.75">
      <c r="P442" s="284"/>
      <c r="Q442" s="284"/>
      <c r="R442" s="284"/>
      <c r="S442" s="284"/>
      <c r="T442" s="284"/>
      <c r="U442" s="284"/>
      <c r="V442" s="284"/>
    </row>
    <row r="443" spans="16:22" ht="12.75">
      <c r="P443" s="284"/>
      <c r="Q443" s="284"/>
      <c r="R443" s="284"/>
      <c r="S443" s="284"/>
      <c r="T443" s="284"/>
      <c r="U443" s="284"/>
      <c r="V443" s="284"/>
    </row>
    <row r="444" spans="16:22" ht="12.75">
      <c r="P444" s="284"/>
      <c r="Q444" s="284"/>
      <c r="R444" s="284"/>
      <c r="S444" s="284"/>
      <c r="T444" s="284"/>
      <c r="U444" s="284"/>
      <c r="V444" s="284"/>
    </row>
    <row r="445" spans="16:22" ht="12.75">
      <c r="P445" s="284"/>
      <c r="Q445" s="284"/>
      <c r="R445" s="284"/>
      <c r="S445" s="284"/>
      <c r="T445" s="284"/>
      <c r="U445" s="284"/>
      <c r="V445" s="284"/>
    </row>
    <row r="446" spans="16:22" ht="12.75">
      <c r="P446" s="284"/>
      <c r="Q446" s="284"/>
      <c r="R446" s="284"/>
      <c r="S446" s="284"/>
      <c r="T446" s="284"/>
      <c r="U446" s="284"/>
      <c r="V446" s="284"/>
    </row>
    <row r="447" spans="16:22" ht="12.75">
      <c r="P447" s="284"/>
      <c r="Q447" s="284"/>
      <c r="R447" s="284"/>
      <c r="S447" s="284"/>
      <c r="T447" s="284"/>
      <c r="U447" s="284"/>
      <c r="V447" s="284"/>
    </row>
    <row r="448" spans="16:22" ht="12.75">
      <c r="P448" s="284"/>
      <c r="Q448" s="284"/>
      <c r="R448" s="284"/>
      <c r="S448" s="284"/>
      <c r="T448" s="284"/>
      <c r="U448" s="284"/>
      <c r="V448" s="284"/>
    </row>
    <row r="449" spans="16:22" ht="12.75">
      <c r="P449" s="284"/>
      <c r="Q449" s="284"/>
      <c r="R449" s="284"/>
      <c r="S449" s="284"/>
      <c r="T449" s="284"/>
      <c r="U449" s="284"/>
      <c r="V449" s="284"/>
    </row>
    <row r="450" spans="16:22" ht="12.75">
      <c r="P450" s="284"/>
      <c r="Q450" s="284"/>
      <c r="R450" s="284"/>
      <c r="S450" s="284"/>
      <c r="T450" s="284"/>
      <c r="U450" s="284"/>
      <c r="V450" s="284"/>
    </row>
    <row r="451" spans="16:22" ht="12.75">
      <c r="P451" s="284"/>
      <c r="Q451" s="284"/>
      <c r="R451" s="284"/>
      <c r="S451" s="284"/>
      <c r="T451" s="284"/>
      <c r="U451" s="284"/>
      <c r="V451" s="284"/>
    </row>
    <row r="452" spans="16:22" ht="12.75">
      <c r="P452" s="284"/>
      <c r="Q452" s="284"/>
      <c r="R452" s="284"/>
      <c r="S452" s="284"/>
      <c r="T452" s="284"/>
      <c r="U452" s="284"/>
      <c r="V452" s="284"/>
    </row>
    <row r="453" spans="16:22" ht="12.75">
      <c r="P453" s="284"/>
      <c r="Q453" s="284"/>
      <c r="R453" s="284"/>
      <c r="S453" s="284"/>
      <c r="T453" s="284"/>
      <c r="U453" s="284"/>
      <c r="V453" s="284"/>
    </row>
    <row r="454" spans="16:22" ht="12.75">
      <c r="P454" s="284"/>
      <c r="Q454" s="284"/>
      <c r="R454" s="284"/>
      <c r="S454" s="284"/>
      <c r="T454" s="284"/>
      <c r="U454" s="284"/>
      <c r="V454" s="284"/>
    </row>
    <row r="455" spans="16:22" ht="12.75">
      <c r="P455" s="284"/>
      <c r="Q455" s="284"/>
      <c r="R455" s="284"/>
      <c r="S455" s="284"/>
      <c r="T455" s="284"/>
      <c r="U455" s="284"/>
      <c r="V455" s="284"/>
    </row>
    <row r="456" spans="16:22" ht="12.75">
      <c r="P456" s="284"/>
      <c r="Q456" s="284"/>
      <c r="R456" s="284"/>
      <c r="S456" s="284"/>
      <c r="T456" s="284"/>
      <c r="U456" s="284"/>
      <c r="V456" s="284"/>
    </row>
    <row r="457" spans="16:22" ht="12.75">
      <c r="P457" s="284"/>
      <c r="Q457" s="284"/>
      <c r="R457" s="284"/>
      <c r="S457" s="284"/>
      <c r="T457" s="284"/>
      <c r="U457" s="284"/>
      <c r="V457" s="284"/>
    </row>
    <row r="458" spans="16:22" ht="12.75">
      <c r="P458" s="284"/>
      <c r="Q458" s="284"/>
      <c r="R458" s="284"/>
      <c r="S458" s="284"/>
      <c r="T458" s="284"/>
      <c r="U458" s="284"/>
      <c r="V458" s="284"/>
    </row>
    <row r="459" spans="16:22" ht="12.75">
      <c r="P459" s="284"/>
      <c r="Q459" s="284"/>
      <c r="R459" s="284"/>
      <c r="S459" s="284"/>
      <c r="T459" s="284"/>
      <c r="U459" s="284"/>
      <c r="V459" s="284"/>
    </row>
    <row r="460" spans="16:22" ht="12.75">
      <c r="P460" s="284"/>
      <c r="Q460" s="284"/>
      <c r="R460" s="284"/>
      <c r="S460" s="284"/>
      <c r="T460" s="284"/>
      <c r="U460" s="284"/>
      <c r="V460" s="284"/>
    </row>
    <row r="461" spans="16:22" ht="12.75">
      <c r="P461" s="284"/>
      <c r="Q461" s="284"/>
      <c r="R461" s="284"/>
      <c r="S461" s="284"/>
      <c r="T461" s="284"/>
      <c r="U461" s="284"/>
      <c r="V461" s="284"/>
    </row>
    <row r="462" spans="16:22" ht="12.75">
      <c r="P462" s="284"/>
      <c r="Q462" s="284"/>
      <c r="R462" s="284"/>
      <c r="S462" s="284"/>
      <c r="T462" s="284"/>
      <c r="U462" s="284"/>
      <c r="V462" s="284"/>
    </row>
    <row r="463" spans="16:22" ht="12.75">
      <c r="P463" s="284"/>
      <c r="Q463" s="284"/>
      <c r="R463" s="284"/>
      <c r="S463" s="284"/>
      <c r="T463" s="284"/>
      <c r="U463" s="284"/>
      <c r="V463" s="284"/>
    </row>
    <row r="464" spans="16:22" ht="12.75">
      <c r="P464" s="284"/>
      <c r="Q464" s="284"/>
      <c r="R464" s="284"/>
      <c r="S464" s="284"/>
      <c r="T464" s="284"/>
      <c r="U464" s="284"/>
      <c r="V464" s="284"/>
    </row>
    <row r="465" spans="16:22" ht="12.75">
      <c r="P465" s="284"/>
      <c r="Q465" s="284"/>
      <c r="R465" s="284"/>
      <c r="S465" s="284"/>
      <c r="T465" s="284"/>
      <c r="U465" s="284"/>
      <c r="V465" s="284"/>
    </row>
    <row r="466" spans="16:22" ht="12.75">
      <c r="P466" s="284"/>
      <c r="Q466" s="284"/>
      <c r="R466" s="284"/>
      <c r="S466" s="284"/>
      <c r="T466" s="284"/>
      <c r="U466" s="284"/>
      <c r="V466" s="284"/>
    </row>
    <row r="467" spans="16:22" ht="12.75">
      <c r="P467" s="284"/>
      <c r="Q467" s="284"/>
      <c r="R467" s="284"/>
      <c r="S467" s="284"/>
      <c r="T467" s="284"/>
      <c r="U467" s="284"/>
      <c r="V467" s="284"/>
    </row>
    <row r="468" spans="16:22" ht="12.75">
      <c r="P468" s="284"/>
      <c r="Q468" s="284"/>
      <c r="R468" s="284"/>
      <c r="S468" s="284"/>
      <c r="T468" s="284"/>
      <c r="U468" s="284"/>
      <c r="V468" s="284"/>
    </row>
    <row r="469" spans="16:22" ht="12.75">
      <c r="P469" s="284"/>
      <c r="Q469" s="284"/>
      <c r="R469" s="284"/>
      <c r="S469" s="284"/>
      <c r="T469" s="284"/>
      <c r="U469" s="284"/>
      <c r="V469" s="284"/>
    </row>
    <row r="470" spans="16:22" ht="12.75">
      <c r="P470" s="284"/>
      <c r="Q470" s="284"/>
      <c r="R470" s="284"/>
      <c r="S470" s="284"/>
      <c r="T470" s="284"/>
      <c r="U470" s="284"/>
      <c r="V470" s="284"/>
    </row>
    <row r="471" spans="16:22" ht="12.75">
      <c r="P471" s="284"/>
      <c r="Q471" s="284"/>
      <c r="R471" s="284"/>
      <c r="S471" s="284"/>
      <c r="T471" s="284"/>
      <c r="U471" s="284"/>
      <c r="V471" s="284"/>
    </row>
    <row r="472" spans="16:22" ht="12.75">
      <c r="P472" s="284"/>
      <c r="Q472" s="284"/>
      <c r="R472" s="284"/>
      <c r="S472" s="284"/>
      <c r="T472" s="284"/>
      <c r="U472" s="284"/>
      <c r="V472" s="284"/>
    </row>
    <row r="473" spans="16:22" ht="12.75">
      <c r="P473" s="284"/>
      <c r="Q473" s="284"/>
      <c r="R473" s="284"/>
      <c r="S473" s="284"/>
      <c r="T473" s="284"/>
      <c r="U473" s="284"/>
      <c r="V473" s="284"/>
    </row>
    <row r="474" spans="16:22" ht="12.75">
      <c r="P474" s="284"/>
      <c r="Q474" s="284"/>
      <c r="R474" s="284"/>
      <c r="S474" s="284"/>
      <c r="T474" s="284"/>
      <c r="U474" s="284"/>
      <c r="V474" s="284"/>
    </row>
    <row r="475" spans="16:22" ht="12.75">
      <c r="P475" s="284"/>
      <c r="Q475" s="284"/>
      <c r="R475" s="284"/>
      <c r="S475" s="284"/>
      <c r="T475" s="284"/>
      <c r="U475" s="284"/>
      <c r="V475" s="284"/>
    </row>
    <row r="476" spans="16:22" ht="12.75">
      <c r="P476" s="284"/>
      <c r="Q476" s="284"/>
      <c r="R476" s="284"/>
      <c r="S476" s="284"/>
      <c r="T476" s="284"/>
      <c r="U476" s="284"/>
      <c r="V476" s="284"/>
    </row>
    <row r="477" spans="16:22" ht="12.75">
      <c r="P477" s="284"/>
      <c r="Q477" s="284"/>
      <c r="R477" s="284"/>
      <c r="S477" s="284"/>
      <c r="T477" s="284"/>
      <c r="U477" s="284"/>
      <c r="V477" s="284"/>
    </row>
    <row r="478" spans="16:22" ht="12.75">
      <c r="P478" s="284"/>
      <c r="Q478" s="284"/>
      <c r="R478" s="284"/>
      <c r="S478" s="284"/>
      <c r="T478" s="284"/>
      <c r="U478" s="284"/>
      <c r="V478" s="284"/>
    </row>
    <row r="479" spans="16:22" ht="12.75">
      <c r="P479" s="284"/>
      <c r="Q479" s="284"/>
      <c r="R479" s="284"/>
      <c r="S479" s="284"/>
      <c r="T479" s="284"/>
      <c r="U479" s="284"/>
      <c r="V479" s="284"/>
    </row>
    <row r="480" spans="16:22" ht="12.75">
      <c r="P480" s="284"/>
      <c r="Q480" s="284"/>
      <c r="R480" s="284"/>
      <c r="S480" s="284"/>
      <c r="T480" s="284"/>
      <c r="U480" s="284"/>
      <c r="V480" s="284"/>
    </row>
    <row r="481" spans="16:22" ht="12.75">
      <c r="P481" s="284"/>
      <c r="Q481" s="284"/>
      <c r="R481" s="284"/>
      <c r="S481" s="284"/>
      <c r="T481" s="284"/>
      <c r="U481" s="284"/>
      <c r="V481" s="284"/>
    </row>
    <row r="482" spans="16:22" ht="12.75">
      <c r="P482" s="284"/>
      <c r="Q482" s="284"/>
      <c r="R482" s="284"/>
      <c r="S482" s="284"/>
      <c r="T482" s="284"/>
      <c r="U482" s="284"/>
      <c r="V482" s="284"/>
    </row>
    <row r="483" spans="16:22" ht="12.75">
      <c r="P483" s="284"/>
      <c r="Q483" s="284"/>
      <c r="R483" s="284"/>
      <c r="S483" s="284"/>
      <c r="T483" s="284"/>
      <c r="U483" s="284"/>
      <c r="V483" s="284"/>
    </row>
    <row r="484" spans="16:22" ht="12.75">
      <c r="P484" s="284"/>
      <c r="Q484" s="284"/>
      <c r="R484" s="284"/>
      <c r="S484" s="284"/>
      <c r="T484" s="284"/>
      <c r="U484" s="284"/>
      <c r="V484" s="284"/>
    </row>
    <row r="485" spans="16:22" ht="12.75">
      <c r="P485" s="284"/>
      <c r="Q485" s="284"/>
      <c r="R485" s="284"/>
      <c r="S485" s="284"/>
      <c r="T485" s="284"/>
      <c r="U485" s="284"/>
      <c r="V485" s="284"/>
    </row>
    <row r="486" spans="16:22" ht="12.75">
      <c r="P486" s="284"/>
      <c r="Q486" s="284"/>
      <c r="R486" s="284"/>
      <c r="S486" s="284"/>
      <c r="T486" s="284"/>
      <c r="U486" s="284"/>
      <c r="V486" s="284"/>
    </row>
    <row r="487" spans="16:22" ht="12.75">
      <c r="P487" s="284"/>
      <c r="Q487" s="284"/>
      <c r="R487" s="284"/>
      <c r="S487" s="284"/>
      <c r="T487" s="284"/>
      <c r="U487" s="284"/>
      <c r="V487" s="284"/>
    </row>
    <row r="488" spans="16:22" ht="12.75">
      <c r="P488" s="284"/>
      <c r="Q488" s="284"/>
      <c r="R488" s="284"/>
      <c r="S488" s="284"/>
      <c r="T488" s="284"/>
      <c r="U488" s="284"/>
      <c r="V488" s="284"/>
    </row>
    <row r="489" spans="16:22" ht="12.75">
      <c r="P489" s="284"/>
      <c r="Q489" s="284"/>
      <c r="R489" s="284"/>
      <c r="S489" s="284"/>
      <c r="T489" s="284"/>
      <c r="U489" s="284"/>
      <c r="V489" s="284"/>
    </row>
    <row r="490" spans="16:22" ht="12.75">
      <c r="P490" s="284"/>
      <c r="Q490" s="284"/>
      <c r="R490" s="284"/>
      <c r="S490" s="284"/>
      <c r="T490" s="284"/>
      <c r="U490" s="284"/>
      <c r="V490" s="284"/>
    </row>
    <row r="491" spans="16:22" ht="12.75">
      <c r="P491" s="284"/>
      <c r="Q491" s="284"/>
      <c r="R491" s="284"/>
      <c r="S491" s="284"/>
      <c r="T491" s="284"/>
      <c r="U491" s="284"/>
      <c r="V491" s="284"/>
    </row>
    <row r="492" spans="16:22" ht="12.75">
      <c r="P492" s="284"/>
      <c r="Q492" s="284"/>
      <c r="R492" s="284"/>
      <c r="S492" s="284"/>
      <c r="T492" s="284"/>
      <c r="U492" s="284"/>
      <c r="V492" s="284"/>
    </row>
    <row r="493" spans="16:22" ht="12.75">
      <c r="P493" s="284"/>
      <c r="Q493" s="284"/>
      <c r="R493" s="284"/>
      <c r="S493" s="284"/>
      <c r="T493" s="284"/>
      <c r="U493" s="284"/>
      <c r="V493" s="284"/>
    </row>
    <row r="494" spans="16:22" ht="12.75">
      <c r="P494" s="284"/>
      <c r="Q494" s="284"/>
      <c r="R494" s="284"/>
      <c r="S494" s="284"/>
      <c r="T494" s="284"/>
      <c r="U494" s="284"/>
      <c r="V494" s="284"/>
    </row>
    <row r="495" spans="16:22" ht="12.75">
      <c r="P495" s="284"/>
      <c r="Q495" s="284"/>
      <c r="R495" s="284"/>
      <c r="S495" s="284"/>
      <c r="T495" s="284"/>
      <c r="U495" s="284"/>
      <c r="V495" s="284"/>
    </row>
    <row r="496" spans="16:22" ht="12.75">
      <c r="P496" s="284"/>
      <c r="Q496" s="284"/>
      <c r="R496" s="284"/>
      <c r="S496" s="284"/>
      <c r="T496" s="284"/>
      <c r="U496" s="284"/>
      <c r="V496" s="284"/>
    </row>
    <row r="497" spans="16:22" ht="12.75">
      <c r="P497" s="284"/>
      <c r="Q497" s="284"/>
      <c r="R497" s="284"/>
      <c r="S497" s="284"/>
      <c r="T497" s="284"/>
      <c r="U497" s="284"/>
      <c r="V497" s="284"/>
    </row>
    <row r="498" spans="16:22" ht="12.75">
      <c r="P498" s="284"/>
      <c r="Q498" s="284"/>
      <c r="R498" s="284"/>
      <c r="S498" s="284"/>
      <c r="T498" s="284"/>
      <c r="U498" s="284"/>
      <c r="V498" s="284"/>
    </row>
    <row r="499" spans="16:22" ht="12.75">
      <c r="P499" s="284"/>
      <c r="Q499" s="284"/>
      <c r="R499" s="284"/>
      <c r="S499" s="284"/>
      <c r="T499" s="284"/>
      <c r="U499" s="284"/>
      <c r="V499" s="284"/>
    </row>
    <row r="500" spans="16:22" ht="12.75">
      <c r="P500" s="284"/>
      <c r="Q500" s="284"/>
      <c r="R500" s="284"/>
      <c r="S500" s="284"/>
      <c r="T500" s="284"/>
      <c r="U500" s="284"/>
      <c r="V500" s="284"/>
    </row>
    <row r="501" spans="16:22" ht="12.75">
      <c r="P501" s="284"/>
      <c r="Q501" s="284"/>
      <c r="R501" s="284"/>
      <c r="S501" s="284"/>
      <c r="T501" s="284"/>
      <c r="U501" s="284"/>
      <c r="V501" s="284"/>
    </row>
    <row r="502" spans="16:22" ht="12.75">
      <c r="P502" s="284"/>
      <c r="Q502" s="284"/>
      <c r="R502" s="284"/>
      <c r="S502" s="284"/>
      <c r="T502" s="284"/>
      <c r="U502" s="284"/>
      <c r="V502" s="284"/>
    </row>
    <row r="503" spans="16:22" ht="12.75">
      <c r="P503" s="284"/>
      <c r="Q503" s="284"/>
      <c r="R503" s="284"/>
      <c r="S503" s="284"/>
      <c r="T503" s="284"/>
      <c r="U503" s="284"/>
      <c r="V503" s="284"/>
    </row>
    <row r="504" spans="16:22" ht="12.75">
      <c r="P504" s="284"/>
      <c r="Q504" s="284"/>
      <c r="R504" s="284"/>
      <c r="S504" s="284"/>
      <c r="T504" s="284"/>
      <c r="U504" s="284"/>
      <c r="V504" s="284"/>
    </row>
    <row r="505" spans="16:22" ht="12.75">
      <c r="P505" s="284"/>
      <c r="Q505" s="284"/>
      <c r="R505" s="284"/>
      <c r="S505" s="284"/>
      <c r="T505" s="284"/>
      <c r="U505" s="284"/>
      <c r="V505" s="284"/>
    </row>
    <row r="506" spans="16:22" ht="12.75">
      <c r="P506" s="284"/>
      <c r="Q506" s="284"/>
      <c r="R506" s="284"/>
      <c r="S506" s="284"/>
      <c r="T506" s="284"/>
      <c r="U506" s="284"/>
      <c r="V506" s="284"/>
    </row>
    <row r="507" spans="16:22" ht="12.75">
      <c r="P507" s="284"/>
      <c r="Q507" s="284"/>
      <c r="R507" s="284"/>
      <c r="S507" s="284"/>
      <c r="T507" s="284"/>
      <c r="U507" s="284"/>
      <c r="V507" s="284"/>
    </row>
    <row r="508" spans="16:22" ht="12.75">
      <c r="P508" s="284"/>
      <c r="Q508" s="284"/>
      <c r="R508" s="284"/>
      <c r="S508" s="284"/>
      <c r="T508" s="284"/>
      <c r="U508" s="284"/>
      <c r="V508" s="284"/>
    </row>
    <row r="509" spans="16:22" ht="12.75">
      <c r="P509" s="284"/>
      <c r="Q509" s="284"/>
      <c r="R509" s="284"/>
      <c r="S509" s="284"/>
      <c r="T509" s="284"/>
      <c r="U509" s="284"/>
      <c r="V509" s="284"/>
    </row>
    <row r="510" spans="16:22" ht="12.75">
      <c r="P510" s="284"/>
      <c r="Q510" s="284"/>
      <c r="R510" s="284"/>
      <c r="S510" s="284"/>
      <c r="T510" s="284"/>
      <c r="U510" s="284"/>
      <c r="V510" s="284"/>
    </row>
    <row r="511" spans="16:22" ht="12.75">
      <c r="P511" s="284"/>
      <c r="Q511" s="284"/>
      <c r="R511" s="284"/>
      <c r="S511" s="284"/>
      <c r="T511" s="284"/>
      <c r="U511" s="284"/>
      <c r="V511" s="284"/>
    </row>
    <row r="512" spans="16:22" ht="12.75">
      <c r="P512" s="284"/>
      <c r="Q512" s="284"/>
      <c r="R512" s="284"/>
      <c r="S512" s="284"/>
      <c r="T512" s="284"/>
      <c r="U512" s="284"/>
      <c r="V512" s="284"/>
    </row>
    <row r="513" spans="16:22" ht="12.75">
      <c r="P513" s="284"/>
      <c r="Q513" s="284"/>
      <c r="R513" s="284"/>
      <c r="S513" s="284"/>
      <c r="T513" s="284"/>
      <c r="U513" s="284"/>
      <c r="V513" s="284"/>
    </row>
    <row r="514" spans="16:22" ht="12.75">
      <c r="P514" s="284"/>
      <c r="Q514" s="284"/>
      <c r="R514" s="284"/>
      <c r="S514" s="284"/>
      <c r="T514" s="284"/>
      <c r="U514" s="284"/>
      <c r="V514" s="284"/>
    </row>
    <row r="515" spans="16:22" ht="12.75">
      <c r="P515" s="284"/>
      <c r="Q515" s="284"/>
      <c r="R515" s="284"/>
      <c r="S515" s="284"/>
      <c r="T515" s="284"/>
      <c r="U515" s="284"/>
      <c r="V515" s="284"/>
    </row>
    <row r="516" spans="16:22" ht="12.75">
      <c r="P516" s="284"/>
      <c r="Q516" s="284"/>
      <c r="R516" s="284"/>
      <c r="S516" s="284"/>
      <c r="T516" s="284"/>
      <c r="U516" s="284"/>
      <c r="V516" s="284"/>
    </row>
    <row r="517" spans="16:22" ht="12.75">
      <c r="P517" s="284"/>
      <c r="Q517" s="284"/>
      <c r="R517" s="284"/>
      <c r="S517" s="284"/>
      <c r="T517" s="284"/>
      <c r="U517" s="284"/>
      <c r="V517" s="284"/>
    </row>
    <row r="518" spans="16:22" ht="12.75">
      <c r="P518" s="284"/>
      <c r="Q518" s="284"/>
      <c r="R518" s="284"/>
      <c r="S518" s="284"/>
      <c r="T518" s="284"/>
      <c r="U518" s="284"/>
      <c r="V518" s="284"/>
    </row>
    <row r="519" spans="16:22" ht="12.75">
      <c r="P519" s="284"/>
      <c r="Q519" s="284"/>
      <c r="R519" s="284"/>
      <c r="S519" s="284"/>
      <c r="T519" s="284"/>
      <c r="U519" s="284"/>
      <c r="V519" s="284"/>
    </row>
    <row r="520" spans="16:22" ht="12.75">
      <c r="P520" s="284"/>
      <c r="Q520" s="284"/>
      <c r="R520" s="284"/>
      <c r="S520" s="284"/>
      <c r="T520" s="284"/>
      <c r="U520" s="284"/>
      <c r="V520" s="284"/>
    </row>
    <row r="521" spans="16:22" ht="12.75">
      <c r="P521" s="284"/>
      <c r="Q521" s="284"/>
      <c r="R521" s="284"/>
      <c r="S521" s="284"/>
      <c r="T521" s="284"/>
      <c r="U521" s="284"/>
      <c r="V521" s="284"/>
    </row>
    <row r="522" spans="16:22" ht="12.75">
      <c r="P522" s="284"/>
      <c r="Q522" s="284"/>
      <c r="R522" s="284"/>
      <c r="S522" s="284"/>
      <c r="T522" s="284"/>
      <c r="U522" s="284"/>
      <c r="V522" s="284"/>
    </row>
    <row r="523" spans="16:22" ht="12.75">
      <c r="P523" s="284"/>
      <c r="Q523" s="284"/>
      <c r="R523" s="284"/>
      <c r="S523" s="284"/>
      <c r="T523" s="284"/>
      <c r="U523" s="284"/>
      <c r="V523" s="284"/>
    </row>
    <row r="524" spans="16:22" ht="12.75">
      <c r="P524" s="284"/>
      <c r="Q524" s="284"/>
      <c r="R524" s="284"/>
      <c r="S524" s="284"/>
      <c r="T524" s="284"/>
      <c r="U524" s="284"/>
      <c r="V524" s="284"/>
    </row>
    <row r="525" spans="16:22" ht="12.75">
      <c r="P525" s="284"/>
      <c r="Q525" s="284"/>
      <c r="R525" s="284"/>
      <c r="S525" s="284"/>
      <c r="T525" s="284"/>
      <c r="U525" s="284"/>
      <c r="V525" s="284"/>
    </row>
    <row r="526" spans="16:22" ht="12.75">
      <c r="P526" s="284"/>
      <c r="Q526" s="284"/>
      <c r="R526" s="284"/>
      <c r="S526" s="284"/>
      <c r="T526" s="284"/>
      <c r="U526" s="284"/>
      <c r="V526" s="284"/>
    </row>
    <row r="527" spans="16:22" ht="12.75">
      <c r="P527" s="284"/>
      <c r="Q527" s="284"/>
      <c r="R527" s="284"/>
      <c r="S527" s="284"/>
      <c r="T527" s="284"/>
      <c r="U527" s="284"/>
      <c r="V527" s="284"/>
    </row>
    <row r="528" spans="16:22" ht="12.75">
      <c r="P528" s="284"/>
      <c r="Q528" s="284"/>
      <c r="R528" s="284"/>
      <c r="S528" s="284"/>
      <c r="T528" s="284"/>
      <c r="U528" s="284"/>
      <c r="V528" s="284"/>
    </row>
    <row r="529" spans="16:22" ht="12.75">
      <c r="P529" s="284"/>
      <c r="Q529" s="284"/>
      <c r="R529" s="284"/>
      <c r="S529" s="284"/>
      <c r="T529" s="284"/>
      <c r="U529" s="284"/>
      <c r="V529" s="284"/>
    </row>
    <row r="530" spans="16:22" ht="12.75">
      <c r="P530" s="284"/>
      <c r="Q530" s="284"/>
      <c r="R530" s="284"/>
      <c r="S530" s="284"/>
      <c r="T530" s="284"/>
      <c r="U530" s="284"/>
      <c r="V530" s="284"/>
    </row>
    <row r="531" spans="16:22" ht="12.75">
      <c r="P531" s="284"/>
      <c r="Q531" s="284"/>
      <c r="R531" s="284"/>
      <c r="S531" s="284"/>
      <c r="T531" s="284"/>
      <c r="U531" s="284"/>
      <c r="V531" s="284"/>
    </row>
    <row r="532" spans="16:22" ht="12.75">
      <c r="P532" s="284"/>
      <c r="Q532" s="284"/>
      <c r="R532" s="284"/>
      <c r="S532" s="284"/>
      <c r="T532" s="284"/>
      <c r="U532" s="284"/>
      <c r="V532" s="284"/>
    </row>
    <row r="533" spans="16:22" ht="12.75">
      <c r="P533" s="284"/>
      <c r="Q533" s="284"/>
      <c r="R533" s="284"/>
      <c r="S533" s="284"/>
      <c r="T533" s="284"/>
      <c r="U533" s="284"/>
      <c r="V533" s="284"/>
    </row>
    <row r="534" spans="16:22" ht="12.75">
      <c r="P534" s="284"/>
      <c r="Q534" s="284"/>
      <c r="R534" s="284"/>
      <c r="S534" s="284"/>
      <c r="T534" s="284"/>
      <c r="U534" s="284"/>
      <c r="V534" s="284"/>
    </row>
    <row r="535" spans="16:22" ht="12.75">
      <c r="P535" s="284"/>
      <c r="Q535" s="284"/>
      <c r="R535" s="284"/>
      <c r="S535" s="284"/>
      <c r="T535" s="284"/>
      <c r="U535" s="284"/>
      <c r="V535" s="284"/>
    </row>
    <row r="536" spans="16:22" ht="12.75">
      <c r="P536" s="284"/>
      <c r="Q536" s="284"/>
      <c r="R536" s="284"/>
      <c r="S536" s="284"/>
      <c r="T536" s="284"/>
      <c r="U536" s="284"/>
      <c r="V536" s="284"/>
    </row>
    <row r="537" spans="16:22" ht="12.75">
      <c r="P537" s="284"/>
      <c r="Q537" s="284"/>
      <c r="R537" s="284"/>
      <c r="S537" s="284"/>
      <c r="T537" s="284"/>
      <c r="U537" s="284"/>
      <c r="V537" s="284"/>
    </row>
    <row r="538" spans="16:22" ht="12.75">
      <c r="P538" s="284"/>
      <c r="Q538" s="284"/>
      <c r="R538" s="284"/>
      <c r="S538" s="284"/>
      <c r="T538" s="284"/>
      <c r="U538" s="284"/>
      <c r="V538" s="284"/>
    </row>
    <row r="539" spans="16:22" ht="12.75">
      <c r="P539" s="284"/>
      <c r="Q539" s="284"/>
      <c r="R539" s="284"/>
      <c r="S539" s="284"/>
      <c r="T539" s="284"/>
      <c r="U539" s="284"/>
      <c r="V539" s="284"/>
    </row>
    <row r="540" spans="16:22" ht="12.75">
      <c r="P540" s="284"/>
      <c r="Q540" s="284"/>
      <c r="R540" s="284"/>
      <c r="S540" s="284"/>
      <c r="T540" s="284"/>
      <c r="U540" s="284"/>
      <c r="V540" s="284"/>
    </row>
    <row r="541" spans="16:22" ht="12.75">
      <c r="P541" s="284"/>
      <c r="Q541" s="284"/>
      <c r="R541" s="284"/>
      <c r="S541" s="284"/>
      <c r="T541" s="284"/>
      <c r="U541" s="284"/>
      <c r="V541" s="284"/>
    </row>
    <row r="542" spans="16:22" ht="12.75">
      <c r="P542" s="284"/>
      <c r="Q542" s="284"/>
      <c r="R542" s="284"/>
      <c r="S542" s="284"/>
      <c r="T542" s="284"/>
      <c r="U542" s="284"/>
      <c r="V542" s="284"/>
    </row>
    <row r="543" spans="16:22" ht="12.75">
      <c r="P543" s="284"/>
      <c r="Q543" s="284"/>
      <c r="R543" s="284"/>
      <c r="S543" s="284"/>
      <c r="T543" s="284"/>
      <c r="U543" s="284"/>
      <c r="V543" s="284"/>
    </row>
    <row r="544" spans="16:22" ht="12.75">
      <c r="P544" s="284"/>
      <c r="Q544" s="284"/>
      <c r="R544" s="284"/>
      <c r="S544" s="284"/>
      <c r="T544" s="284"/>
      <c r="U544" s="284"/>
      <c r="V544" s="284"/>
    </row>
    <row r="545" spans="16:22" ht="12.75">
      <c r="P545" s="284"/>
      <c r="Q545" s="284"/>
      <c r="R545" s="284"/>
      <c r="S545" s="284"/>
      <c r="T545" s="284"/>
      <c r="U545" s="284"/>
      <c r="V545" s="284"/>
    </row>
    <row r="546" spans="16:22" ht="12.75">
      <c r="P546" s="284"/>
      <c r="Q546" s="284"/>
      <c r="R546" s="284"/>
      <c r="S546" s="284"/>
      <c r="T546" s="284"/>
      <c r="U546" s="284"/>
      <c r="V546" s="284"/>
    </row>
    <row r="547" spans="16:22" ht="12.75">
      <c r="P547" s="284"/>
      <c r="Q547" s="284"/>
      <c r="R547" s="284"/>
      <c r="S547" s="284"/>
      <c r="T547" s="284"/>
      <c r="U547" s="284"/>
      <c r="V547" s="284"/>
    </row>
    <row r="548" spans="16:22" ht="12.75">
      <c r="P548" s="284"/>
      <c r="Q548" s="284"/>
      <c r="R548" s="284"/>
      <c r="S548" s="284"/>
      <c r="T548" s="284"/>
      <c r="U548" s="284"/>
      <c r="V548" s="284"/>
    </row>
    <row r="549" spans="16:22" ht="12.75">
      <c r="P549" s="284"/>
      <c r="Q549" s="284"/>
      <c r="R549" s="284"/>
      <c r="S549" s="284"/>
      <c r="T549" s="284"/>
      <c r="U549" s="284"/>
      <c r="V549" s="284"/>
    </row>
    <row r="550" spans="16:22" ht="12.75">
      <c r="P550" s="284"/>
      <c r="Q550" s="284"/>
      <c r="R550" s="284"/>
      <c r="S550" s="284"/>
      <c r="T550" s="284"/>
      <c r="U550" s="284"/>
      <c r="V550" s="284"/>
    </row>
    <row r="551" spans="16:22" ht="12.75">
      <c r="P551" s="284"/>
      <c r="Q551" s="284"/>
      <c r="R551" s="284"/>
      <c r="S551" s="284"/>
      <c r="T551" s="284"/>
      <c r="U551" s="284"/>
      <c r="V551" s="284"/>
    </row>
    <row r="552" spans="16:22" ht="12.75">
      <c r="P552" s="284"/>
      <c r="Q552" s="284"/>
      <c r="R552" s="284"/>
      <c r="S552" s="284"/>
      <c r="T552" s="284"/>
      <c r="U552" s="284"/>
      <c r="V552" s="284"/>
    </row>
    <row r="553" spans="16:22" ht="12.75">
      <c r="P553" s="284"/>
      <c r="Q553" s="284"/>
      <c r="R553" s="284"/>
      <c r="S553" s="284"/>
      <c r="T553" s="284"/>
      <c r="U553" s="284"/>
      <c r="V553" s="284"/>
    </row>
    <row r="554" spans="16:22" ht="12.75">
      <c r="P554" s="284"/>
      <c r="Q554" s="284"/>
      <c r="R554" s="284"/>
      <c r="S554" s="284"/>
      <c r="T554" s="284"/>
      <c r="U554" s="284"/>
      <c r="V554" s="284"/>
    </row>
    <row r="555" spans="16:22" ht="12.75">
      <c r="P555" s="284"/>
      <c r="Q555" s="284"/>
      <c r="R555" s="284"/>
      <c r="S555" s="284"/>
      <c r="T555" s="284"/>
      <c r="U555" s="284"/>
      <c r="V555" s="284"/>
    </row>
    <row r="556" spans="16:22" ht="12.75">
      <c r="P556" s="284"/>
      <c r="Q556" s="284"/>
      <c r="R556" s="284"/>
      <c r="S556" s="284"/>
      <c r="T556" s="284"/>
      <c r="U556" s="284"/>
      <c r="V556" s="284"/>
    </row>
    <row r="557" spans="16:22" ht="12.75">
      <c r="P557" s="284"/>
      <c r="Q557" s="284"/>
      <c r="R557" s="284"/>
      <c r="S557" s="284"/>
      <c r="T557" s="284"/>
      <c r="U557" s="284"/>
      <c r="V557" s="284"/>
    </row>
    <row r="558" spans="16:22" ht="12.75">
      <c r="P558" s="284"/>
      <c r="Q558" s="284"/>
      <c r="R558" s="284"/>
      <c r="S558" s="284"/>
      <c r="T558" s="284"/>
      <c r="U558" s="284"/>
      <c r="V558" s="284"/>
    </row>
    <row r="559" spans="16:22" ht="12.75">
      <c r="P559" s="284"/>
      <c r="Q559" s="284"/>
      <c r="R559" s="284"/>
      <c r="S559" s="284"/>
      <c r="T559" s="284"/>
      <c r="U559" s="284"/>
      <c r="V559" s="284"/>
    </row>
    <row r="560" spans="16:22" ht="12.75">
      <c r="P560" s="284"/>
      <c r="Q560" s="284"/>
      <c r="R560" s="284"/>
      <c r="S560" s="284"/>
      <c r="T560" s="284"/>
      <c r="U560" s="284"/>
      <c r="V560" s="284"/>
    </row>
    <row r="561" spans="16:22" ht="12.75">
      <c r="P561" s="284"/>
      <c r="Q561" s="284"/>
      <c r="R561" s="284"/>
      <c r="S561" s="284"/>
      <c r="T561" s="284"/>
      <c r="U561" s="284"/>
      <c r="V561" s="284"/>
    </row>
    <row r="562" spans="16:22" ht="12.75">
      <c r="P562" s="284"/>
      <c r="Q562" s="284"/>
      <c r="R562" s="284"/>
      <c r="S562" s="284"/>
      <c r="T562" s="284"/>
      <c r="U562" s="284"/>
      <c r="V562" s="284"/>
    </row>
    <row r="563" spans="16:22" ht="12.75">
      <c r="P563" s="284"/>
      <c r="Q563" s="284"/>
      <c r="R563" s="284"/>
      <c r="S563" s="284"/>
      <c r="T563" s="284"/>
      <c r="U563" s="284"/>
      <c r="V563" s="284"/>
    </row>
    <row r="564" spans="16:22" ht="12.75">
      <c r="P564" s="284"/>
      <c r="Q564" s="284"/>
      <c r="R564" s="284"/>
      <c r="S564" s="284"/>
      <c r="T564" s="284"/>
      <c r="U564" s="284"/>
      <c r="V564" s="284"/>
    </row>
    <row r="565" spans="16:22" ht="12.75">
      <c r="P565" s="284"/>
      <c r="Q565" s="284"/>
      <c r="R565" s="284"/>
      <c r="S565" s="284"/>
      <c r="T565" s="284"/>
      <c r="U565" s="284"/>
      <c r="V565" s="284"/>
    </row>
    <row r="566" spans="16:22" ht="12.75">
      <c r="P566" s="284"/>
      <c r="Q566" s="284"/>
      <c r="R566" s="284"/>
      <c r="S566" s="284"/>
      <c r="T566" s="284"/>
      <c r="U566" s="284"/>
      <c r="V566" s="284"/>
    </row>
    <row r="567" spans="16:22" ht="12.75">
      <c r="P567" s="284"/>
      <c r="Q567" s="284"/>
      <c r="R567" s="284"/>
      <c r="S567" s="284"/>
      <c r="T567" s="284"/>
      <c r="U567" s="284"/>
      <c r="V567" s="284"/>
    </row>
    <row r="568" spans="16:22" ht="12.75">
      <c r="P568" s="284"/>
      <c r="Q568" s="284"/>
      <c r="R568" s="284"/>
      <c r="S568" s="284"/>
      <c r="T568" s="284"/>
      <c r="U568" s="284"/>
      <c r="V568" s="284"/>
    </row>
    <row r="569" spans="16:22" ht="12.75">
      <c r="P569" s="284"/>
      <c r="Q569" s="284"/>
      <c r="R569" s="284"/>
      <c r="S569" s="284"/>
      <c r="T569" s="284"/>
      <c r="U569" s="284"/>
      <c r="V569" s="284"/>
    </row>
    <row r="570" spans="16:22" ht="12.75">
      <c r="P570" s="284"/>
      <c r="Q570" s="284"/>
      <c r="R570" s="284"/>
      <c r="S570" s="284"/>
      <c r="T570" s="284"/>
      <c r="U570" s="284"/>
      <c r="V570" s="284"/>
    </row>
    <row r="571" spans="16:22" ht="12.75">
      <c r="P571" s="284"/>
      <c r="Q571" s="284"/>
      <c r="R571" s="284"/>
      <c r="S571" s="284"/>
      <c r="T571" s="284"/>
      <c r="U571" s="284"/>
      <c r="V571" s="284"/>
    </row>
    <row r="572" spans="16:22" ht="12.75">
      <c r="P572" s="284"/>
      <c r="Q572" s="284"/>
      <c r="R572" s="284"/>
      <c r="S572" s="284"/>
      <c r="T572" s="284"/>
      <c r="U572" s="284"/>
      <c r="V572" s="284"/>
    </row>
    <row r="573" spans="16:22" ht="12.75">
      <c r="P573" s="284"/>
      <c r="Q573" s="284"/>
      <c r="R573" s="284"/>
      <c r="S573" s="284"/>
      <c r="T573" s="284"/>
      <c r="U573" s="284"/>
      <c r="V573" s="284"/>
    </row>
    <row r="574" spans="16:22" ht="12.75">
      <c r="P574" s="284"/>
      <c r="Q574" s="284"/>
      <c r="R574" s="284"/>
      <c r="S574" s="284"/>
      <c r="T574" s="284"/>
      <c r="U574" s="284"/>
      <c r="V574" s="284"/>
    </row>
    <row r="575" spans="16:22" ht="12.75">
      <c r="P575" s="284"/>
      <c r="Q575" s="284"/>
      <c r="R575" s="284"/>
      <c r="S575" s="284"/>
      <c r="T575" s="284"/>
      <c r="U575" s="284"/>
      <c r="V575" s="284"/>
    </row>
    <row r="576" spans="16:22" ht="12.75">
      <c r="P576" s="284"/>
      <c r="Q576" s="284"/>
      <c r="R576" s="284"/>
      <c r="S576" s="284"/>
      <c r="T576" s="284"/>
      <c r="U576" s="284"/>
      <c r="V576" s="284"/>
    </row>
    <row r="577" spans="16:22" ht="12.75">
      <c r="P577" s="284"/>
      <c r="Q577" s="284"/>
      <c r="R577" s="284"/>
      <c r="S577" s="284"/>
      <c r="T577" s="284"/>
      <c r="U577" s="284"/>
      <c r="V577" s="284"/>
    </row>
    <row r="578" spans="16:22" ht="12.75">
      <c r="P578" s="284"/>
      <c r="Q578" s="284"/>
      <c r="R578" s="284"/>
      <c r="S578" s="284"/>
      <c r="T578" s="284"/>
      <c r="U578" s="284"/>
      <c r="V578" s="284"/>
    </row>
    <row r="579" spans="16:22" ht="12.75">
      <c r="P579" s="284"/>
      <c r="Q579" s="284"/>
      <c r="R579" s="284"/>
      <c r="S579" s="284"/>
      <c r="T579" s="284"/>
      <c r="U579" s="284"/>
      <c r="V579" s="284"/>
    </row>
    <row r="580" spans="16:22" ht="12.75">
      <c r="P580" s="284"/>
      <c r="Q580" s="284"/>
      <c r="R580" s="284"/>
      <c r="S580" s="284"/>
      <c r="T580" s="284"/>
      <c r="U580" s="284"/>
      <c r="V580" s="284"/>
    </row>
    <row r="581" spans="16:22" ht="12.75">
      <c r="P581" s="284"/>
      <c r="Q581" s="284"/>
      <c r="R581" s="284"/>
      <c r="S581" s="284"/>
      <c r="T581" s="284"/>
      <c r="U581" s="284"/>
      <c r="V581" s="284"/>
    </row>
    <row r="582" spans="16:22" ht="12.75">
      <c r="P582" s="284"/>
      <c r="Q582" s="284"/>
      <c r="R582" s="284"/>
      <c r="S582" s="284"/>
      <c r="T582" s="284"/>
      <c r="U582" s="284"/>
      <c r="V582" s="284"/>
    </row>
    <row r="583" spans="16:22" ht="12.75">
      <c r="P583" s="284"/>
      <c r="Q583" s="284"/>
      <c r="R583" s="284"/>
      <c r="S583" s="284"/>
      <c r="T583" s="284"/>
      <c r="U583" s="284"/>
      <c r="V583" s="284"/>
    </row>
    <row r="584" spans="16:22" ht="12.75">
      <c r="P584" s="284"/>
      <c r="Q584" s="284"/>
      <c r="R584" s="284"/>
      <c r="S584" s="284"/>
      <c r="T584" s="284"/>
      <c r="U584" s="284"/>
      <c r="V584" s="284"/>
    </row>
    <row r="585" spans="16:22" ht="12.75">
      <c r="P585" s="284"/>
      <c r="Q585" s="284"/>
      <c r="R585" s="284"/>
      <c r="S585" s="284"/>
      <c r="T585" s="284"/>
      <c r="U585" s="284"/>
      <c r="V585" s="284"/>
    </row>
    <row r="586" spans="16:22" ht="12.75">
      <c r="P586" s="284"/>
      <c r="Q586" s="284"/>
      <c r="R586" s="284"/>
      <c r="S586" s="284"/>
      <c r="T586" s="284"/>
      <c r="U586" s="284"/>
      <c r="V586" s="284"/>
    </row>
    <row r="587" spans="16:22" ht="12.75">
      <c r="P587" s="284"/>
      <c r="Q587" s="284"/>
      <c r="R587" s="284"/>
      <c r="S587" s="284"/>
      <c r="T587" s="284"/>
      <c r="U587" s="284"/>
      <c r="V587" s="284"/>
    </row>
    <row r="588" spans="16:22" ht="12.75">
      <c r="P588" s="284"/>
      <c r="Q588" s="284"/>
      <c r="R588" s="284"/>
      <c r="S588" s="284"/>
      <c r="T588" s="284"/>
      <c r="U588" s="284"/>
      <c r="V588" s="284"/>
    </row>
    <row r="589" spans="16:22" ht="12.75">
      <c r="P589" s="284"/>
      <c r="Q589" s="284"/>
      <c r="R589" s="284"/>
      <c r="S589" s="284"/>
      <c r="T589" s="284"/>
      <c r="U589" s="284"/>
      <c r="V589" s="284"/>
    </row>
    <row r="590" spans="16:22" ht="12.75">
      <c r="P590" s="284"/>
      <c r="Q590" s="284"/>
      <c r="R590" s="284"/>
      <c r="S590" s="284"/>
      <c r="T590" s="284"/>
      <c r="U590" s="284"/>
      <c r="V590" s="284"/>
    </row>
    <row r="591" spans="16:22" ht="12.75">
      <c r="P591" s="284"/>
      <c r="Q591" s="284"/>
      <c r="R591" s="284"/>
      <c r="S591" s="284"/>
      <c r="T591" s="284"/>
      <c r="U591" s="284"/>
      <c r="V591" s="284"/>
    </row>
    <row r="592" spans="16:22" ht="12.75">
      <c r="P592" s="284"/>
      <c r="Q592" s="284"/>
      <c r="R592" s="284"/>
      <c r="S592" s="284"/>
      <c r="T592" s="284"/>
      <c r="U592" s="284"/>
      <c r="V592" s="284"/>
    </row>
    <row r="593" spans="16:22" ht="12.75">
      <c r="P593" s="284"/>
      <c r="Q593" s="284"/>
      <c r="R593" s="284"/>
      <c r="S593" s="284"/>
      <c r="T593" s="284"/>
      <c r="U593" s="284"/>
      <c r="V593" s="284"/>
    </row>
    <row r="594" spans="16:22" ht="12.75">
      <c r="P594" s="284"/>
      <c r="Q594" s="284"/>
      <c r="R594" s="284"/>
      <c r="S594" s="284"/>
      <c r="T594" s="284"/>
      <c r="U594" s="284"/>
      <c r="V594" s="284"/>
    </row>
    <row r="595" spans="16:22" ht="12.75">
      <c r="P595" s="284"/>
      <c r="Q595" s="284"/>
      <c r="R595" s="284"/>
      <c r="S595" s="284"/>
      <c r="T595" s="284"/>
      <c r="U595" s="284"/>
      <c r="V595" s="284"/>
    </row>
    <row r="596" spans="16:22" ht="12.75">
      <c r="P596" s="284"/>
      <c r="Q596" s="284"/>
      <c r="R596" s="284"/>
      <c r="S596" s="284"/>
      <c r="T596" s="284"/>
      <c r="U596" s="284"/>
      <c r="V596" s="284"/>
    </row>
    <row r="597" spans="16:22" ht="12.75">
      <c r="P597" s="284"/>
      <c r="Q597" s="284"/>
      <c r="R597" s="284"/>
      <c r="S597" s="284"/>
      <c r="T597" s="284"/>
      <c r="U597" s="284"/>
      <c r="V597" s="284"/>
    </row>
    <row r="598" spans="16:22" ht="12.75">
      <c r="P598" s="284"/>
      <c r="Q598" s="284"/>
      <c r="R598" s="284"/>
      <c r="S598" s="284"/>
      <c r="T598" s="284"/>
      <c r="U598" s="284"/>
      <c r="V598" s="284"/>
    </row>
    <row r="599" spans="16:22" ht="12.75">
      <c r="P599" s="284"/>
      <c r="Q599" s="284"/>
      <c r="R599" s="284"/>
      <c r="S599" s="284"/>
      <c r="T599" s="284"/>
      <c r="U599" s="284"/>
      <c r="V599" s="284"/>
    </row>
    <row r="600" spans="16:22" ht="12.75">
      <c r="P600" s="284"/>
      <c r="Q600" s="284"/>
      <c r="R600" s="284"/>
      <c r="S600" s="284"/>
      <c r="T600" s="284"/>
      <c r="U600" s="284"/>
      <c r="V600" s="284"/>
    </row>
    <row r="601" spans="16:22" ht="12.75">
      <c r="P601" s="284"/>
      <c r="Q601" s="284"/>
      <c r="R601" s="284"/>
      <c r="S601" s="284"/>
      <c r="T601" s="284"/>
      <c r="U601" s="284"/>
      <c r="V601" s="284"/>
    </row>
    <row r="602" spans="16:22" ht="12.75">
      <c r="P602" s="284"/>
      <c r="Q602" s="284"/>
      <c r="R602" s="284"/>
      <c r="S602" s="284"/>
      <c r="T602" s="284"/>
      <c r="U602" s="284"/>
      <c r="V602" s="284"/>
    </row>
    <row r="603" spans="16:22" ht="12.75">
      <c r="P603" s="284"/>
      <c r="Q603" s="284"/>
      <c r="R603" s="284"/>
      <c r="S603" s="284"/>
      <c r="T603" s="284"/>
      <c r="U603" s="284"/>
      <c r="V603" s="284"/>
    </row>
    <row r="604" spans="16:22" ht="12.75">
      <c r="P604" s="284"/>
      <c r="Q604" s="284"/>
      <c r="R604" s="284"/>
      <c r="S604" s="284"/>
      <c r="T604" s="284"/>
      <c r="U604" s="284"/>
      <c r="V604" s="284"/>
    </row>
    <row r="605" spans="16:22" ht="12.75">
      <c r="P605" s="284"/>
      <c r="Q605" s="284"/>
      <c r="R605" s="284"/>
      <c r="S605" s="284"/>
      <c r="T605" s="284"/>
      <c r="U605" s="284"/>
      <c r="V605" s="284"/>
    </row>
    <row r="606" spans="16:22" ht="12.75">
      <c r="P606" s="284"/>
      <c r="Q606" s="284"/>
      <c r="R606" s="284"/>
      <c r="S606" s="284"/>
      <c r="T606" s="284"/>
      <c r="U606" s="284"/>
      <c r="V606" s="284"/>
    </row>
    <row r="607" spans="16:22" ht="12.75">
      <c r="P607" s="284"/>
      <c r="Q607" s="284"/>
      <c r="R607" s="284"/>
      <c r="S607" s="284"/>
      <c r="T607" s="284"/>
      <c r="U607" s="284"/>
      <c r="V607" s="284"/>
    </row>
    <row r="608" spans="16:22" ht="12.75">
      <c r="P608" s="284"/>
      <c r="Q608" s="284"/>
      <c r="R608" s="284"/>
      <c r="S608" s="284"/>
      <c r="T608" s="284"/>
      <c r="U608" s="284"/>
      <c r="V608" s="284"/>
    </row>
    <row r="609" spans="16:22" ht="12.75">
      <c r="P609" s="284"/>
      <c r="Q609" s="284"/>
      <c r="R609" s="284"/>
      <c r="S609" s="284"/>
      <c r="T609" s="284"/>
      <c r="U609" s="284"/>
      <c r="V609" s="284"/>
    </row>
    <row r="610" spans="16:22" ht="12.75">
      <c r="P610" s="284"/>
      <c r="Q610" s="284"/>
      <c r="R610" s="284"/>
      <c r="S610" s="284"/>
      <c r="T610" s="284"/>
      <c r="U610" s="284"/>
      <c r="V610" s="284"/>
    </row>
    <row r="611" spans="16:22" ht="12.75">
      <c r="P611" s="284"/>
      <c r="Q611" s="284"/>
      <c r="R611" s="284"/>
      <c r="S611" s="284"/>
      <c r="T611" s="284"/>
      <c r="U611" s="284"/>
      <c r="V611" s="284"/>
    </row>
    <row r="612" spans="16:22" ht="12.75">
      <c r="P612" s="284"/>
      <c r="Q612" s="284"/>
      <c r="R612" s="284"/>
      <c r="S612" s="284"/>
      <c r="T612" s="284"/>
      <c r="U612" s="284"/>
      <c r="V612" s="284"/>
    </row>
    <row r="613" spans="16:22" ht="12.75">
      <c r="P613" s="284"/>
      <c r="Q613" s="284"/>
      <c r="R613" s="284"/>
      <c r="S613" s="284"/>
      <c r="T613" s="284"/>
      <c r="U613" s="284"/>
      <c r="V613" s="284"/>
    </row>
    <row r="614" spans="16:22" ht="12.75">
      <c r="P614" s="284"/>
      <c r="Q614" s="284"/>
      <c r="R614" s="284"/>
      <c r="S614" s="284"/>
      <c r="T614" s="284"/>
      <c r="U614" s="284"/>
      <c r="V614" s="284"/>
    </row>
    <row r="615" spans="16:22" ht="12.75">
      <c r="P615" s="284"/>
      <c r="Q615" s="284"/>
      <c r="R615" s="284"/>
      <c r="S615" s="284"/>
      <c r="T615" s="284"/>
      <c r="U615" s="284"/>
      <c r="V615" s="284"/>
    </row>
    <row r="616" spans="16:22" ht="12.75">
      <c r="P616" s="284"/>
      <c r="Q616" s="284"/>
      <c r="R616" s="284"/>
      <c r="S616" s="284"/>
      <c r="T616" s="284"/>
      <c r="U616" s="284"/>
      <c r="V616" s="284"/>
    </row>
    <row r="617" spans="16:22" ht="12.75">
      <c r="P617" s="284"/>
      <c r="Q617" s="284"/>
      <c r="R617" s="284"/>
      <c r="S617" s="284"/>
      <c r="T617" s="284"/>
      <c r="U617" s="284"/>
      <c r="V617" s="284"/>
    </row>
    <row r="618" spans="16:22" ht="12.75">
      <c r="P618" s="284"/>
      <c r="Q618" s="284"/>
      <c r="R618" s="284"/>
      <c r="S618" s="284"/>
      <c r="T618" s="284"/>
      <c r="U618" s="284"/>
      <c r="V618" s="284"/>
    </row>
    <row r="619" spans="16:22" ht="12.75">
      <c r="P619" s="284"/>
      <c r="Q619" s="284"/>
      <c r="R619" s="284"/>
      <c r="S619" s="284"/>
      <c r="T619" s="284"/>
      <c r="U619" s="284"/>
      <c r="V619" s="284"/>
    </row>
    <row r="620" spans="16:22" ht="12.75">
      <c r="P620" s="284"/>
      <c r="Q620" s="284"/>
      <c r="R620" s="284"/>
      <c r="S620" s="284"/>
      <c r="T620" s="284"/>
      <c r="U620" s="284"/>
      <c r="V620" s="284"/>
    </row>
    <row r="621" spans="16:22" ht="12.75">
      <c r="P621" s="284"/>
      <c r="Q621" s="284"/>
      <c r="R621" s="284"/>
      <c r="S621" s="284"/>
      <c r="T621" s="284"/>
      <c r="U621" s="284"/>
      <c r="V621" s="284"/>
    </row>
    <row r="622" spans="16:22" ht="12.75">
      <c r="P622" s="284"/>
      <c r="Q622" s="284"/>
      <c r="R622" s="284"/>
      <c r="S622" s="284"/>
      <c r="T622" s="284"/>
      <c r="U622" s="284"/>
      <c r="V622" s="284"/>
    </row>
    <row r="623" spans="16:22" ht="12.75">
      <c r="P623" s="284"/>
      <c r="Q623" s="284"/>
      <c r="R623" s="284"/>
      <c r="S623" s="284"/>
      <c r="T623" s="284"/>
      <c r="U623" s="284"/>
      <c r="V623" s="284"/>
    </row>
    <row r="624" spans="16:22" ht="12.75">
      <c r="P624" s="284"/>
      <c r="Q624" s="284"/>
      <c r="R624" s="284"/>
      <c r="S624" s="284"/>
      <c r="T624" s="284"/>
      <c r="U624" s="284"/>
      <c r="V624" s="284"/>
    </row>
    <row r="625" spans="16:22" ht="12.75">
      <c r="P625" s="284"/>
      <c r="Q625" s="284"/>
      <c r="R625" s="284"/>
      <c r="S625" s="284"/>
      <c r="T625" s="284"/>
      <c r="U625" s="284"/>
      <c r="V625" s="284"/>
    </row>
    <row r="626" spans="16:22" ht="12.75">
      <c r="P626" s="284"/>
      <c r="Q626" s="284"/>
      <c r="R626" s="284"/>
      <c r="S626" s="284"/>
      <c r="T626" s="284"/>
      <c r="U626" s="284"/>
      <c r="V626" s="284"/>
    </row>
    <row r="627" spans="16:22" ht="12.75">
      <c r="P627" s="284"/>
      <c r="Q627" s="284"/>
      <c r="R627" s="284"/>
      <c r="S627" s="284"/>
      <c r="T627" s="284"/>
      <c r="U627" s="284"/>
      <c r="V627" s="284"/>
    </row>
    <row r="628" spans="16:22" ht="12.75">
      <c r="P628" s="284"/>
      <c r="Q628" s="284"/>
      <c r="R628" s="284"/>
      <c r="S628" s="284"/>
      <c r="T628" s="284"/>
      <c r="U628" s="284"/>
      <c r="V628" s="284"/>
    </row>
    <row r="629" spans="16:22" ht="12.75">
      <c r="P629" s="284"/>
      <c r="Q629" s="284"/>
      <c r="R629" s="284"/>
      <c r="S629" s="284"/>
      <c r="T629" s="284"/>
      <c r="U629" s="284"/>
      <c r="V629" s="284"/>
    </row>
    <row r="630" spans="16:22" ht="12.75">
      <c r="P630" s="284"/>
      <c r="Q630" s="284"/>
      <c r="R630" s="284"/>
      <c r="S630" s="284"/>
      <c r="T630" s="284"/>
      <c r="U630" s="284"/>
      <c r="V630" s="284"/>
    </row>
    <row r="631" spans="16:22" ht="12.75">
      <c r="P631" s="284"/>
      <c r="Q631" s="284"/>
      <c r="R631" s="284"/>
      <c r="S631" s="284"/>
      <c r="T631" s="284"/>
      <c r="U631" s="284"/>
      <c r="V631" s="284"/>
    </row>
    <row r="632" spans="16:22" ht="12.75">
      <c r="P632" s="284"/>
      <c r="Q632" s="284"/>
      <c r="R632" s="284"/>
      <c r="S632" s="284"/>
      <c r="T632" s="284"/>
      <c r="U632" s="284"/>
      <c r="V632" s="284"/>
    </row>
    <row r="633" spans="16:22" ht="12.75">
      <c r="P633" s="284"/>
      <c r="Q633" s="284"/>
      <c r="R633" s="284"/>
      <c r="S633" s="284"/>
      <c r="T633" s="284"/>
      <c r="U633" s="284"/>
      <c r="V633" s="284"/>
    </row>
    <row r="634" spans="16:22" ht="12.75">
      <c r="P634" s="284"/>
      <c r="Q634" s="284"/>
      <c r="R634" s="284"/>
      <c r="S634" s="284"/>
      <c r="T634" s="284"/>
      <c r="U634" s="284"/>
      <c r="V634" s="284"/>
    </row>
    <row r="635" spans="16:22" ht="12.75">
      <c r="P635" s="284"/>
      <c r="Q635" s="284"/>
      <c r="R635" s="284"/>
      <c r="S635" s="284"/>
      <c r="T635" s="284"/>
      <c r="U635" s="284"/>
      <c r="V635" s="284"/>
    </row>
    <row r="636" spans="16:22" ht="12.75">
      <c r="P636" s="284"/>
      <c r="Q636" s="284"/>
      <c r="R636" s="284"/>
      <c r="S636" s="284"/>
      <c r="T636" s="284"/>
      <c r="U636" s="284"/>
      <c r="V636" s="284"/>
    </row>
    <row r="637" spans="16:22" ht="12.75">
      <c r="P637" s="284"/>
      <c r="Q637" s="284"/>
      <c r="R637" s="284"/>
      <c r="S637" s="284"/>
      <c r="T637" s="284"/>
      <c r="U637" s="284"/>
      <c r="V637" s="284"/>
    </row>
    <row r="638" spans="16:22" ht="12.75">
      <c r="P638" s="284"/>
      <c r="Q638" s="284"/>
      <c r="R638" s="284"/>
      <c r="S638" s="284"/>
      <c r="T638" s="284"/>
      <c r="U638" s="284"/>
      <c r="V638" s="284"/>
    </row>
    <row r="639" spans="16:22" ht="12.75">
      <c r="P639" s="284"/>
      <c r="Q639" s="284"/>
      <c r="R639" s="284"/>
      <c r="S639" s="284"/>
      <c r="T639" s="284"/>
      <c r="U639" s="284"/>
      <c r="V639" s="284"/>
    </row>
    <row r="640" spans="16:22" ht="12.75">
      <c r="P640" s="284"/>
      <c r="Q640" s="284"/>
      <c r="R640" s="284"/>
      <c r="S640" s="284"/>
      <c r="T640" s="284"/>
      <c r="U640" s="284"/>
      <c r="V640" s="284"/>
    </row>
    <row r="641" spans="16:22" ht="12.75">
      <c r="P641" s="284"/>
      <c r="Q641" s="284"/>
      <c r="R641" s="284"/>
      <c r="S641" s="284"/>
      <c r="T641" s="284"/>
      <c r="U641" s="284"/>
      <c r="V641" s="284"/>
    </row>
    <row r="642" spans="16:22" ht="12.75">
      <c r="P642" s="284"/>
      <c r="Q642" s="284"/>
      <c r="R642" s="284"/>
      <c r="S642" s="284"/>
      <c r="T642" s="284"/>
      <c r="U642" s="284"/>
      <c r="V642" s="284"/>
    </row>
    <row r="643" spans="16:22" ht="12.75">
      <c r="P643" s="284"/>
      <c r="Q643" s="284"/>
      <c r="R643" s="284"/>
      <c r="S643" s="284"/>
      <c r="T643" s="284"/>
      <c r="U643" s="284"/>
      <c r="V643" s="284"/>
    </row>
    <row r="644" spans="16:22" ht="12.75">
      <c r="P644" s="284"/>
      <c r="Q644" s="284"/>
      <c r="R644" s="284"/>
      <c r="S644" s="284"/>
      <c r="T644" s="284"/>
      <c r="U644" s="284"/>
      <c r="V644" s="284"/>
    </row>
    <row r="645" spans="16:22" ht="12.75">
      <c r="P645" s="284"/>
      <c r="Q645" s="284"/>
      <c r="R645" s="284"/>
      <c r="S645" s="284"/>
      <c r="T645" s="284"/>
      <c r="U645" s="284"/>
      <c r="V645" s="284"/>
    </row>
    <row r="646" spans="16:22" ht="12.75">
      <c r="P646" s="284"/>
      <c r="Q646" s="284"/>
      <c r="R646" s="284"/>
      <c r="S646" s="284"/>
      <c r="T646" s="284"/>
      <c r="U646" s="284"/>
      <c r="V646" s="284"/>
    </row>
    <row r="647" spans="16:22" ht="12.75">
      <c r="P647" s="284"/>
      <c r="Q647" s="284"/>
      <c r="R647" s="284"/>
      <c r="S647" s="284"/>
      <c r="T647" s="284"/>
      <c r="U647" s="284"/>
      <c r="V647" s="284"/>
    </row>
    <row r="648" spans="16:22" ht="12.75">
      <c r="P648" s="284"/>
      <c r="Q648" s="284"/>
      <c r="R648" s="284"/>
      <c r="S648" s="284"/>
      <c r="T648" s="284"/>
      <c r="U648" s="284"/>
      <c r="V648" s="284"/>
    </row>
    <row r="649" spans="16:22" ht="12.75">
      <c r="P649" s="284"/>
      <c r="Q649" s="284"/>
      <c r="R649" s="284"/>
      <c r="S649" s="284"/>
      <c r="T649" s="284"/>
      <c r="U649" s="284"/>
      <c r="V649" s="284"/>
    </row>
    <row r="650" spans="16:22" ht="12.75">
      <c r="P650" s="284"/>
      <c r="Q650" s="284"/>
      <c r="R650" s="284"/>
      <c r="S650" s="284"/>
      <c r="T650" s="284"/>
      <c r="U650" s="284"/>
      <c r="V650" s="284"/>
    </row>
    <row r="651" spans="16:22" ht="12.75">
      <c r="P651" s="284"/>
      <c r="Q651" s="284"/>
      <c r="R651" s="284"/>
      <c r="S651" s="284"/>
      <c r="T651" s="284"/>
      <c r="U651" s="284"/>
      <c r="V651" s="284"/>
    </row>
    <row r="652" spans="16:22" ht="12.75">
      <c r="P652" s="284"/>
      <c r="Q652" s="284"/>
      <c r="R652" s="284"/>
      <c r="S652" s="284"/>
      <c r="T652" s="284"/>
      <c r="U652" s="284"/>
      <c r="V652" s="284"/>
    </row>
    <row r="653" spans="16:22" ht="12.75">
      <c r="P653" s="284"/>
      <c r="Q653" s="284"/>
      <c r="R653" s="284"/>
      <c r="S653" s="284"/>
      <c r="T653" s="284"/>
      <c r="U653" s="284"/>
      <c r="V653" s="284"/>
    </row>
    <row r="654" spans="16:22" ht="12.75">
      <c r="P654" s="284"/>
      <c r="Q654" s="284"/>
      <c r="R654" s="284"/>
      <c r="S654" s="284"/>
      <c r="T654" s="284"/>
      <c r="U654" s="284"/>
      <c r="V654" s="284"/>
    </row>
    <row r="655" spans="16:22" ht="12.75">
      <c r="P655" s="284"/>
      <c r="Q655" s="284"/>
      <c r="R655" s="284"/>
      <c r="S655" s="284"/>
      <c r="T655" s="284"/>
      <c r="U655" s="284"/>
      <c r="V655" s="284"/>
    </row>
    <row r="656" spans="16:22" ht="12.75">
      <c r="P656" s="284"/>
      <c r="Q656" s="284"/>
      <c r="R656" s="284"/>
      <c r="S656" s="284"/>
      <c r="T656" s="284"/>
      <c r="U656" s="284"/>
      <c r="V656" s="284"/>
    </row>
    <row r="657" spans="16:22" ht="12.75">
      <c r="P657" s="284"/>
      <c r="Q657" s="284"/>
      <c r="R657" s="284"/>
      <c r="S657" s="284"/>
      <c r="T657" s="284"/>
      <c r="U657" s="284"/>
      <c r="V657" s="284"/>
    </row>
    <row r="658" spans="16:22" ht="12.75">
      <c r="P658" s="284"/>
      <c r="Q658" s="284"/>
      <c r="R658" s="284"/>
      <c r="S658" s="284"/>
      <c r="T658" s="284"/>
      <c r="U658" s="284"/>
      <c r="V658" s="284"/>
    </row>
    <row r="659" spans="16:22" ht="12.75">
      <c r="P659" s="284"/>
      <c r="Q659" s="284"/>
      <c r="R659" s="284"/>
      <c r="S659" s="284"/>
      <c r="T659" s="284"/>
      <c r="U659" s="284"/>
      <c r="V659" s="284"/>
    </row>
    <row r="660" spans="16:22" ht="12.75">
      <c r="P660" s="284"/>
      <c r="Q660" s="284"/>
      <c r="R660" s="284"/>
      <c r="S660" s="284"/>
      <c r="T660" s="284"/>
      <c r="U660" s="284"/>
      <c r="V660" s="284"/>
    </row>
    <row r="661" spans="16:22" ht="12.75">
      <c r="P661" s="284"/>
      <c r="Q661" s="284"/>
      <c r="R661" s="284"/>
      <c r="S661" s="284"/>
      <c r="T661" s="284"/>
      <c r="U661" s="284"/>
      <c r="V661" s="284"/>
    </row>
    <row r="662" spans="16:22" ht="12.75">
      <c r="P662" s="284"/>
      <c r="Q662" s="284"/>
      <c r="R662" s="284"/>
      <c r="S662" s="284"/>
      <c r="T662" s="284"/>
      <c r="U662" s="284"/>
      <c r="V662" s="284"/>
    </row>
    <row r="663" spans="16:22" ht="12.75">
      <c r="P663" s="284"/>
      <c r="Q663" s="284"/>
      <c r="R663" s="284"/>
      <c r="S663" s="284"/>
      <c r="T663" s="284"/>
      <c r="U663" s="284"/>
      <c r="V663" s="284"/>
    </row>
    <row r="664" spans="16:22" ht="12.75">
      <c r="P664" s="284"/>
      <c r="Q664" s="284"/>
      <c r="R664" s="284"/>
      <c r="S664" s="284"/>
      <c r="T664" s="284"/>
      <c r="U664" s="284"/>
      <c r="V664" s="284"/>
    </row>
    <row r="665" spans="16:22" ht="12.75">
      <c r="P665" s="284"/>
      <c r="Q665" s="284"/>
      <c r="R665" s="284"/>
      <c r="S665" s="284"/>
      <c r="T665" s="284"/>
      <c r="U665" s="284"/>
      <c r="V665" s="284"/>
    </row>
    <row r="666" spans="16:22" ht="12.75">
      <c r="P666" s="284"/>
      <c r="Q666" s="284"/>
      <c r="R666" s="284"/>
      <c r="S666" s="284"/>
      <c r="T666" s="284"/>
      <c r="U666" s="284"/>
      <c r="V666" s="284"/>
    </row>
    <row r="667" spans="16:22" ht="12.75">
      <c r="P667" s="284"/>
      <c r="Q667" s="284"/>
      <c r="R667" s="284"/>
      <c r="S667" s="284"/>
      <c r="T667" s="284"/>
      <c r="U667" s="284"/>
      <c r="V667" s="284"/>
    </row>
    <row r="668" spans="16:22" ht="12.75">
      <c r="P668" s="284"/>
      <c r="Q668" s="284"/>
      <c r="R668" s="284"/>
      <c r="S668" s="284"/>
      <c r="T668" s="284"/>
      <c r="U668" s="284"/>
      <c r="V668" s="284"/>
    </row>
    <row r="669" spans="16:22" ht="12.75">
      <c r="P669" s="284"/>
      <c r="Q669" s="284"/>
      <c r="R669" s="284"/>
      <c r="S669" s="284"/>
      <c r="T669" s="284"/>
      <c r="U669" s="284"/>
      <c r="V669" s="284"/>
    </row>
    <row r="670" spans="16:22" ht="12.75">
      <c r="P670" s="284"/>
      <c r="Q670" s="284"/>
      <c r="R670" s="284"/>
      <c r="S670" s="284"/>
      <c r="T670" s="284"/>
      <c r="U670" s="284"/>
      <c r="V670" s="284"/>
    </row>
    <row r="671" spans="16:22" ht="12.75">
      <c r="P671" s="284"/>
      <c r="Q671" s="284"/>
      <c r="R671" s="284"/>
      <c r="S671" s="284"/>
      <c r="T671" s="284"/>
      <c r="U671" s="284"/>
      <c r="V671" s="284"/>
    </row>
    <row r="672" spans="16:22" ht="12.75">
      <c r="P672" s="284"/>
      <c r="Q672" s="284"/>
      <c r="R672" s="284"/>
      <c r="S672" s="284"/>
      <c r="T672" s="284"/>
      <c r="U672" s="284"/>
      <c r="V672" s="284"/>
    </row>
    <row r="673" spans="16:22" ht="12.75">
      <c r="P673" s="284"/>
      <c r="Q673" s="284"/>
      <c r="R673" s="284"/>
      <c r="S673" s="284"/>
      <c r="T673" s="284"/>
      <c r="U673" s="284"/>
      <c r="V673" s="284"/>
    </row>
    <row r="674" spans="16:22" ht="12.75">
      <c r="P674" s="284"/>
      <c r="Q674" s="284"/>
      <c r="R674" s="284"/>
      <c r="S674" s="284"/>
      <c r="T674" s="284"/>
      <c r="U674" s="284"/>
      <c r="V674" s="284"/>
    </row>
    <row r="675" spans="16:22" ht="12.75">
      <c r="P675" s="284"/>
      <c r="Q675" s="284"/>
      <c r="R675" s="284"/>
      <c r="S675" s="284"/>
      <c r="T675" s="284"/>
      <c r="U675" s="284"/>
      <c r="V675" s="284"/>
    </row>
    <row r="676" spans="16:22" ht="12.75">
      <c r="P676" s="284"/>
      <c r="Q676" s="284"/>
      <c r="R676" s="284"/>
      <c r="S676" s="284"/>
      <c r="T676" s="284"/>
      <c r="U676" s="284"/>
      <c r="V676" s="284"/>
    </row>
    <row r="677" spans="16:22" ht="12.75">
      <c r="P677" s="284"/>
      <c r="Q677" s="284"/>
      <c r="R677" s="284"/>
      <c r="S677" s="284"/>
      <c r="T677" s="284"/>
      <c r="U677" s="284"/>
      <c r="V677" s="284"/>
    </row>
    <row r="678" spans="16:22" ht="12.75">
      <c r="P678" s="284"/>
      <c r="Q678" s="284"/>
      <c r="R678" s="284"/>
      <c r="S678" s="284"/>
      <c r="T678" s="284"/>
      <c r="U678" s="284"/>
      <c r="V678" s="284"/>
    </row>
    <row r="679" spans="16:22" ht="12.75">
      <c r="P679" s="284"/>
      <c r="Q679" s="284"/>
      <c r="R679" s="284"/>
      <c r="S679" s="284"/>
      <c r="T679" s="284"/>
      <c r="U679" s="284"/>
      <c r="V679" s="284"/>
    </row>
    <row r="680" spans="16:22" ht="12.75">
      <c r="P680" s="284"/>
      <c r="Q680" s="284"/>
      <c r="R680" s="284"/>
      <c r="S680" s="284"/>
      <c r="T680" s="284"/>
      <c r="U680" s="284"/>
      <c r="V680" s="284"/>
    </row>
    <row r="681" spans="16:22" ht="12.75">
      <c r="P681" s="284"/>
      <c r="Q681" s="284"/>
      <c r="R681" s="284"/>
      <c r="S681" s="284"/>
      <c r="T681" s="284"/>
      <c r="U681" s="284"/>
      <c r="V681" s="284"/>
    </row>
    <row r="682" spans="16:22" ht="12.75">
      <c r="P682" s="284"/>
      <c r="Q682" s="284"/>
      <c r="R682" s="284"/>
      <c r="S682" s="284"/>
      <c r="T682" s="284"/>
      <c r="U682" s="284"/>
      <c r="V682" s="284"/>
    </row>
    <row r="683" spans="16:22" ht="12.75">
      <c r="P683" s="284"/>
      <c r="Q683" s="284"/>
      <c r="R683" s="284"/>
      <c r="S683" s="284"/>
      <c r="T683" s="284"/>
      <c r="U683" s="284"/>
      <c r="V683" s="284"/>
    </row>
    <row r="684" spans="16:22" ht="12.75">
      <c r="P684" s="284"/>
      <c r="Q684" s="284"/>
      <c r="R684" s="284"/>
      <c r="S684" s="284"/>
      <c r="T684" s="284"/>
      <c r="U684" s="284"/>
      <c r="V684" s="284"/>
    </row>
    <row r="685" spans="16:22" ht="12.75">
      <c r="P685" s="284"/>
      <c r="Q685" s="284"/>
      <c r="R685" s="284"/>
      <c r="S685" s="284"/>
      <c r="T685" s="284"/>
      <c r="U685" s="284"/>
      <c r="V685" s="284"/>
    </row>
    <row r="686" spans="16:22" ht="12.75">
      <c r="P686" s="284"/>
      <c r="Q686" s="284"/>
      <c r="R686" s="284"/>
      <c r="S686" s="284"/>
      <c r="T686" s="284"/>
      <c r="U686" s="284"/>
      <c r="V686" s="284"/>
    </row>
    <row r="687" spans="16:22" ht="12.75">
      <c r="P687" s="284"/>
      <c r="Q687" s="284"/>
      <c r="R687" s="284"/>
      <c r="S687" s="284"/>
      <c r="T687" s="284"/>
      <c r="U687" s="284"/>
      <c r="V687" s="284"/>
    </row>
    <row r="688" spans="16:22" ht="12.75">
      <c r="P688" s="284"/>
      <c r="Q688" s="284"/>
      <c r="R688" s="284"/>
      <c r="S688" s="284"/>
      <c r="T688" s="284"/>
      <c r="U688" s="284"/>
      <c r="V688" s="284"/>
    </row>
    <row r="689" spans="16:22" ht="12.75">
      <c r="P689" s="284"/>
      <c r="Q689" s="284"/>
      <c r="R689" s="284"/>
      <c r="S689" s="284"/>
      <c r="T689" s="284"/>
      <c r="U689" s="284"/>
      <c r="V689" s="284"/>
    </row>
    <row r="690" spans="16:22" ht="12.75">
      <c r="P690" s="284"/>
      <c r="Q690" s="284"/>
      <c r="R690" s="284"/>
      <c r="S690" s="284"/>
      <c r="T690" s="284"/>
      <c r="U690" s="284"/>
      <c r="V690" s="284"/>
    </row>
    <row r="691" spans="16:22" ht="12.75">
      <c r="P691" s="284"/>
      <c r="Q691" s="284"/>
      <c r="R691" s="284"/>
      <c r="S691" s="284"/>
      <c r="T691" s="284"/>
      <c r="U691" s="284"/>
      <c r="V691" s="284"/>
    </row>
    <row r="692" spans="16:22" ht="12.75">
      <c r="P692" s="284"/>
      <c r="Q692" s="284"/>
      <c r="R692" s="284"/>
      <c r="S692" s="284"/>
      <c r="T692" s="284"/>
      <c r="U692" s="284"/>
      <c r="V692" s="284"/>
    </row>
    <row r="693" spans="16:22" ht="12.75">
      <c r="P693" s="284"/>
      <c r="Q693" s="284"/>
      <c r="R693" s="284"/>
      <c r="S693" s="284"/>
      <c r="T693" s="284"/>
      <c r="U693" s="284"/>
      <c r="V693" s="284"/>
    </row>
    <row r="694" spans="16:22" ht="12.75">
      <c r="P694" s="284"/>
      <c r="Q694" s="284"/>
      <c r="R694" s="284"/>
      <c r="S694" s="284"/>
      <c r="T694" s="284"/>
      <c r="U694" s="284"/>
      <c r="V694" s="284"/>
    </row>
    <row r="695" spans="16:22" ht="12.75">
      <c r="P695" s="284"/>
      <c r="Q695" s="284"/>
      <c r="R695" s="284"/>
      <c r="S695" s="284"/>
      <c r="T695" s="284"/>
      <c r="U695" s="284"/>
      <c r="V695" s="284"/>
    </row>
    <row r="696" spans="16:22" ht="12.75">
      <c r="P696" s="284"/>
      <c r="Q696" s="284"/>
      <c r="R696" s="284"/>
      <c r="S696" s="284"/>
      <c r="T696" s="284"/>
      <c r="U696" s="284"/>
      <c r="V696" s="284"/>
    </row>
    <row r="697" spans="16:22" ht="12.75">
      <c r="P697" s="284"/>
      <c r="Q697" s="284"/>
      <c r="R697" s="284"/>
      <c r="S697" s="284"/>
      <c r="T697" s="284"/>
      <c r="U697" s="284"/>
      <c r="V697" s="284"/>
    </row>
    <row r="698" spans="16:22" ht="12.75">
      <c r="P698" s="284"/>
      <c r="Q698" s="284"/>
      <c r="R698" s="284"/>
      <c r="S698" s="284"/>
      <c r="T698" s="284"/>
      <c r="U698" s="284"/>
      <c r="V698" s="284"/>
    </row>
    <row r="699" spans="16:22" ht="12.75">
      <c r="P699" s="284"/>
      <c r="Q699" s="284"/>
      <c r="R699" s="284"/>
      <c r="S699" s="284"/>
      <c r="T699" s="284"/>
      <c r="U699" s="284"/>
      <c r="V699" s="284"/>
    </row>
    <row r="700" spans="16:22" ht="12.75">
      <c r="P700" s="284"/>
      <c r="Q700" s="284"/>
      <c r="R700" s="284"/>
      <c r="S700" s="284"/>
      <c r="T700" s="284"/>
      <c r="U700" s="284"/>
      <c r="V700" s="284"/>
    </row>
    <row r="701" spans="16:22" ht="12.75">
      <c r="P701" s="284"/>
      <c r="Q701" s="284"/>
      <c r="R701" s="284"/>
      <c r="S701" s="284"/>
      <c r="T701" s="284"/>
      <c r="U701" s="284"/>
      <c r="V701" s="284"/>
    </row>
    <row r="702" spans="16:22" ht="12.75">
      <c r="P702" s="284"/>
      <c r="Q702" s="284"/>
      <c r="R702" s="284"/>
      <c r="S702" s="284"/>
      <c r="T702" s="284"/>
      <c r="U702" s="284"/>
      <c r="V702" s="284"/>
    </row>
    <row r="703" spans="16:22" ht="12.75">
      <c r="P703" s="284"/>
      <c r="Q703" s="284"/>
      <c r="R703" s="284"/>
      <c r="S703" s="284"/>
      <c r="T703" s="284"/>
      <c r="U703" s="284"/>
      <c r="V703" s="284"/>
    </row>
    <row r="704" spans="16:22" ht="12.75">
      <c r="P704" s="284"/>
      <c r="Q704" s="284"/>
      <c r="R704" s="284"/>
      <c r="S704" s="284"/>
      <c r="T704" s="284"/>
      <c r="U704" s="284"/>
      <c r="V704" s="284"/>
    </row>
    <row r="705" spans="16:22" ht="12.75">
      <c r="P705" s="284"/>
      <c r="Q705" s="284"/>
      <c r="R705" s="284"/>
      <c r="S705" s="284"/>
      <c r="T705" s="284"/>
      <c r="U705" s="284"/>
      <c r="V705" s="284"/>
    </row>
    <row r="706" spans="16:22" ht="12.75">
      <c r="P706" s="284"/>
      <c r="Q706" s="284"/>
      <c r="R706" s="284"/>
      <c r="S706" s="284"/>
      <c r="T706" s="284"/>
      <c r="U706" s="284"/>
      <c r="V706" s="284"/>
    </row>
    <row r="707" spans="16:22" ht="12.75">
      <c r="P707" s="284"/>
      <c r="Q707" s="284"/>
      <c r="R707" s="284"/>
      <c r="S707" s="284"/>
      <c r="T707" s="284"/>
      <c r="U707" s="284"/>
      <c r="V707" s="284"/>
    </row>
    <row r="708" spans="16:22" ht="12.75">
      <c r="P708" s="284"/>
      <c r="Q708" s="284"/>
      <c r="R708" s="284"/>
      <c r="S708" s="284"/>
      <c r="T708" s="284"/>
      <c r="U708" s="284"/>
      <c r="V708" s="284"/>
    </row>
    <row r="709" spans="16:22" ht="12.75">
      <c r="P709" s="284"/>
      <c r="Q709" s="284"/>
      <c r="R709" s="284"/>
      <c r="S709" s="284"/>
      <c r="T709" s="284"/>
      <c r="U709" s="284"/>
      <c r="V709" s="284"/>
    </row>
    <row r="710" spans="16:22" ht="12.75">
      <c r="P710" s="284"/>
      <c r="Q710" s="284"/>
      <c r="R710" s="284"/>
      <c r="S710" s="284"/>
      <c r="T710" s="284"/>
      <c r="U710" s="284"/>
      <c r="V710" s="284"/>
    </row>
    <row r="711" spans="16:22" ht="12.75">
      <c r="P711" s="284"/>
      <c r="Q711" s="284"/>
      <c r="R711" s="284"/>
      <c r="S711" s="284"/>
      <c r="T711" s="284"/>
      <c r="U711" s="284"/>
      <c r="V711" s="284"/>
    </row>
    <row r="712" spans="16:22" ht="12.75">
      <c r="P712" s="284"/>
      <c r="Q712" s="284"/>
      <c r="R712" s="284"/>
      <c r="S712" s="284"/>
      <c r="T712" s="284"/>
      <c r="U712" s="284"/>
      <c r="V712" s="284"/>
    </row>
    <row r="713" spans="16:22" ht="12.75">
      <c r="P713" s="284"/>
      <c r="Q713" s="284"/>
      <c r="R713" s="284"/>
      <c r="S713" s="284"/>
      <c r="T713" s="284"/>
      <c r="U713" s="284"/>
      <c r="V713" s="284"/>
    </row>
    <row r="714" spans="16:22" ht="12.75">
      <c r="P714" s="284"/>
      <c r="Q714" s="284"/>
      <c r="R714" s="284"/>
      <c r="S714" s="284"/>
      <c r="T714" s="284"/>
      <c r="U714" s="284"/>
      <c r="V714" s="284"/>
    </row>
    <row r="715" spans="16:22" ht="12.75">
      <c r="P715" s="284"/>
      <c r="Q715" s="284"/>
      <c r="R715" s="284"/>
      <c r="S715" s="284"/>
      <c r="T715" s="284"/>
      <c r="U715" s="284"/>
      <c r="V715" s="284"/>
    </row>
    <row r="716" spans="16:22" ht="12.75">
      <c r="P716" s="284"/>
      <c r="Q716" s="284"/>
      <c r="R716" s="284"/>
      <c r="S716" s="284"/>
      <c r="T716" s="284"/>
      <c r="U716" s="284"/>
      <c r="V716" s="284"/>
    </row>
    <row r="717" spans="16:22" ht="12.75">
      <c r="P717" s="284"/>
      <c r="Q717" s="284"/>
      <c r="R717" s="284"/>
      <c r="S717" s="284"/>
      <c r="T717" s="284"/>
      <c r="U717" s="284"/>
      <c r="V717" s="284"/>
    </row>
    <row r="718" spans="16:22" ht="12.75">
      <c r="P718" s="284"/>
      <c r="Q718" s="284"/>
      <c r="R718" s="284"/>
      <c r="S718" s="284"/>
      <c r="T718" s="284"/>
      <c r="U718" s="284"/>
      <c r="V718" s="284"/>
    </row>
    <row r="719" spans="16:22" ht="12.75">
      <c r="P719" s="284"/>
      <c r="Q719" s="284"/>
      <c r="R719" s="284"/>
      <c r="S719" s="284"/>
      <c r="T719" s="284"/>
      <c r="U719" s="284"/>
      <c r="V719" s="284"/>
    </row>
    <row r="720" spans="16:22" ht="12.75">
      <c r="P720" s="284"/>
      <c r="Q720" s="284"/>
      <c r="R720" s="284"/>
      <c r="S720" s="284"/>
      <c r="T720" s="284"/>
      <c r="U720" s="284"/>
      <c r="V720" s="284"/>
    </row>
    <row r="721" spans="16:22" ht="12.75">
      <c r="P721" s="284"/>
      <c r="Q721" s="284"/>
      <c r="R721" s="284"/>
      <c r="S721" s="284"/>
      <c r="T721" s="284"/>
      <c r="U721" s="284"/>
      <c r="V721" s="284"/>
    </row>
    <row r="722" spans="16:22" ht="12.75">
      <c r="P722" s="284"/>
      <c r="Q722" s="284"/>
      <c r="R722" s="284"/>
      <c r="S722" s="284"/>
      <c r="T722" s="284"/>
      <c r="U722" s="284"/>
      <c r="V722" s="284"/>
    </row>
    <row r="723" spans="16:22" ht="12.75">
      <c r="P723" s="284"/>
      <c r="Q723" s="284"/>
      <c r="R723" s="284"/>
      <c r="S723" s="284"/>
      <c r="T723" s="284"/>
      <c r="U723" s="284"/>
      <c r="V723" s="284"/>
    </row>
    <row r="724" spans="16:22" ht="12.75">
      <c r="P724" s="284"/>
      <c r="Q724" s="284"/>
      <c r="R724" s="284"/>
      <c r="S724" s="284"/>
      <c r="T724" s="284"/>
      <c r="U724" s="284"/>
      <c r="V724" s="284"/>
    </row>
    <row r="725" spans="16:22" ht="12.75">
      <c r="P725" s="284"/>
      <c r="Q725" s="284"/>
      <c r="R725" s="284"/>
      <c r="S725" s="284"/>
      <c r="T725" s="284"/>
      <c r="U725" s="284"/>
      <c r="V725" s="284"/>
    </row>
    <row r="726" spans="16:22" ht="12.75">
      <c r="P726" s="284"/>
      <c r="Q726" s="284"/>
      <c r="R726" s="284"/>
      <c r="S726" s="284"/>
      <c r="T726" s="284"/>
      <c r="U726" s="284"/>
      <c r="V726" s="284"/>
    </row>
    <row r="727" spans="16:22" ht="12.75">
      <c r="P727" s="284"/>
      <c r="Q727" s="284"/>
      <c r="R727" s="284"/>
      <c r="S727" s="284"/>
      <c r="T727" s="284"/>
      <c r="U727" s="284"/>
      <c r="V727" s="284"/>
    </row>
    <row r="728" spans="16:22" ht="12.75">
      <c r="P728" s="284"/>
      <c r="Q728" s="284"/>
      <c r="R728" s="284"/>
      <c r="S728" s="284"/>
      <c r="T728" s="284"/>
      <c r="U728" s="284"/>
      <c r="V728" s="284"/>
    </row>
    <row r="729" spans="16:22" ht="12.75">
      <c r="P729" s="284"/>
      <c r="Q729" s="284"/>
      <c r="R729" s="284"/>
      <c r="S729" s="284"/>
      <c r="T729" s="284"/>
      <c r="U729" s="284"/>
      <c r="V729" s="284"/>
    </row>
    <row r="730" spans="16:22" ht="12.75">
      <c r="P730" s="284"/>
      <c r="Q730" s="284"/>
      <c r="R730" s="284"/>
      <c r="S730" s="284"/>
      <c r="T730" s="284"/>
      <c r="U730" s="284"/>
      <c r="V730" s="284"/>
    </row>
    <row r="731" spans="16:22" ht="12.75">
      <c r="P731" s="284"/>
      <c r="Q731" s="284"/>
      <c r="R731" s="284"/>
      <c r="S731" s="284"/>
      <c r="T731" s="284"/>
      <c r="U731" s="284"/>
      <c r="V731" s="284"/>
    </row>
    <row r="732" spans="16:22" ht="12.75">
      <c r="P732" s="284"/>
      <c r="Q732" s="284"/>
      <c r="R732" s="284"/>
      <c r="S732" s="284"/>
      <c r="T732" s="284"/>
      <c r="U732" s="284"/>
      <c r="V732" s="284"/>
    </row>
    <row r="733" spans="16:22" ht="12.75">
      <c r="P733" s="284"/>
      <c r="Q733" s="284"/>
      <c r="R733" s="284"/>
      <c r="S733" s="284"/>
      <c r="T733" s="284"/>
      <c r="U733" s="284"/>
      <c r="V733" s="284"/>
    </row>
    <row r="734" spans="16:22" ht="12.75">
      <c r="P734" s="284"/>
      <c r="Q734" s="284"/>
      <c r="R734" s="284"/>
      <c r="S734" s="284"/>
      <c r="T734" s="284"/>
      <c r="U734" s="284"/>
      <c r="V734" s="284"/>
    </row>
    <row r="735" spans="16:22" ht="12.75">
      <c r="P735" s="284"/>
      <c r="Q735" s="284"/>
      <c r="R735" s="284"/>
      <c r="S735" s="284"/>
      <c r="T735" s="284"/>
      <c r="U735" s="284"/>
      <c r="V735" s="284"/>
    </row>
    <row r="736" spans="16:22" ht="12.75">
      <c r="P736" s="284"/>
      <c r="Q736" s="284"/>
      <c r="R736" s="284"/>
      <c r="S736" s="284"/>
      <c r="T736" s="284"/>
      <c r="U736" s="284"/>
      <c r="V736" s="284"/>
    </row>
    <row r="737" spans="16:22" ht="12.75">
      <c r="P737" s="284"/>
      <c r="Q737" s="284"/>
      <c r="R737" s="284"/>
      <c r="S737" s="284"/>
      <c r="T737" s="284"/>
      <c r="U737" s="284"/>
      <c r="V737" s="284"/>
    </row>
    <row r="738" spans="16:22" ht="12.75">
      <c r="P738" s="284"/>
      <c r="Q738" s="284"/>
      <c r="R738" s="284"/>
      <c r="S738" s="284"/>
      <c r="T738" s="284"/>
      <c r="U738" s="284"/>
      <c r="V738" s="284"/>
    </row>
    <row r="739" spans="16:22" ht="12.75">
      <c r="P739" s="284"/>
      <c r="Q739" s="284"/>
      <c r="R739" s="284"/>
      <c r="S739" s="284"/>
      <c r="T739" s="284"/>
      <c r="U739" s="284"/>
      <c r="V739" s="284"/>
    </row>
    <row r="740" spans="16:22" ht="12.75">
      <c r="P740" s="284"/>
      <c r="Q740" s="284"/>
      <c r="R740" s="284"/>
      <c r="S740" s="284"/>
      <c r="T740" s="284"/>
      <c r="U740" s="284"/>
      <c r="V740" s="284"/>
    </row>
    <row r="741" spans="16:22" ht="12.75">
      <c r="P741" s="284"/>
      <c r="Q741" s="284"/>
      <c r="R741" s="284"/>
      <c r="S741" s="284"/>
      <c r="T741" s="284"/>
      <c r="U741" s="284"/>
      <c r="V741" s="284"/>
    </row>
    <row r="742" spans="16:22" ht="12.75">
      <c r="P742" s="284"/>
      <c r="Q742" s="284"/>
      <c r="R742" s="284"/>
      <c r="S742" s="284"/>
      <c r="T742" s="284"/>
      <c r="U742" s="284"/>
      <c r="V742" s="284"/>
    </row>
    <row r="743" spans="16:22" ht="12.75">
      <c r="P743" s="284"/>
      <c r="Q743" s="284"/>
      <c r="R743" s="284"/>
      <c r="S743" s="284"/>
      <c r="T743" s="284"/>
      <c r="U743" s="284"/>
      <c r="V743" s="284"/>
    </row>
    <row r="744" spans="16:22" ht="12.75">
      <c r="P744" s="284"/>
      <c r="Q744" s="284"/>
      <c r="R744" s="284"/>
      <c r="S744" s="284"/>
      <c r="T744" s="284"/>
      <c r="U744" s="284"/>
      <c r="V744" s="284"/>
    </row>
    <row r="745" spans="16:22" ht="12.75">
      <c r="P745" s="284"/>
      <c r="Q745" s="284"/>
      <c r="R745" s="284"/>
      <c r="S745" s="284"/>
      <c r="T745" s="284"/>
      <c r="U745" s="284"/>
      <c r="V745" s="284"/>
    </row>
    <row r="746" spans="16:22" ht="12.75">
      <c r="P746" s="284"/>
      <c r="Q746" s="284"/>
      <c r="R746" s="284"/>
      <c r="S746" s="284"/>
      <c r="T746" s="284"/>
      <c r="U746" s="284"/>
      <c r="V746" s="284"/>
    </row>
    <row r="747" spans="16:22" ht="12.75">
      <c r="P747" s="284"/>
      <c r="Q747" s="284"/>
      <c r="R747" s="284"/>
      <c r="S747" s="284"/>
      <c r="T747" s="284"/>
      <c r="U747" s="284"/>
      <c r="V747" s="284"/>
    </row>
    <row r="748" spans="16:22" ht="12.75">
      <c r="P748" s="284"/>
      <c r="Q748" s="284"/>
      <c r="R748" s="284"/>
      <c r="S748" s="284"/>
      <c r="T748" s="284"/>
      <c r="U748" s="284"/>
      <c r="V748" s="284"/>
    </row>
    <row r="749" spans="16:22" ht="12.75">
      <c r="P749" s="284"/>
      <c r="Q749" s="284"/>
      <c r="R749" s="284"/>
      <c r="S749" s="284"/>
      <c r="T749" s="284"/>
      <c r="U749" s="284"/>
      <c r="V749" s="284"/>
    </row>
    <row r="750" spans="16:22" ht="12.75">
      <c r="P750" s="284"/>
      <c r="Q750" s="284"/>
      <c r="R750" s="284"/>
      <c r="S750" s="284"/>
      <c r="T750" s="284"/>
      <c r="U750" s="284"/>
      <c r="V750" s="284"/>
    </row>
    <row r="751" spans="16:22" ht="12.75">
      <c r="P751" s="284"/>
      <c r="Q751" s="284"/>
      <c r="R751" s="284"/>
      <c r="S751" s="284"/>
      <c r="T751" s="284"/>
      <c r="U751" s="284"/>
      <c r="V751" s="284"/>
    </row>
    <row r="752" spans="16:22" ht="12.75">
      <c r="P752" s="284"/>
      <c r="Q752" s="284"/>
      <c r="R752" s="284"/>
      <c r="S752" s="284"/>
      <c r="T752" s="284"/>
      <c r="U752" s="284"/>
      <c r="V752" s="284"/>
    </row>
    <row r="753" spans="16:22" ht="12.75">
      <c r="P753" s="284"/>
      <c r="Q753" s="284"/>
      <c r="R753" s="284"/>
      <c r="S753" s="284"/>
      <c r="T753" s="284"/>
      <c r="U753" s="284"/>
      <c r="V753" s="284"/>
    </row>
    <row r="754" spans="16:22" ht="12.75">
      <c r="P754" s="284"/>
      <c r="Q754" s="284"/>
      <c r="R754" s="284"/>
      <c r="S754" s="284"/>
      <c r="T754" s="284"/>
      <c r="U754" s="284"/>
      <c r="V754" s="284"/>
    </row>
    <row r="755" spans="16:22" ht="12.75">
      <c r="P755" s="284"/>
      <c r="Q755" s="284"/>
      <c r="R755" s="284"/>
      <c r="S755" s="284"/>
      <c r="T755" s="284"/>
      <c r="U755" s="284"/>
      <c r="V755" s="284"/>
    </row>
    <row r="756" spans="16:22" ht="12.75">
      <c r="P756" s="284"/>
      <c r="Q756" s="284"/>
      <c r="R756" s="284"/>
      <c r="S756" s="284"/>
      <c r="T756" s="284"/>
      <c r="U756" s="284"/>
      <c r="V756" s="284"/>
    </row>
    <row r="757" spans="16:22" ht="12.75">
      <c r="P757" s="284"/>
      <c r="Q757" s="284"/>
      <c r="R757" s="284"/>
      <c r="S757" s="284"/>
      <c r="T757" s="284"/>
      <c r="U757" s="284"/>
      <c r="V757" s="284"/>
    </row>
    <row r="758" spans="16:22" ht="12.75">
      <c r="P758" s="284"/>
      <c r="Q758" s="284"/>
      <c r="R758" s="284"/>
      <c r="S758" s="284"/>
      <c r="T758" s="284"/>
      <c r="U758" s="284"/>
      <c r="V758" s="284"/>
    </row>
    <row r="759" spans="16:22" ht="12.75">
      <c r="P759" s="284"/>
      <c r="Q759" s="284"/>
      <c r="R759" s="284"/>
      <c r="S759" s="284"/>
      <c r="T759" s="284"/>
      <c r="U759" s="284"/>
      <c r="V759" s="284"/>
    </row>
    <row r="760" spans="16:22" ht="12.75">
      <c r="P760" s="284"/>
      <c r="Q760" s="284"/>
      <c r="R760" s="284"/>
      <c r="S760" s="284"/>
      <c r="T760" s="284"/>
      <c r="U760" s="284"/>
      <c r="V760" s="284"/>
    </row>
    <row r="761" spans="16:22" ht="12.75">
      <c r="P761" s="284"/>
      <c r="Q761" s="284"/>
      <c r="R761" s="284"/>
      <c r="S761" s="284"/>
      <c r="T761" s="284"/>
      <c r="U761" s="284"/>
      <c r="V761" s="284"/>
    </row>
    <row r="762" spans="16:22" ht="12.75">
      <c r="P762" s="284"/>
      <c r="Q762" s="284"/>
      <c r="R762" s="284"/>
      <c r="S762" s="284"/>
      <c r="T762" s="284"/>
      <c r="U762" s="284"/>
      <c r="V762" s="284"/>
    </row>
    <row r="763" spans="16:22" ht="12.75">
      <c r="P763" s="284"/>
      <c r="Q763" s="284"/>
      <c r="R763" s="284"/>
      <c r="S763" s="284"/>
      <c r="T763" s="284"/>
      <c r="U763" s="284"/>
      <c r="V763" s="284"/>
    </row>
    <row r="764" spans="16:22" ht="12.75">
      <c r="P764" s="284"/>
      <c r="Q764" s="284"/>
      <c r="R764" s="284"/>
      <c r="S764" s="284"/>
      <c r="T764" s="284"/>
      <c r="U764" s="284"/>
      <c r="V764" s="284"/>
    </row>
    <row r="765" spans="16:22" ht="12.75">
      <c r="P765" s="284"/>
      <c r="Q765" s="284"/>
      <c r="R765" s="284"/>
      <c r="S765" s="284"/>
      <c r="T765" s="284"/>
      <c r="U765" s="284"/>
      <c r="V765" s="284"/>
    </row>
    <row r="766" spans="16:22" ht="12.75">
      <c r="P766" s="284"/>
      <c r="Q766" s="284"/>
      <c r="R766" s="284"/>
      <c r="S766" s="284"/>
      <c r="T766" s="284"/>
      <c r="U766" s="284"/>
      <c r="V766" s="284"/>
    </row>
    <row r="767" spans="16:22" ht="12.75">
      <c r="P767" s="284"/>
      <c r="Q767" s="284"/>
      <c r="R767" s="284"/>
      <c r="S767" s="284"/>
      <c r="T767" s="284"/>
      <c r="U767" s="284"/>
      <c r="V767" s="284"/>
    </row>
    <row r="768" spans="16:22" ht="12.75">
      <c r="P768" s="284"/>
      <c r="Q768" s="284"/>
      <c r="R768" s="284"/>
      <c r="S768" s="284"/>
      <c r="T768" s="284"/>
      <c r="U768" s="284"/>
      <c r="V768" s="284"/>
    </row>
    <row r="769" spans="16:22" ht="12.75">
      <c r="P769" s="284"/>
      <c r="Q769" s="284"/>
      <c r="R769" s="284"/>
      <c r="S769" s="284"/>
      <c r="T769" s="284"/>
      <c r="U769" s="284"/>
      <c r="V769" s="284"/>
    </row>
    <row r="770" spans="16:22" ht="12.75">
      <c r="P770" s="284"/>
      <c r="Q770" s="284"/>
      <c r="R770" s="284"/>
      <c r="S770" s="284"/>
      <c r="T770" s="284"/>
      <c r="U770" s="284"/>
      <c r="V770" s="284"/>
    </row>
    <row r="771" spans="16:22" ht="12.75">
      <c r="P771" s="284"/>
      <c r="Q771" s="284"/>
      <c r="R771" s="284"/>
      <c r="S771" s="284"/>
      <c r="T771" s="284"/>
      <c r="U771" s="284"/>
      <c r="V771" s="284"/>
    </row>
    <row r="772" spans="16:22" ht="12.75">
      <c r="P772" s="284"/>
      <c r="Q772" s="284"/>
      <c r="R772" s="284"/>
      <c r="S772" s="284"/>
      <c r="T772" s="284"/>
      <c r="U772" s="284"/>
      <c r="V772" s="284"/>
    </row>
    <row r="773" spans="16:22" ht="12.75">
      <c r="P773" s="284"/>
      <c r="Q773" s="284"/>
      <c r="R773" s="284"/>
      <c r="S773" s="284"/>
      <c r="T773" s="284"/>
      <c r="U773" s="284"/>
      <c r="V773" s="284"/>
    </row>
    <row r="774" spans="16:22" ht="12.75">
      <c r="P774" s="284"/>
      <c r="Q774" s="284"/>
      <c r="R774" s="284"/>
      <c r="S774" s="284"/>
      <c r="T774" s="284"/>
      <c r="U774" s="284"/>
      <c r="V774" s="284"/>
    </row>
    <row r="775" spans="16:22" ht="12.75">
      <c r="P775" s="284"/>
      <c r="Q775" s="284"/>
      <c r="R775" s="284"/>
      <c r="S775" s="284"/>
      <c r="T775" s="284"/>
      <c r="U775" s="284"/>
      <c r="V775" s="284"/>
    </row>
    <row r="776" spans="16:22" ht="12.75">
      <c r="P776" s="284"/>
      <c r="Q776" s="284"/>
      <c r="R776" s="284"/>
      <c r="S776" s="284"/>
      <c r="T776" s="284"/>
      <c r="U776" s="284"/>
      <c r="V776" s="284"/>
    </row>
    <row r="777" spans="16:22" ht="12.75">
      <c r="P777" s="284"/>
      <c r="Q777" s="284"/>
      <c r="R777" s="284"/>
      <c r="S777" s="284"/>
      <c r="T777" s="284"/>
      <c r="U777" s="284"/>
      <c r="V777" s="284"/>
    </row>
    <row r="778" spans="16:22" ht="12.75">
      <c r="P778" s="284"/>
      <c r="Q778" s="284"/>
      <c r="R778" s="284"/>
      <c r="S778" s="284"/>
      <c r="T778" s="284"/>
      <c r="U778" s="284"/>
      <c r="V778" s="284"/>
    </row>
    <row r="779" spans="16:22" ht="12.75">
      <c r="P779" s="284"/>
      <c r="Q779" s="284"/>
      <c r="R779" s="284"/>
      <c r="S779" s="284"/>
      <c r="T779" s="284"/>
      <c r="U779" s="284"/>
      <c r="V779" s="284"/>
    </row>
    <row r="780" spans="16:22" ht="12.75">
      <c r="P780" s="284"/>
      <c r="Q780" s="284"/>
      <c r="R780" s="284"/>
      <c r="S780" s="284"/>
      <c r="T780" s="284"/>
      <c r="U780" s="284"/>
      <c r="V780" s="284"/>
    </row>
    <row r="781" spans="16:22" ht="12.75">
      <c r="P781" s="284"/>
      <c r="Q781" s="284"/>
      <c r="R781" s="284"/>
      <c r="S781" s="284"/>
      <c r="T781" s="284"/>
      <c r="U781" s="284"/>
      <c r="V781" s="284"/>
    </row>
    <row r="782" spans="16:22" ht="12.75">
      <c r="P782" s="284"/>
      <c r="Q782" s="284"/>
      <c r="R782" s="284"/>
      <c r="S782" s="284"/>
      <c r="T782" s="284"/>
      <c r="U782" s="284"/>
      <c r="V782" s="284"/>
    </row>
    <row r="783" spans="16:22" ht="12.75">
      <c r="P783" s="284"/>
      <c r="Q783" s="284"/>
      <c r="R783" s="284"/>
      <c r="S783" s="284"/>
      <c r="T783" s="284"/>
      <c r="U783" s="284"/>
      <c r="V783" s="284"/>
    </row>
    <row r="784" spans="16:22" ht="12.75">
      <c r="P784" s="284"/>
      <c r="Q784" s="284"/>
      <c r="R784" s="284"/>
      <c r="S784" s="284"/>
      <c r="T784" s="284"/>
      <c r="U784" s="284"/>
      <c r="V784" s="284"/>
    </row>
    <row r="785" spans="16:22" ht="12.75">
      <c r="P785" s="284"/>
      <c r="Q785" s="284"/>
      <c r="R785" s="284"/>
      <c r="S785" s="284"/>
      <c r="T785" s="284"/>
      <c r="U785" s="284"/>
      <c r="V785" s="284"/>
    </row>
    <row r="786" spans="16:22" ht="12.75">
      <c r="P786" s="284"/>
      <c r="Q786" s="284"/>
      <c r="R786" s="284"/>
      <c r="S786" s="284"/>
      <c r="T786" s="284"/>
      <c r="U786" s="284"/>
      <c r="V786" s="284"/>
    </row>
    <row r="787" spans="16:22" ht="12.75">
      <c r="P787" s="284"/>
      <c r="Q787" s="284"/>
      <c r="R787" s="284"/>
      <c r="S787" s="284"/>
      <c r="T787" s="284"/>
      <c r="U787" s="284"/>
      <c r="V787" s="284"/>
    </row>
    <row r="788" spans="16:22" ht="12.75">
      <c r="P788" s="284"/>
      <c r="Q788" s="284"/>
      <c r="R788" s="284"/>
      <c r="S788" s="284"/>
      <c r="T788" s="284"/>
      <c r="U788" s="284"/>
      <c r="V788" s="284"/>
    </row>
    <row r="789" spans="16:22" ht="12.75">
      <c r="P789" s="284"/>
      <c r="Q789" s="284"/>
      <c r="R789" s="284"/>
      <c r="S789" s="284"/>
      <c r="T789" s="284"/>
      <c r="U789" s="284"/>
      <c r="V789" s="284"/>
    </row>
    <row r="790" spans="16:22" ht="12.75">
      <c r="P790" s="284"/>
      <c r="Q790" s="284"/>
      <c r="R790" s="284"/>
      <c r="S790" s="284"/>
      <c r="T790" s="284"/>
      <c r="U790" s="284"/>
      <c r="V790" s="284"/>
    </row>
    <row r="791" spans="16:22" ht="12.75">
      <c r="P791" s="284"/>
      <c r="Q791" s="284"/>
      <c r="R791" s="284"/>
      <c r="S791" s="284"/>
      <c r="T791" s="284"/>
      <c r="U791" s="284"/>
      <c r="V791" s="284"/>
    </row>
    <row r="792" spans="16:22" ht="12.75">
      <c r="P792" s="284"/>
      <c r="Q792" s="284"/>
      <c r="R792" s="284"/>
      <c r="S792" s="284"/>
      <c r="T792" s="284"/>
      <c r="U792" s="284"/>
      <c r="V792" s="284"/>
    </row>
    <row r="793" spans="16:22" ht="12.75">
      <c r="P793" s="284"/>
      <c r="Q793" s="284"/>
      <c r="R793" s="284"/>
      <c r="S793" s="284"/>
      <c r="T793" s="284"/>
      <c r="U793" s="284"/>
      <c r="V793" s="284"/>
    </row>
    <row r="794" spans="16:22" ht="12.75">
      <c r="P794" s="284"/>
      <c r="Q794" s="284"/>
      <c r="R794" s="284"/>
      <c r="S794" s="284"/>
      <c r="T794" s="284"/>
      <c r="U794" s="284"/>
      <c r="V794" s="284"/>
    </row>
    <row r="795" spans="16:22" ht="12.75">
      <c r="P795" s="284"/>
      <c r="Q795" s="284"/>
      <c r="R795" s="284"/>
      <c r="S795" s="284"/>
      <c r="T795" s="284"/>
      <c r="U795" s="284"/>
      <c r="V795" s="284"/>
    </row>
    <row r="796" spans="16:22" ht="12.75">
      <c r="P796" s="284"/>
      <c r="Q796" s="284"/>
      <c r="R796" s="284"/>
      <c r="S796" s="284"/>
      <c r="T796" s="284"/>
      <c r="U796" s="284"/>
      <c r="V796" s="284"/>
    </row>
    <row r="797" spans="16:22" ht="12.75">
      <c r="P797" s="284"/>
      <c r="Q797" s="284"/>
      <c r="R797" s="284"/>
      <c r="S797" s="284"/>
      <c r="T797" s="284"/>
      <c r="U797" s="284"/>
      <c r="V797" s="284"/>
    </row>
    <row r="798" spans="16:22" ht="12.75">
      <c r="P798" s="284"/>
      <c r="Q798" s="284"/>
      <c r="R798" s="284"/>
      <c r="S798" s="284"/>
      <c r="T798" s="284"/>
      <c r="U798" s="284"/>
      <c r="V798" s="284"/>
    </row>
    <row r="799" spans="16:22" ht="12.75">
      <c r="P799" s="284"/>
      <c r="Q799" s="284"/>
      <c r="R799" s="284"/>
      <c r="S799" s="284"/>
      <c r="T799" s="284"/>
      <c r="U799" s="284"/>
      <c r="V799" s="284"/>
    </row>
    <row r="800" spans="16:22" ht="12.75">
      <c r="P800" s="284"/>
      <c r="Q800" s="284"/>
      <c r="R800" s="284"/>
      <c r="S800" s="284"/>
      <c r="T800" s="284"/>
      <c r="U800" s="284"/>
      <c r="V800" s="284"/>
    </row>
    <row r="801" spans="16:22" ht="12.75">
      <c r="P801" s="284"/>
      <c r="Q801" s="284"/>
      <c r="R801" s="284"/>
      <c r="S801" s="284"/>
      <c r="T801" s="284"/>
      <c r="U801" s="284"/>
      <c r="V801" s="284"/>
    </row>
    <row r="802" spans="16:22" ht="12.75">
      <c r="P802" s="284"/>
      <c r="Q802" s="284"/>
      <c r="R802" s="284"/>
      <c r="S802" s="284"/>
      <c r="T802" s="284"/>
      <c r="U802" s="284"/>
      <c r="V802" s="284"/>
    </row>
    <row r="803" spans="16:22" ht="12.75">
      <c r="P803" s="284"/>
      <c r="Q803" s="284"/>
      <c r="R803" s="284"/>
      <c r="S803" s="284"/>
      <c r="T803" s="284"/>
      <c r="U803" s="284"/>
      <c r="V803" s="284"/>
    </row>
    <row r="804" spans="16:22" ht="12.75">
      <c r="P804" s="284"/>
      <c r="Q804" s="284"/>
      <c r="R804" s="284"/>
      <c r="S804" s="284"/>
      <c r="T804" s="284"/>
      <c r="U804" s="284"/>
      <c r="V804" s="284"/>
    </row>
    <row r="805" spans="16:22" ht="12.75">
      <c r="P805" s="284"/>
      <c r="Q805" s="284"/>
      <c r="R805" s="284"/>
      <c r="S805" s="284"/>
      <c r="T805" s="284"/>
      <c r="U805" s="284"/>
      <c r="V805" s="284"/>
    </row>
    <row r="806" spans="16:22" ht="12.75">
      <c r="P806" s="284"/>
      <c r="Q806" s="284"/>
      <c r="R806" s="284"/>
      <c r="S806" s="284"/>
      <c r="T806" s="284"/>
      <c r="U806" s="284"/>
      <c r="V806" s="284"/>
    </row>
    <row r="807" spans="16:22" ht="12.75">
      <c r="P807" s="284"/>
      <c r="Q807" s="284"/>
      <c r="R807" s="284"/>
      <c r="S807" s="284"/>
      <c r="T807" s="284"/>
      <c r="U807" s="284"/>
      <c r="V807" s="284"/>
    </row>
    <row r="808" spans="16:22" ht="12.75">
      <c r="P808" s="284"/>
      <c r="Q808" s="284"/>
      <c r="R808" s="284"/>
      <c r="S808" s="284"/>
      <c r="T808" s="284"/>
      <c r="U808" s="284"/>
      <c r="V808" s="284"/>
    </row>
    <row r="809" spans="16:22" ht="12.75">
      <c r="P809" s="284"/>
      <c r="Q809" s="284"/>
      <c r="R809" s="284"/>
      <c r="S809" s="284"/>
      <c r="T809" s="284"/>
      <c r="U809" s="284"/>
      <c r="V809" s="284"/>
    </row>
    <row r="810" spans="16:22" ht="12.75">
      <c r="P810" s="284"/>
      <c r="Q810" s="284"/>
      <c r="R810" s="284"/>
      <c r="S810" s="284"/>
      <c r="T810" s="284"/>
      <c r="U810" s="284"/>
      <c r="V810" s="284"/>
    </row>
    <row r="811" spans="16:22" ht="12.75">
      <c r="P811" s="284"/>
      <c r="Q811" s="284"/>
      <c r="R811" s="284"/>
      <c r="S811" s="284"/>
      <c r="T811" s="284"/>
      <c r="U811" s="284"/>
      <c r="V811" s="284"/>
    </row>
    <row r="812" spans="16:22" ht="12.75">
      <c r="P812" s="284"/>
      <c r="Q812" s="284"/>
      <c r="R812" s="284"/>
      <c r="S812" s="284"/>
      <c r="T812" s="284"/>
      <c r="U812" s="284"/>
      <c r="V812" s="284"/>
    </row>
    <row r="813" spans="16:22" ht="12.75">
      <c r="P813" s="284"/>
      <c r="Q813" s="284"/>
      <c r="R813" s="284"/>
      <c r="S813" s="284"/>
      <c r="T813" s="284"/>
      <c r="U813" s="284"/>
      <c r="V813" s="284"/>
    </row>
    <row r="814" spans="16:22" ht="12.75">
      <c r="P814" s="284"/>
      <c r="Q814" s="284"/>
      <c r="R814" s="284"/>
      <c r="S814" s="284"/>
      <c r="T814" s="284"/>
      <c r="U814" s="284"/>
      <c r="V814" s="284"/>
    </row>
    <row r="815" spans="16:22" ht="12.75">
      <c r="P815" s="284"/>
      <c r="Q815" s="284"/>
      <c r="R815" s="284"/>
      <c r="S815" s="284"/>
      <c r="T815" s="284"/>
      <c r="U815" s="284"/>
      <c r="V815" s="284"/>
    </row>
    <row r="816" spans="16:22" ht="12.75">
      <c r="P816" s="284"/>
      <c r="Q816" s="284"/>
      <c r="R816" s="284"/>
      <c r="S816" s="284"/>
      <c r="T816" s="284"/>
      <c r="U816" s="284"/>
      <c r="V816" s="284"/>
    </row>
    <row r="817" spans="16:22" ht="12.75">
      <c r="P817" s="284"/>
      <c r="Q817" s="284"/>
      <c r="R817" s="284"/>
      <c r="S817" s="284"/>
      <c r="T817" s="284"/>
      <c r="U817" s="284"/>
      <c r="V817" s="284"/>
    </row>
    <row r="818" spans="16:22" ht="12.75">
      <c r="P818" s="284"/>
      <c r="Q818" s="284"/>
      <c r="R818" s="284"/>
      <c r="S818" s="284"/>
      <c r="T818" s="284"/>
      <c r="U818" s="284"/>
      <c r="V818" s="284"/>
    </row>
    <row r="819" spans="16:22" ht="12.75">
      <c r="P819" s="284"/>
      <c r="Q819" s="284"/>
      <c r="R819" s="284"/>
      <c r="S819" s="284"/>
      <c r="T819" s="284"/>
      <c r="U819" s="284"/>
      <c r="V819" s="284"/>
    </row>
    <row r="820" spans="16:22" ht="12.75">
      <c r="P820" s="284"/>
      <c r="Q820" s="284"/>
      <c r="R820" s="284"/>
      <c r="S820" s="284"/>
      <c r="T820" s="284"/>
      <c r="U820" s="284"/>
      <c r="V820" s="284"/>
    </row>
    <row r="821" spans="16:22" ht="12.75">
      <c r="P821" s="284"/>
      <c r="Q821" s="284"/>
      <c r="R821" s="284"/>
      <c r="S821" s="284"/>
      <c r="T821" s="284"/>
      <c r="U821" s="284"/>
      <c r="V821" s="284"/>
    </row>
    <row r="822" spans="16:22" ht="12.75">
      <c r="P822" s="284"/>
      <c r="Q822" s="284"/>
      <c r="R822" s="284"/>
      <c r="S822" s="284"/>
      <c r="T822" s="284"/>
      <c r="U822" s="284"/>
      <c r="V822" s="284"/>
    </row>
    <row r="823" spans="16:22" ht="12.75">
      <c r="P823" s="284"/>
      <c r="Q823" s="284"/>
      <c r="R823" s="284"/>
      <c r="S823" s="284"/>
      <c r="T823" s="284"/>
      <c r="U823" s="284"/>
      <c r="V823" s="284"/>
    </row>
    <row r="824" spans="16:22" ht="12.75">
      <c r="P824" s="284"/>
      <c r="Q824" s="284"/>
      <c r="R824" s="284"/>
      <c r="S824" s="284"/>
      <c r="T824" s="284"/>
      <c r="U824" s="284"/>
      <c r="V824" s="284"/>
    </row>
    <row r="825" spans="16:22" ht="12.75">
      <c r="P825" s="284"/>
      <c r="Q825" s="284"/>
      <c r="R825" s="284"/>
      <c r="S825" s="284"/>
      <c r="T825" s="284"/>
      <c r="U825" s="284"/>
      <c r="V825" s="284"/>
    </row>
    <row r="826" spans="16:22" ht="12.75">
      <c r="P826" s="284"/>
      <c r="Q826" s="284"/>
      <c r="R826" s="284"/>
      <c r="S826" s="284"/>
      <c r="T826" s="284"/>
      <c r="U826" s="284"/>
      <c r="V826" s="284"/>
    </row>
    <row r="827" spans="16:22" ht="12.75">
      <c r="P827" s="284"/>
      <c r="Q827" s="284"/>
      <c r="R827" s="284"/>
      <c r="S827" s="284"/>
      <c r="T827" s="284"/>
      <c r="U827" s="284"/>
      <c r="V827" s="284"/>
    </row>
    <row r="828" spans="16:22" ht="12.75">
      <c r="P828" s="284"/>
      <c r="Q828" s="284"/>
      <c r="R828" s="284"/>
      <c r="S828" s="284"/>
      <c r="T828" s="284"/>
      <c r="U828" s="284"/>
      <c r="V828" s="284"/>
    </row>
    <row r="829" spans="16:22" ht="12.75">
      <c r="P829" s="284"/>
      <c r="Q829" s="284"/>
      <c r="R829" s="284"/>
      <c r="S829" s="284"/>
      <c r="T829" s="284"/>
      <c r="U829" s="284"/>
      <c r="V829" s="284"/>
    </row>
    <row r="830" spans="16:22" ht="12.75">
      <c r="P830" s="284"/>
      <c r="Q830" s="284"/>
      <c r="R830" s="284"/>
      <c r="S830" s="284"/>
      <c r="T830" s="284"/>
      <c r="U830" s="284"/>
      <c r="V830" s="284"/>
    </row>
    <row r="831" spans="16:22" ht="12.75">
      <c r="P831" s="284"/>
      <c r="Q831" s="284"/>
      <c r="R831" s="284"/>
      <c r="S831" s="284"/>
      <c r="T831" s="284"/>
      <c r="U831" s="284"/>
      <c r="V831" s="284"/>
    </row>
    <row r="832" spans="16:22" ht="12.75">
      <c r="P832" s="284"/>
      <c r="Q832" s="284"/>
      <c r="R832" s="284"/>
      <c r="S832" s="284"/>
      <c r="T832" s="284"/>
      <c r="U832" s="284"/>
      <c r="V832" s="284"/>
    </row>
    <row r="833" spans="16:22" ht="12.75">
      <c r="P833" s="284"/>
      <c r="Q833" s="284"/>
      <c r="R833" s="284"/>
      <c r="S833" s="284"/>
      <c r="T833" s="284"/>
      <c r="U833" s="284"/>
      <c r="V833" s="284"/>
    </row>
    <row r="834" spans="16:22" ht="12.75">
      <c r="P834" s="284"/>
      <c r="Q834" s="284"/>
      <c r="R834" s="284"/>
      <c r="S834" s="284"/>
      <c r="T834" s="284"/>
      <c r="U834" s="284"/>
      <c r="V834" s="284"/>
    </row>
    <row r="835" spans="16:22" ht="12.75">
      <c r="P835" s="284"/>
      <c r="Q835" s="284"/>
      <c r="R835" s="284"/>
      <c r="S835" s="284"/>
      <c r="T835" s="284"/>
      <c r="U835" s="284"/>
      <c r="V835" s="284"/>
    </row>
    <row r="836" spans="16:22" ht="12.75">
      <c r="P836" s="284"/>
      <c r="Q836" s="284"/>
      <c r="R836" s="284"/>
      <c r="S836" s="284"/>
      <c r="T836" s="284"/>
      <c r="U836" s="284"/>
      <c r="V836" s="284"/>
    </row>
    <row r="837" spans="16:22" ht="12.75">
      <c r="P837" s="284"/>
      <c r="Q837" s="284"/>
      <c r="R837" s="284"/>
      <c r="S837" s="284"/>
      <c r="T837" s="284"/>
      <c r="U837" s="284"/>
      <c r="V837" s="284"/>
    </row>
    <row r="838" spans="16:22" ht="12.75">
      <c r="P838" s="284"/>
      <c r="Q838" s="284"/>
      <c r="R838" s="284"/>
      <c r="S838" s="284"/>
      <c r="T838" s="284"/>
      <c r="U838" s="284"/>
      <c r="V838" s="284"/>
    </row>
    <row r="839" spans="16:22" ht="12.75">
      <c r="P839" s="284"/>
      <c r="Q839" s="284"/>
      <c r="R839" s="284"/>
      <c r="S839" s="284"/>
      <c r="T839" s="284"/>
      <c r="U839" s="284"/>
      <c r="V839" s="284"/>
    </row>
    <row r="840" spans="16:22" ht="12.75">
      <c r="P840" s="284"/>
      <c r="Q840" s="284"/>
      <c r="R840" s="284"/>
      <c r="S840" s="284"/>
      <c r="T840" s="284"/>
      <c r="U840" s="284"/>
      <c r="V840" s="284"/>
    </row>
    <row r="841" spans="16:22" ht="12.75">
      <c r="P841" s="284"/>
      <c r="Q841" s="284"/>
      <c r="R841" s="284"/>
      <c r="S841" s="284"/>
      <c r="T841" s="284"/>
      <c r="U841" s="284"/>
      <c r="V841" s="284"/>
    </row>
    <row r="842" spans="16:22" ht="12.75">
      <c r="P842" s="284"/>
      <c r="Q842" s="284"/>
      <c r="R842" s="284"/>
      <c r="S842" s="284"/>
      <c r="T842" s="284"/>
      <c r="U842" s="284"/>
      <c r="V842" s="284"/>
    </row>
    <row r="843" spans="16:22" ht="12.75">
      <c r="P843" s="284"/>
      <c r="Q843" s="284"/>
      <c r="R843" s="284"/>
      <c r="S843" s="284"/>
      <c r="T843" s="284"/>
      <c r="U843" s="284"/>
      <c r="V843" s="284"/>
    </row>
    <row r="844" spans="16:22" ht="12.75">
      <c r="P844" s="284"/>
      <c r="Q844" s="284"/>
      <c r="R844" s="284"/>
      <c r="S844" s="284"/>
      <c r="T844" s="284"/>
      <c r="U844" s="284"/>
      <c r="V844" s="284"/>
    </row>
    <row r="845" spans="16:22" ht="12.75">
      <c r="P845" s="284"/>
      <c r="Q845" s="284"/>
      <c r="R845" s="284"/>
      <c r="S845" s="284"/>
      <c r="T845" s="284"/>
      <c r="U845" s="284"/>
      <c r="V845" s="284"/>
    </row>
    <row r="846" spans="16:22" ht="12.75">
      <c r="P846" s="284"/>
      <c r="Q846" s="284"/>
      <c r="R846" s="284"/>
      <c r="S846" s="284"/>
      <c r="T846" s="284"/>
      <c r="U846" s="284"/>
      <c r="V846" s="284"/>
    </row>
    <row r="847" spans="16:22" ht="12.75">
      <c r="P847" s="284"/>
      <c r="Q847" s="284"/>
      <c r="R847" s="284"/>
      <c r="S847" s="284"/>
      <c r="T847" s="284"/>
      <c r="U847" s="284"/>
      <c r="V847" s="284"/>
    </row>
    <row r="848" spans="16:22" ht="12.75">
      <c r="P848" s="284"/>
      <c r="Q848" s="284"/>
      <c r="R848" s="284"/>
      <c r="S848" s="284"/>
      <c r="T848" s="284"/>
      <c r="U848" s="284"/>
      <c r="V848" s="284"/>
    </row>
    <row r="849" spans="16:22" ht="12.75">
      <c r="P849" s="284"/>
      <c r="Q849" s="284"/>
      <c r="R849" s="284"/>
      <c r="S849" s="284"/>
      <c r="T849" s="284"/>
      <c r="U849" s="284"/>
      <c r="V849" s="284"/>
    </row>
    <row r="850" spans="16:22" ht="12.75">
      <c r="P850" s="284"/>
      <c r="Q850" s="284"/>
      <c r="R850" s="284"/>
      <c r="S850" s="284"/>
      <c r="T850" s="284"/>
      <c r="U850" s="284"/>
      <c r="V850" s="284"/>
    </row>
    <row r="851" spans="16:22" ht="12.75">
      <c r="P851" s="284"/>
      <c r="Q851" s="284"/>
      <c r="R851" s="284"/>
      <c r="S851" s="284"/>
      <c r="T851" s="284"/>
      <c r="U851" s="284"/>
      <c r="V851" s="284"/>
    </row>
    <row r="852" spans="16:22" ht="12.75">
      <c r="P852" s="284"/>
      <c r="Q852" s="284"/>
      <c r="R852" s="284"/>
      <c r="S852" s="284"/>
      <c r="T852" s="284"/>
      <c r="U852" s="284"/>
      <c r="V852" s="284"/>
    </row>
    <row r="853" spans="16:22" ht="12.75">
      <c r="P853" s="284"/>
      <c r="Q853" s="284"/>
      <c r="R853" s="284"/>
      <c r="S853" s="284"/>
      <c r="T853" s="284"/>
      <c r="U853" s="284"/>
      <c r="V853" s="284"/>
    </row>
    <row r="854" spans="16:22" ht="12.75">
      <c r="P854" s="284"/>
      <c r="Q854" s="284"/>
      <c r="R854" s="284"/>
      <c r="S854" s="284"/>
      <c r="T854" s="284"/>
      <c r="U854" s="284"/>
      <c r="V854" s="284"/>
    </row>
    <row r="855" spans="16:22" ht="12.75">
      <c r="P855" s="284"/>
      <c r="Q855" s="284"/>
      <c r="R855" s="284"/>
      <c r="S855" s="284"/>
      <c r="T855" s="284"/>
      <c r="U855" s="284"/>
      <c r="V855" s="284"/>
    </row>
    <row r="856" spans="16:22" ht="12.75">
      <c r="P856" s="284"/>
      <c r="Q856" s="284"/>
      <c r="R856" s="284"/>
      <c r="S856" s="284"/>
      <c r="T856" s="284"/>
      <c r="U856" s="284"/>
      <c r="V856" s="284"/>
    </row>
    <row r="857" spans="16:22" ht="12.75">
      <c r="P857" s="284"/>
      <c r="Q857" s="284"/>
      <c r="R857" s="284"/>
      <c r="S857" s="284"/>
      <c r="T857" s="284"/>
      <c r="U857" s="284"/>
      <c r="V857" s="284"/>
    </row>
    <row r="858" spans="16:22" ht="12.75">
      <c r="P858" s="284"/>
      <c r="Q858" s="284"/>
      <c r="R858" s="284"/>
      <c r="S858" s="284"/>
      <c r="T858" s="284"/>
      <c r="U858" s="284"/>
      <c r="V858" s="284"/>
    </row>
    <row r="859" spans="16:22" ht="12.75">
      <c r="P859" s="284"/>
      <c r="Q859" s="284"/>
      <c r="R859" s="284"/>
      <c r="S859" s="284"/>
      <c r="T859" s="284"/>
      <c r="U859" s="284"/>
      <c r="V859" s="284"/>
    </row>
    <row r="860" spans="16:22" ht="12.75">
      <c r="P860" s="284"/>
      <c r="Q860" s="284"/>
      <c r="R860" s="284"/>
      <c r="S860" s="284"/>
      <c r="T860" s="284"/>
      <c r="U860" s="284"/>
      <c r="V860" s="284"/>
    </row>
    <row r="861" spans="16:22" ht="12.75">
      <c r="P861" s="284"/>
      <c r="Q861" s="284"/>
      <c r="R861" s="284"/>
      <c r="S861" s="284"/>
      <c r="T861" s="284"/>
      <c r="U861" s="284"/>
      <c r="V861" s="284"/>
    </row>
    <row r="862" spans="16:22" ht="12.75">
      <c r="P862" s="284"/>
      <c r="Q862" s="284"/>
      <c r="R862" s="284"/>
      <c r="S862" s="284"/>
      <c r="T862" s="284"/>
      <c r="U862" s="284"/>
      <c r="V862" s="284"/>
    </row>
    <row r="863" spans="16:22" ht="12.75">
      <c r="P863" s="284"/>
      <c r="Q863" s="284"/>
      <c r="R863" s="284"/>
      <c r="S863" s="284"/>
      <c r="T863" s="284"/>
      <c r="U863" s="284"/>
      <c r="V863" s="284"/>
    </row>
    <row r="864" spans="16:22" ht="12.75">
      <c r="P864" s="284"/>
      <c r="Q864" s="284"/>
      <c r="R864" s="284"/>
      <c r="S864" s="284"/>
      <c r="T864" s="284"/>
      <c r="U864" s="284"/>
      <c r="V864" s="284"/>
    </row>
    <row r="865" spans="16:22" ht="12.75">
      <c r="P865" s="284"/>
      <c r="Q865" s="284"/>
      <c r="R865" s="284"/>
      <c r="S865" s="284"/>
      <c r="T865" s="284"/>
      <c r="U865" s="284"/>
      <c r="V865" s="284"/>
    </row>
    <row r="866" spans="16:22" ht="12.75">
      <c r="P866" s="284"/>
      <c r="Q866" s="284"/>
      <c r="R866" s="284"/>
      <c r="S866" s="284"/>
      <c r="T866" s="284"/>
      <c r="U866" s="284"/>
      <c r="V866" s="284"/>
    </row>
    <row r="867" spans="16:22" ht="12.75">
      <c r="P867" s="284"/>
      <c r="Q867" s="284"/>
      <c r="R867" s="284"/>
      <c r="S867" s="284"/>
      <c r="T867" s="284"/>
      <c r="U867" s="284"/>
      <c r="V867" s="284"/>
    </row>
    <row r="868" spans="16:22" ht="12.75">
      <c r="P868" s="284"/>
      <c r="Q868" s="284"/>
      <c r="R868" s="284"/>
      <c r="S868" s="284"/>
      <c r="T868" s="284"/>
      <c r="U868" s="284"/>
      <c r="V868" s="284"/>
    </row>
    <row r="869" spans="16:22" ht="12.75">
      <c r="P869" s="284"/>
      <c r="Q869" s="284"/>
      <c r="R869" s="284"/>
      <c r="S869" s="284"/>
      <c r="T869" s="284"/>
      <c r="U869" s="284"/>
      <c r="V869" s="284"/>
    </row>
    <row r="870" spans="16:22" ht="12.75">
      <c r="P870" s="284"/>
      <c r="Q870" s="284"/>
      <c r="R870" s="284"/>
      <c r="S870" s="284"/>
      <c r="T870" s="284"/>
      <c r="U870" s="284"/>
      <c r="V870" s="284"/>
    </row>
    <row r="871" spans="16:22" ht="12.75">
      <c r="P871" s="284"/>
      <c r="Q871" s="284"/>
      <c r="R871" s="284"/>
      <c r="S871" s="284"/>
      <c r="T871" s="284"/>
      <c r="U871" s="284"/>
      <c r="V871" s="284"/>
    </row>
    <row r="872" spans="16:22" ht="12.75">
      <c r="P872" s="284"/>
      <c r="Q872" s="284"/>
      <c r="R872" s="284"/>
      <c r="S872" s="284"/>
      <c r="T872" s="284"/>
      <c r="U872" s="284"/>
      <c r="V872" s="284"/>
    </row>
    <row r="873" spans="16:22" ht="12.75">
      <c r="P873" s="284"/>
      <c r="Q873" s="284"/>
      <c r="R873" s="284"/>
      <c r="S873" s="284"/>
      <c r="T873" s="284"/>
      <c r="U873" s="284"/>
      <c r="V873" s="284"/>
    </row>
    <row r="874" spans="16:22" ht="12.75">
      <c r="P874" s="284"/>
      <c r="Q874" s="284"/>
      <c r="R874" s="284"/>
      <c r="S874" s="284"/>
      <c r="T874" s="284"/>
      <c r="U874" s="284"/>
      <c r="V874" s="284"/>
    </row>
    <row r="875" spans="16:22" ht="12.75">
      <c r="P875" s="284"/>
      <c r="Q875" s="284"/>
      <c r="R875" s="284"/>
      <c r="S875" s="284"/>
      <c r="T875" s="284"/>
      <c r="U875" s="284"/>
      <c r="V875" s="284"/>
    </row>
    <row r="876" spans="16:22" ht="12.75">
      <c r="P876" s="284"/>
      <c r="Q876" s="284"/>
      <c r="R876" s="284"/>
      <c r="S876" s="284"/>
      <c r="T876" s="284"/>
      <c r="U876" s="284"/>
      <c r="V876" s="284"/>
    </row>
    <row r="877" spans="16:22" ht="12.75">
      <c r="P877" s="284"/>
      <c r="Q877" s="284"/>
      <c r="R877" s="284"/>
      <c r="S877" s="284"/>
      <c r="T877" s="284"/>
      <c r="U877" s="284"/>
      <c r="V877" s="284"/>
    </row>
    <row r="878" spans="16:22" ht="12.75">
      <c r="P878" s="284"/>
      <c r="Q878" s="284"/>
      <c r="R878" s="284"/>
      <c r="S878" s="284"/>
      <c r="T878" s="284"/>
      <c r="U878" s="284"/>
      <c r="V878" s="284"/>
    </row>
    <row r="879" spans="16:22" ht="12.75">
      <c r="P879" s="284"/>
      <c r="Q879" s="284"/>
      <c r="R879" s="284"/>
      <c r="S879" s="284"/>
      <c r="T879" s="284"/>
      <c r="U879" s="284"/>
      <c r="V879" s="284"/>
    </row>
    <row r="880" spans="16:22" ht="12.75">
      <c r="P880" s="284"/>
      <c r="Q880" s="284"/>
      <c r="R880" s="284"/>
      <c r="S880" s="284"/>
      <c r="T880" s="284"/>
      <c r="U880" s="284"/>
      <c r="V880" s="284"/>
    </row>
    <row r="881" spans="16:22" ht="12.75">
      <c r="P881" s="284"/>
      <c r="Q881" s="284"/>
      <c r="R881" s="284"/>
      <c r="S881" s="284"/>
      <c r="T881" s="284"/>
      <c r="U881" s="284"/>
      <c r="V881" s="284"/>
    </row>
    <row r="882" spans="16:22" ht="12.75">
      <c r="P882" s="284"/>
      <c r="Q882" s="284"/>
      <c r="R882" s="284"/>
      <c r="S882" s="284"/>
      <c r="T882" s="284"/>
      <c r="U882" s="284"/>
      <c r="V882" s="284"/>
    </row>
    <row r="883" spans="16:22" ht="12.75">
      <c r="P883" s="284"/>
      <c r="Q883" s="284"/>
      <c r="R883" s="284"/>
      <c r="S883" s="284"/>
      <c r="T883" s="284"/>
      <c r="U883" s="284"/>
      <c r="V883" s="284"/>
    </row>
    <row r="884" spans="16:22" ht="12.75">
      <c r="P884" s="284"/>
      <c r="Q884" s="284"/>
      <c r="R884" s="284"/>
      <c r="S884" s="284"/>
      <c r="T884" s="284"/>
      <c r="U884" s="284"/>
      <c r="V884" s="284"/>
    </row>
    <row r="885" spans="16:22" ht="12.75">
      <c r="P885" s="284"/>
      <c r="Q885" s="284"/>
      <c r="R885" s="284"/>
      <c r="S885" s="284"/>
      <c r="T885" s="284"/>
      <c r="U885" s="284"/>
      <c r="V885" s="284"/>
    </row>
    <row r="886" spans="16:22" ht="12.75">
      <c r="P886" s="284"/>
      <c r="Q886" s="284"/>
      <c r="R886" s="284"/>
      <c r="S886" s="284"/>
      <c r="T886" s="284"/>
      <c r="U886" s="284"/>
      <c r="V886" s="284"/>
    </row>
    <row r="887" spans="16:22" ht="12.75">
      <c r="P887" s="284"/>
      <c r="Q887" s="284"/>
      <c r="R887" s="284"/>
      <c r="S887" s="284"/>
      <c r="T887" s="284"/>
      <c r="U887" s="284"/>
      <c r="V887" s="284"/>
    </row>
    <row r="888" spans="16:22" ht="12.75">
      <c r="P888" s="284"/>
      <c r="Q888" s="284"/>
      <c r="R888" s="284"/>
      <c r="S888" s="284"/>
      <c r="T888" s="284"/>
      <c r="U888" s="284"/>
      <c r="V888" s="284"/>
    </row>
    <row r="889" spans="16:22" ht="12.75">
      <c r="P889" s="284"/>
      <c r="Q889" s="284"/>
      <c r="R889" s="284"/>
      <c r="S889" s="284"/>
      <c r="T889" s="284"/>
      <c r="U889" s="284"/>
      <c r="V889" s="284"/>
    </row>
    <row r="890" spans="16:22" ht="12.75">
      <c r="P890" s="284"/>
      <c r="Q890" s="284"/>
      <c r="R890" s="284"/>
      <c r="S890" s="284"/>
      <c r="T890" s="284"/>
      <c r="U890" s="284"/>
      <c r="V890" s="284"/>
    </row>
    <row r="891" spans="16:22" ht="12.75">
      <c r="P891" s="284"/>
      <c r="Q891" s="284"/>
      <c r="R891" s="284"/>
      <c r="S891" s="284"/>
      <c r="T891" s="284"/>
      <c r="U891" s="284"/>
      <c r="V891" s="284"/>
    </row>
    <row r="892" spans="16:22" ht="12.75">
      <c r="P892" s="284"/>
      <c r="Q892" s="284"/>
      <c r="R892" s="284"/>
      <c r="S892" s="284"/>
      <c r="T892" s="284"/>
      <c r="U892" s="284"/>
      <c r="V892" s="284"/>
    </row>
    <row r="893" spans="16:22" ht="12.75">
      <c r="P893" s="284"/>
      <c r="Q893" s="284"/>
      <c r="R893" s="284"/>
      <c r="S893" s="284"/>
      <c r="T893" s="284"/>
      <c r="U893" s="284"/>
      <c r="V893" s="284"/>
    </row>
    <row r="894" spans="16:22" ht="12.75">
      <c r="P894" s="284"/>
      <c r="Q894" s="284"/>
      <c r="R894" s="284"/>
      <c r="S894" s="284"/>
      <c r="T894" s="284"/>
      <c r="U894" s="284"/>
      <c r="V894" s="284"/>
    </row>
    <row r="895" spans="16:22" ht="12.75">
      <c r="P895" s="284"/>
      <c r="Q895" s="284"/>
      <c r="R895" s="284"/>
      <c r="S895" s="284"/>
      <c r="T895" s="284"/>
      <c r="U895" s="284"/>
      <c r="V895" s="284"/>
    </row>
    <row r="896" spans="16:22" ht="12.75">
      <c r="P896" s="284"/>
      <c r="Q896" s="284"/>
      <c r="R896" s="284"/>
      <c r="S896" s="284"/>
      <c r="T896" s="284"/>
      <c r="U896" s="284"/>
      <c r="V896" s="284"/>
    </row>
    <row r="897" spans="16:22" ht="12.75">
      <c r="P897" s="284"/>
      <c r="Q897" s="284"/>
      <c r="R897" s="284"/>
      <c r="S897" s="284"/>
      <c r="T897" s="284"/>
      <c r="U897" s="284"/>
      <c r="V897" s="284"/>
    </row>
    <row r="898" spans="16:22" ht="12.75">
      <c r="P898" s="284"/>
      <c r="Q898" s="284"/>
      <c r="R898" s="284"/>
      <c r="S898" s="284"/>
      <c r="T898" s="284"/>
      <c r="U898" s="284"/>
      <c r="V898" s="284"/>
    </row>
    <row r="899" spans="16:22" ht="12.75">
      <c r="P899" s="284"/>
      <c r="Q899" s="284"/>
      <c r="R899" s="284"/>
      <c r="S899" s="284"/>
      <c r="T899" s="284"/>
      <c r="U899" s="284"/>
      <c r="V899" s="284"/>
    </row>
    <row r="900" spans="16:22" ht="12.75">
      <c r="P900" s="284"/>
      <c r="Q900" s="284"/>
      <c r="R900" s="284"/>
      <c r="S900" s="284"/>
      <c r="T900" s="284"/>
      <c r="U900" s="284"/>
      <c r="V900" s="284"/>
    </row>
    <row r="901" spans="16:22" ht="12.75">
      <c r="P901" s="284"/>
      <c r="Q901" s="284"/>
      <c r="R901" s="284"/>
      <c r="S901" s="284"/>
      <c r="T901" s="284"/>
      <c r="U901" s="284"/>
      <c r="V901" s="284"/>
    </row>
    <row r="902" spans="16:22" ht="12.75">
      <c r="P902" s="284"/>
      <c r="Q902" s="284"/>
      <c r="R902" s="284"/>
      <c r="S902" s="284"/>
      <c r="T902" s="284"/>
      <c r="U902" s="284"/>
      <c r="V902" s="284"/>
    </row>
    <row r="903" spans="16:22" ht="12.75">
      <c r="P903" s="284"/>
      <c r="Q903" s="284"/>
      <c r="R903" s="284"/>
      <c r="S903" s="284"/>
      <c r="T903" s="284"/>
      <c r="U903" s="284"/>
      <c r="V903" s="284"/>
    </row>
    <row r="904" spans="16:22" ht="12.75">
      <c r="P904" s="284"/>
      <c r="Q904" s="284"/>
      <c r="R904" s="284"/>
      <c r="S904" s="284"/>
      <c r="T904" s="284"/>
      <c r="U904" s="284"/>
      <c r="V904" s="284"/>
    </row>
    <row r="905" spans="16:22" ht="12.75">
      <c r="P905" s="284"/>
      <c r="Q905" s="284"/>
      <c r="R905" s="284"/>
      <c r="S905" s="284"/>
      <c r="T905" s="284"/>
      <c r="U905" s="284"/>
      <c r="V905" s="284"/>
    </row>
    <row r="906" spans="16:22" ht="12.75">
      <c r="P906" s="284"/>
      <c r="Q906" s="284"/>
      <c r="R906" s="284"/>
      <c r="S906" s="284"/>
      <c r="T906" s="284"/>
      <c r="U906" s="284"/>
      <c r="V906" s="284"/>
    </row>
    <row r="907" spans="16:22" ht="12.75">
      <c r="P907" s="284"/>
      <c r="Q907" s="284"/>
      <c r="R907" s="284"/>
      <c r="S907" s="284"/>
      <c r="T907" s="284"/>
      <c r="U907" s="284"/>
      <c r="V907" s="284"/>
    </row>
    <row r="908" spans="16:22" ht="12.75">
      <c r="P908" s="284"/>
      <c r="Q908" s="284"/>
      <c r="R908" s="284"/>
      <c r="S908" s="284"/>
      <c r="T908" s="284"/>
      <c r="U908" s="284"/>
      <c r="V908" s="284"/>
    </row>
    <row r="909" spans="16:22" ht="12.75">
      <c r="P909" s="284"/>
      <c r="Q909" s="284"/>
      <c r="R909" s="284"/>
      <c r="S909" s="284"/>
      <c r="T909" s="284"/>
      <c r="U909" s="284"/>
      <c r="V909" s="284"/>
    </row>
    <row r="910" spans="16:22" ht="12.75">
      <c r="P910" s="284"/>
      <c r="Q910" s="284"/>
      <c r="R910" s="284"/>
      <c r="S910" s="284"/>
      <c r="T910" s="284"/>
      <c r="U910" s="284"/>
      <c r="V910" s="284"/>
    </row>
    <row r="911" spans="16:22" ht="12.75">
      <c r="P911" s="284"/>
      <c r="Q911" s="284"/>
      <c r="R911" s="284"/>
      <c r="S911" s="284"/>
      <c r="T911" s="284"/>
      <c r="U911" s="284"/>
      <c r="V911" s="284"/>
    </row>
    <row r="912" spans="16:22" ht="12.75">
      <c r="P912" s="284"/>
      <c r="Q912" s="284"/>
      <c r="R912" s="284"/>
      <c r="S912" s="284"/>
      <c r="T912" s="284"/>
      <c r="U912" s="284"/>
      <c r="V912" s="284"/>
    </row>
    <row r="913" spans="16:22" ht="12.75">
      <c r="P913" s="284"/>
      <c r="Q913" s="284"/>
      <c r="R913" s="284"/>
      <c r="S913" s="284"/>
      <c r="T913" s="284"/>
      <c r="U913" s="284"/>
      <c r="V913" s="284"/>
    </row>
    <row r="914" spans="16:22" ht="12.75">
      <c r="P914" s="284"/>
      <c r="Q914" s="284"/>
      <c r="R914" s="284"/>
      <c r="S914" s="284"/>
      <c r="T914" s="284"/>
      <c r="U914" s="284"/>
      <c r="V914" s="284"/>
    </row>
    <row r="915" spans="16:22" ht="12.75">
      <c r="P915" s="284"/>
      <c r="Q915" s="284"/>
      <c r="R915" s="284"/>
      <c r="S915" s="284"/>
      <c r="T915" s="284"/>
      <c r="U915" s="284"/>
      <c r="V915" s="284"/>
    </row>
    <row r="916" spans="16:22" ht="12.75">
      <c r="P916" s="284"/>
      <c r="Q916" s="284"/>
      <c r="R916" s="284"/>
      <c r="S916" s="284"/>
      <c r="T916" s="284"/>
      <c r="U916" s="284"/>
      <c r="V916" s="284"/>
    </row>
    <row r="917" spans="16:22" ht="12.75">
      <c r="P917" s="284"/>
      <c r="Q917" s="284"/>
      <c r="R917" s="284"/>
      <c r="S917" s="284"/>
      <c r="T917" s="284"/>
      <c r="U917" s="284"/>
      <c r="V917" s="284"/>
    </row>
    <row r="918" spans="16:22" ht="12.75">
      <c r="P918" s="284"/>
      <c r="Q918" s="284"/>
      <c r="R918" s="284"/>
      <c r="S918" s="284"/>
      <c r="T918" s="284"/>
      <c r="U918" s="284"/>
      <c r="V918" s="284"/>
    </row>
    <row r="919" spans="16:22" ht="12.75">
      <c r="P919" s="284"/>
      <c r="Q919" s="284"/>
      <c r="R919" s="284"/>
      <c r="S919" s="284"/>
      <c r="T919" s="284"/>
      <c r="U919" s="284"/>
      <c r="V919" s="284"/>
    </row>
    <row r="920" spans="16:22" ht="12.75">
      <c r="P920" s="284"/>
      <c r="Q920" s="284"/>
      <c r="R920" s="284"/>
      <c r="S920" s="284"/>
      <c r="T920" s="284"/>
      <c r="U920" s="284"/>
      <c r="V920" s="284"/>
    </row>
    <row r="921" spans="16:22" ht="12.75">
      <c r="P921" s="284"/>
      <c r="Q921" s="284"/>
      <c r="R921" s="284"/>
      <c r="S921" s="284"/>
      <c r="T921" s="284"/>
      <c r="U921" s="284"/>
      <c r="V921" s="284"/>
    </row>
    <row r="922" spans="16:22" ht="12.75">
      <c r="P922" s="284"/>
      <c r="Q922" s="284"/>
      <c r="R922" s="284"/>
      <c r="S922" s="284"/>
      <c r="T922" s="284"/>
      <c r="U922" s="284"/>
      <c r="V922" s="284"/>
    </row>
    <row r="923" spans="16:22" ht="12.75">
      <c r="P923" s="284"/>
      <c r="Q923" s="284"/>
      <c r="R923" s="284"/>
      <c r="S923" s="284"/>
      <c r="T923" s="284"/>
      <c r="U923" s="284"/>
      <c r="V923" s="284"/>
    </row>
    <row r="924" spans="16:22" ht="12.75">
      <c r="P924" s="284"/>
      <c r="Q924" s="284"/>
      <c r="R924" s="284"/>
      <c r="S924" s="284"/>
      <c r="T924" s="284"/>
      <c r="U924" s="284"/>
      <c r="V924" s="284"/>
    </row>
    <row r="925" spans="16:22" ht="12.75">
      <c r="P925" s="284"/>
      <c r="Q925" s="284"/>
      <c r="R925" s="284"/>
      <c r="S925" s="284"/>
      <c r="T925" s="284"/>
      <c r="U925" s="284"/>
      <c r="V925" s="284"/>
    </row>
    <row r="926" spans="16:22" ht="12.75">
      <c r="P926" s="284"/>
      <c r="Q926" s="284"/>
      <c r="R926" s="284"/>
      <c r="S926" s="284"/>
      <c r="T926" s="284"/>
      <c r="U926" s="284"/>
      <c r="V926" s="284"/>
    </row>
    <row r="927" spans="16:22" ht="12.75">
      <c r="P927" s="284"/>
      <c r="Q927" s="284"/>
      <c r="R927" s="284"/>
      <c r="S927" s="284"/>
      <c r="T927" s="284"/>
      <c r="U927" s="284"/>
      <c r="V927" s="284"/>
    </row>
    <row r="928" spans="16:22" ht="12.75">
      <c r="P928" s="284"/>
      <c r="Q928" s="284"/>
      <c r="R928" s="284"/>
      <c r="S928" s="284"/>
      <c r="T928" s="284"/>
      <c r="U928" s="284"/>
      <c r="V928" s="284"/>
    </row>
    <row r="929" spans="16:22" ht="12.75">
      <c r="P929" s="284"/>
      <c r="Q929" s="284"/>
      <c r="R929" s="284"/>
      <c r="S929" s="284"/>
      <c r="T929" s="284"/>
      <c r="U929" s="284"/>
      <c r="V929" s="284"/>
    </row>
    <row r="930" spans="16:22" ht="12.75">
      <c r="P930" s="284"/>
      <c r="Q930" s="284"/>
      <c r="R930" s="284"/>
      <c r="S930" s="284"/>
      <c r="T930" s="284"/>
      <c r="U930" s="284"/>
      <c r="V930" s="284"/>
    </row>
    <row r="931" spans="16:22" ht="12.75">
      <c r="P931" s="284"/>
      <c r="Q931" s="284"/>
      <c r="R931" s="284"/>
      <c r="S931" s="284"/>
      <c r="T931" s="284"/>
      <c r="U931" s="284"/>
      <c r="V931" s="284"/>
    </row>
    <row r="932" spans="16:22" ht="12.75">
      <c r="P932" s="284"/>
      <c r="Q932" s="284"/>
      <c r="R932" s="284"/>
      <c r="S932" s="284"/>
      <c r="T932" s="284"/>
      <c r="U932" s="284"/>
      <c r="V932" s="284"/>
    </row>
    <row r="933" spans="16:22" ht="12.75">
      <c r="P933" s="284"/>
      <c r="Q933" s="284"/>
      <c r="R933" s="284"/>
      <c r="S933" s="284"/>
      <c r="T933" s="284"/>
      <c r="U933" s="284"/>
      <c r="V933" s="284"/>
    </row>
    <row r="934" spans="16:22" ht="12.75">
      <c r="P934" s="284"/>
      <c r="Q934" s="284"/>
      <c r="R934" s="284"/>
      <c r="S934" s="284"/>
      <c r="T934" s="284"/>
      <c r="U934" s="284"/>
      <c r="V934" s="284"/>
    </row>
    <row r="935" spans="16:22" ht="12.75">
      <c r="P935" s="284"/>
      <c r="Q935" s="284"/>
      <c r="R935" s="284"/>
      <c r="S935" s="284"/>
      <c r="T935" s="284"/>
      <c r="U935" s="284"/>
      <c r="V935" s="284"/>
    </row>
    <row r="936" spans="16:22" ht="12.75">
      <c r="P936" s="284"/>
      <c r="Q936" s="284"/>
      <c r="R936" s="284"/>
      <c r="S936" s="284"/>
      <c r="T936" s="284"/>
      <c r="U936" s="284"/>
      <c r="V936" s="284"/>
    </row>
    <row r="937" spans="16:22" ht="12.75">
      <c r="P937" s="284"/>
      <c r="Q937" s="284"/>
      <c r="R937" s="284"/>
      <c r="S937" s="284"/>
      <c r="T937" s="284"/>
      <c r="U937" s="284"/>
      <c r="V937" s="284"/>
    </row>
    <row r="938" spans="16:22" ht="12.75">
      <c r="P938" s="284"/>
      <c r="Q938" s="284"/>
      <c r="R938" s="284"/>
      <c r="S938" s="284"/>
      <c r="T938" s="284"/>
      <c r="U938" s="284"/>
      <c r="V938" s="284"/>
    </row>
    <row r="939" spans="16:22" ht="12.75">
      <c r="P939" s="284"/>
      <c r="Q939" s="284"/>
      <c r="R939" s="284"/>
      <c r="S939" s="284"/>
      <c r="T939" s="284"/>
      <c r="U939" s="284"/>
      <c r="V939" s="284"/>
    </row>
    <row r="940" spans="16:22" ht="12.75">
      <c r="P940" s="284"/>
      <c r="Q940" s="284"/>
      <c r="R940" s="284"/>
      <c r="S940" s="284"/>
      <c r="T940" s="284"/>
      <c r="U940" s="284"/>
      <c r="V940" s="284"/>
    </row>
    <row r="941" spans="16:22" ht="12.75">
      <c r="P941" s="284"/>
      <c r="Q941" s="284"/>
      <c r="R941" s="284"/>
      <c r="S941" s="284"/>
      <c r="T941" s="284"/>
      <c r="U941" s="284"/>
      <c r="V941" s="284"/>
    </row>
    <row r="942" spans="16:22" ht="12.75">
      <c r="P942" s="284"/>
      <c r="Q942" s="284"/>
      <c r="R942" s="284"/>
      <c r="S942" s="284"/>
      <c r="T942" s="284"/>
      <c r="U942" s="284"/>
      <c r="V942" s="284"/>
    </row>
    <row r="943" spans="16:22" ht="12.75">
      <c r="P943" s="284"/>
      <c r="Q943" s="284"/>
      <c r="R943" s="284"/>
      <c r="S943" s="284"/>
      <c r="T943" s="284"/>
      <c r="U943" s="284"/>
      <c r="V943" s="284"/>
    </row>
    <row r="944" spans="16:22" ht="12.75">
      <c r="P944" s="284"/>
      <c r="Q944" s="284"/>
      <c r="R944" s="284"/>
      <c r="S944" s="284"/>
      <c r="T944" s="284"/>
      <c r="U944" s="284"/>
      <c r="V944" s="284"/>
    </row>
    <row r="945" spans="16:22" ht="12.75">
      <c r="P945" s="284"/>
      <c r="Q945" s="284"/>
      <c r="R945" s="284"/>
      <c r="S945" s="284"/>
      <c r="T945" s="284"/>
      <c r="U945" s="284"/>
      <c r="V945" s="284"/>
    </row>
    <row r="946" spans="16:22" ht="12.75">
      <c r="P946" s="284"/>
      <c r="Q946" s="284"/>
      <c r="R946" s="284"/>
      <c r="S946" s="284"/>
      <c r="T946" s="284"/>
      <c r="U946" s="284"/>
      <c r="V946" s="284"/>
    </row>
    <row r="947" spans="16:22" ht="12.75">
      <c r="P947" s="284"/>
      <c r="Q947" s="284"/>
      <c r="R947" s="284"/>
      <c r="S947" s="284"/>
      <c r="T947" s="284"/>
      <c r="U947" s="284"/>
      <c r="V947" s="284"/>
    </row>
    <row r="948" spans="16:22" ht="12.75">
      <c r="P948" s="284"/>
      <c r="Q948" s="284"/>
      <c r="R948" s="284"/>
      <c r="S948" s="284"/>
      <c r="T948" s="284"/>
      <c r="U948" s="284"/>
      <c r="V948" s="284"/>
    </row>
    <row r="949" spans="16:22" ht="12.75">
      <c r="P949" s="284"/>
      <c r="Q949" s="284"/>
      <c r="R949" s="284"/>
      <c r="S949" s="284"/>
      <c r="T949" s="284"/>
      <c r="U949" s="284"/>
      <c r="V949" s="284"/>
    </row>
    <row r="950" spans="16:22" ht="12.75">
      <c r="P950" s="284"/>
      <c r="Q950" s="284"/>
      <c r="R950" s="284"/>
      <c r="S950" s="284"/>
      <c r="T950" s="284"/>
      <c r="U950" s="284"/>
      <c r="V950" s="284"/>
    </row>
    <row r="951" spans="16:22" ht="12.75">
      <c r="P951" s="284"/>
      <c r="Q951" s="284"/>
      <c r="R951" s="284"/>
      <c r="S951" s="284"/>
      <c r="T951" s="284"/>
      <c r="U951" s="284"/>
      <c r="V951" s="284"/>
    </row>
    <row r="952" spans="16:22" ht="12.75">
      <c r="P952" s="284"/>
      <c r="Q952" s="284"/>
      <c r="R952" s="284"/>
      <c r="S952" s="284"/>
      <c r="T952" s="284"/>
      <c r="U952" s="284"/>
      <c r="V952" s="284"/>
    </row>
    <row r="953" spans="16:22" ht="12.75">
      <c r="P953" s="284"/>
      <c r="Q953" s="284"/>
      <c r="R953" s="284"/>
      <c r="S953" s="284"/>
      <c r="T953" s="284"/>
      <c r="U953" s="284"/>
      <c r="V953" s="284"/>
    </row>
    <row r="954" spans="16:22" ht="12.75">
      <c r="P954" s="284"/>
      <c r="Q954" s="284"/>
      <c r="R954" s="284"/>
      <c r="S954" s="284"/>
      <c r="T954" s="284"/>
      <c r="U954" s="284"/>
      <c r="V954" s="284"/>
    </row>
    <row r="955" spans="16:22" ht="12.75">
      <c r="P955" s="284"/>
      <c r="Q955" s="284"/>
      <c r="R955" s="284"/>
      <c r="S955" s="284"/>
      <c r="T955" s="284"/>
      <c r="U955" s="284"/>
      <c r="V955" s="284"/>
    </row>
    <row r="956" spans="16:22" ht="12.75">
      <c r="P956" s="284"/>
      <c r="Q956" s="284"/>
      <c r="R956" s="284"/>
      <c r="S956" s="284"/>
      <c r="T956" s="284"/>
      <c r="U956" s="284"/>
      <c r="V956" s="284"/>
    </row>
    <row r="957" spans="16:22" ht="12.75">
      <c r="P957" s="284"/>
      <c r="Q957" s="284"/>
      <c r="R957" s="284"/>
      <c r="S957" s="284"/>
      <c r="T957" s="284"/>
      <c r="U957" s="284"/>
      <c r="V957" s="284"/>
    </row>
    <row r="958" spans="16:22" ht="12.75">
      <c r="P958" s="284"/>
      <c r="Q958" s="284"/>
      <c r="R958" s="284"/>
      <c r="S958" s="284"/>
      <c r="T958" s="284"/>
      <c r="U958" s="284"/>
      <c r="V958" s="284"/>
    </row>
    <row r="959" spans="16:22" ht="12.75">
      <c r="P959" s="284"/>
      <c r="Q959" s="284"/>
      <c r="R959" s="284"/>
      <c r="S959" s="284"/>
      <c r="T959" s="284"/>
      <c r="U959" s="284"/>
      <c r="V959" s="284"/>
    </row>
    <row r="960" spans="16:22" ht="12.75">
      <c r="P960" s="284"/>
      <c r="Q960" s="284"/>
      <c r="R960" s="284"/>
      <c r="S960" s="284"/>
      <c r="T960" s="284"/>
      <c r="U960" s="284"/>
      <c r="V960" s="284"/>
    </row>
    <row r="961" spans="16:22" ht="12.75">
      <c r="P961" s="284"/>
      <c r="Q961" s="284"/>
      <c r="R961" s="284"/>
      <c r="S961" s="284"/>
      <c r="T961" s="284"/>
      <c r="U961" s="284"/>
      <c r="V961" s="284"/>
    </row>
    <row r="962" spans="16:22" ht="12.75">
      <c r="P962" s="284"/>
      <c r="Q962" s="284"/>
      <c r="R962" s="284"/>
      <c r="S962" s="284"/>
      <c r="T962" s="284"/>
      <c r="U962" s="284"/>
      <c r="V962" s="284"/>
    </row>
    <row r="963" spans="16:22" ht="12.75">
      <c r="P963" s="284"/>
      <c r="Q963" s="284"/>
      <c r="R963" s="284"/>
      <c r="S963" s="284"/>
      <c r="T963" s="284"/>
      <c r="U963" s="284"/>
      <c r="V963" s="284"/>
    </row>
    <row r="964" spans="16:22" ht="12.75">
      <c r="P964" s="284"/>
      <c r="Q964" s="284"/>
      <c r="R964" s="284"/>
      <c r="S964" s="284"/>
      <c r="T964" s="284"/>
      <c r="U964" s="284"/>
      <c r="V964" s="284"/>
    </row>
    <row r="965" spans="16:22" ht="12.75">
      <c r="P965" s="284"/>
      <c r="Q965" s="284"/>
      <c r="R965" s="284"/>
      <c r="S965" s="284"/>
      <c r="T965" s="284"/>
      <c r="U965" s="284"/>
      <c r="V965" s="284"/>
    </row>
    <row r="966" spans="16:22" ht="12.75">
      <c r="P966" s="284"/>
      <c r="Q966" s="284"/>
      <c r="R966" s="284"/>
      <c r="S966" s="284"/>
      <c r="T966" s="284"/>
      <c r="U966" s="284"/>
      <c r="V966" s="284"/>
    </row>
    <row r="967" spans="16:22" ht="12.75">
      <c r="P967" s="284"/>
      <c r="Q967" s="284"/>
      <c r="R967" s="284"/>
      <c r="S967" s="284"/>
      <c r="T967" s="284"/>
      <c r="U967" s="284"/>
      <c r="V967" s="284"/>
    </row>
    <row r="968" spans="16:22" ht="12.75">
      <c r="P968" s="284"/>
      <c r="Q968" s="284"/>
      <c r="R968" s="284"/>
      <c r="S968" s="284"/>
      <c r="T968" s="284"/>
      <c r="U968" s="284"/>
      <c r="V968" s="284"/>
    </row>
    <row r="969" spans="16:22" ht="12.75">
      <c r="P969" s="284"/>
      <c r="Q969" s="284"/>
      <c r="R969" s="284"/>
      <c r="S969" s="284"/>
      <c r="T969" s="284"/>
      <c r="U969" s="284"/>
      <c r="V969" s="284"/>
    </row>
    <row r="970" spans="16:22" ht="12.75">
      <c r="P970" s="284"/>
      <c r="Q970" s="284"/>
      <c r="R970" s="284"/>
      <c r="S970" s="284"/>
      <c r="T970" s="284"/>
      <c r="U970" s="284"/>
      <c r="V970" s="284"/>
    </row>
    <row r="971" spans="16:22" ht="12.75">
      <c r="P971" s="284"/>
      <c r="Q971" s="284"/>
      <c r="R971" s="284"/>
      <c r="S971" s="284"/>
      <c r="T971" s="284"/>
      <c r="U971" s="284"/>
      <c r="V971" s="284"/>
    </row>
    <row r="972" spans="16:22" ht="12.75">
      <c r="P972" s="284"/>
      <c r="Q972" s="284"/>
      <c r="R972" s="284"/>
      <c r="S972" s="284"/>
      <c r="T972" s="284"/>
      <c r="U972" s="284"/>
      <c r="V972" s="284"/>
    </row>
    <row r="973" spans="16:22" ht="12.75">
      <c r="P973" s="284"/>
      <c r="Q973" s="284"/>
      <c r="R973" s="284"/>
      <c r="S973" s="284"/>
      <c r="T973" s="284"/>
      <c r="U973" s="284"/>
      <c r="V973" s="284"/>
    </row>
    <row r="974" spans="16:22" ht="12.75">
      <c r="P974" s="284"/>
      <c r="Q974" s="284"/>
      <c r="R974" s="284"/>
      <c r="S974" s="284"/>
      <c r="T974" s="284"/>
      <c r="U974" s="284"/>
      <c r="V974" s="284"/>
    </row>
    <row r="975" spans="16:22" ht="12.75">
      <c r="P975" s="284"/>
      <c r="Q975" s="284"/>
      <c r="R975" s="284"/>
      <c r="S975" s="284"/>
      <c r="T975" s="284"/>
      <c r="U975" s="284"/>
      <c r="V975" s="284"/>
    </row>
    <row r="976" spans="16:22" ht="12.75">
      <c r="P976" s="284"/>
      <c r="Q976" s="284"/>
      <c r="R976" s="284"/>
      <c r="S976" s="284"/>
      <c r="T976" s="284"/>
      <c r="U976" s="284"/>
      <c r="V976" s="284"/>
    </row>
    <row r="977" spans="16:22" ht="12.75">
      <c r="P977" s="284"/>
      <c r="Q977" s="284"/>
      <c r="R977" s="284"/>
      <c r="S977" s="284"/>
      <c r="T977" s="284"/>
      <c r="U977" s="284"/>
      <c r="V977" s="284"/>
    </row>
    <row r="978" spans="16:22" ht="12.75">
      <c r="P978" s="284"/>
      <c r="Q978" s="284"/>
      <c r="R978" s="284"/>
      <c r="S978" s="284"/>
      <c r="T978" s="284"/>
      <c r="U978" s="284"/>
      <c r="V978" s="284"/>
    </row>
    <row r="979" spans="16:22" ht="12.75">
      <c r="P979" s="284"/>
      <c r="Q979" s="284"/>
      <c r="R979" s="284"/>
      <c r="S979" s="284"/>
      <c r="T979" s="284"/>
      <c r="U979" s="284"/>
      <c r="V979" s="284"/>
    </row>
    <row r="980" spans="16:22" ht="12.75">
      <c r="P980" s="284"/>
      <c r="Q980" s="284"/>
      <c r="R980" s="284"/>
      <c r="S980" s="284"/>
      <c r="T980" s="284"/>
      <c r="U980" s="284"/>
      <c r="V980" s="284"/>
    </row>
    <row r="981" spans="16:22" ht="12.75">
      <c r="P981" s="284"/>
      <c r="Q981" s="284"/>
      <c r="R981" s="284"/>
      <c r="S981" s="284"/>
      <c r="T981" s="284"/>
      <c r="U981" s="284"/>
      <c r="V981" s="284"/>
    </row>
    <row r="982" spans="16:22" ht="12.75">
      <c r="P982" s="284"/>
      <c r="Q982" s="284"/>
      <c r="R982" s="284"/>
      <c r="S982" s="284"/>
      <c r="T982" s="284"/>
      <c r="U982" s="284"/>
      <c r="V982" s="284"/>
    </row>
    <row r="983" spans="16:22" ht="12.75">
      <c r="P983" s="284"/>
      <c r="Q983" s="284"/>
      <c r="R983" s="284"/>
      <c r="S983" s="284"/>
      <c r="T983" s="284"/>
      <c r="U983" s="284"/>
      <c r="V983" s="284"/>
    </row>
    <row r="984" spans="16:22" ht="12.75">
      <c r="P984" s="284"/>
      <c r="Q984" s="284"/>
      <c r="R984" s="284"/>
      <c r="S984" s="284"/>
      <c r="T984" s="284"/>
      <c r="U984" s="284"/>
      <c r="V984" s="284"/>
    </row>
    <row r="985" spans="16:22" ht="12.75">
      <c r="P985" s="284"/>
      <c r="Q985" s="284"/>
      <c r="R985" s="284"/>
      <c r="S985" s="284"/>
      <c r="T985" s="284"/>
      <c r="U985" s="284"/>
      <c r="V985" s="284"/>
    </row>
    <row r="986" spans="16:22" ht="12.75">
      <c r="P986" s="284"/>
      <c r="Q986" s="284"/>
      <c r="R986" s="284"/>
      <c r="S986" s="284"/>
      <c r="T986" s="284"/>
      <c r="U986" s="284"/>
      <c r="V986" s="284"/>
    </row>
    <row r="987" spans="16:22" ht="12.75">
      <c r="P987" s="284"/>
      <c r="Q987" s="284"/>
      <c r="R987" s="284"/>
      <c r="S987" s="284"/>
      <c r="T987" s="284"/>
      <c r="U987" s="284"/>
      <c r="V987" s="284"/>
    </row>
    <row r="988" spans="16:22" ht="12.75">
      <c r="P988" s="284"/>
      <c r="Q988" s="284"/>
      <c r="R988" s="284"/>
      <c r="S988" s="284"/>
      <c r="T988" s="284"/>
      <c r="U988" s="284"/>
      <c r="V988" s="284"/>
    </row>
    <row r="989" spans="16:22" ht="12.75">
      <c r="P989" s="284"/>
      <c r="Q989" s="284"/>
      <c r="R989" s="284"/>
      <c r="S989" s="284"/>
      <c r="T989" s="284"/>
      <c r="U989" s="284"/>
      <c r="V989" s="284"/>
    </row>
    <row r="990" spans="16:22" ht="12.75">
      <c r="P990" s="284"/>
      <c r="Q990" s="284"/>
      <c r="R990" s="284"/>
      <c r="S990" s="284"/>
      <c r="T990" s="284"/>
      <c r="U990" s="284"/>
      <c r="V990" s="284"/>
    </row>
    <row r="991" spans="16:22" ht="12.75">
      <c r="P991" s="284"/>
      <c r="Q991" s="284"/>
      <c r="R991" s="284"/>
      <c r="S991" s="284"/>
      <c r="T991" s="284"/>
      <c r="U991" s="284"/>
      <c r="V991" s="284"/>
    </row>
    <row r="992" spans="16:22" ht="12.75">
      <c r="P992" s="284"/>
      <c r="Q992" s="284"/>
      <c r="R992" s="284"/>
      <c r="S992" s="284"/>
      <c r="T992" s="284"/>
      <c r="U992" s="284"/>
      <c r="V992" s="284"/>
    </row>
    <row r="993" spans="16:22" ht="12.75">
      <c r="P993" s="284"/>
      <c r="Q993" s="284"/>
      <c r="R993" s="284"/>
      <c r="S993" s="284"/>
      <c r="T993" s="284"/>
      <c r="U993" s="284"/>
      <c r="V993" s="284"/>
    </row>
    <row r="994" spans="16:22" ht="12.75">
      <c r="P994" s="284"/>
      <c r="Q994" s="284"/>
      <c r="R994" s="284"/>
      <c r="S994" s="284"/>
      <c r="T994" s="284"/>
      <c r="U994" s="284"/>
      <c r="V994" s="284"/>
    </row>
    <row r="995" spans="16:22" ht="12.75">
      <c r="P995" s="284"/>
      <c r="Q995" s="284"/>
      <c r="R995" s="284"/>
      <c r="S995" s="284"/>
      <c r="T995" s="284"/>
      <c r="U995" s="284"/>
      <c r="V995" s="284"/>
    </row>
    <row r="996" spans="16:22" ht="12.75">
      <c r="P996" s="284"/>
      <c r="Q996" s="284"/>
      <c r="R996" s="284"/>
      <c r="S996" s="284"/>
      <c r="T996" s="284"/>
      <c r="U996" s="284"/>
      <c r="V996" s="284"/>
    </row>
    <row r="997" spans="16:22" ht="12.75">
      <c r="P997" s="284"/>
      <c r="Q997" s="284"/>
      <c r="R997" s="284"/>
      <c r="S997" s="284"/>
      <c r="T997" s="284"/>
      <c r="U997" s="284"/>
      <c r="V997" s="284"/>
    </row>
    <row r="998" spans="16:22" ht="12.75">
      <c r="P998" s="284"/>
      <c r="Q998" s="284"/>
      <c r="R998" s="284"/>
      <c r="S998" s="284"/>
      <c r="T998" s="284"/>
      <c r="U998" s="284"/>
      <c r="V998" s="284"/>
    </row>
    <row r="999" spans="16:22" ht="12.75">
      <c r="P999" s="284"/>
      <c r="Q999" s="284"/>
      <c r="R999" s="284"/>
      <c r="S999" s="284"/>
      <c r="T999" s="284"/>
      <c r="U999" s="284"/>
      <c r="V999" s="284"/>
    </row>
    <row r="1000" spans="16:22" ht="12.75">
      <c r="P1000" s="284"/>
      <c r="Q1000" s="284"/>
      <c r="R1000" s="284"/>
      <c r="S1000" s="284"/>
      <c r="T1000" s="284"/>
      <c r="U1000" s="284"/>
      <c r="V1000" s="284"/>
    </row>
    <row r="1001" spans="16:22" ht="12.75">
      <c r="P1001" s="284"/>
      <c r="Q1001" s="284"/>
      <c r="R1001" s="284"/>
      <c r="S1001" s="284"/>
      <c r="T1001" s="284"/>
      <c r="U1001" s="284"/>
      <c r="V1001" s="284"/>
    </row>
    <row r="1002" spans="16:22" ht="12.75">
      <c r="P1002" s="284"/>
      <c r="Q1002" s="284"/>
      <c r="R1002" s="284"/>
      <c r="S1002" s="284"/>
      <c r="T1002" s="284"/>
      <c r="U1002" s="284"/>
      <c r="V1002" s="284"/>
    </row>
    <row r="1003" spans="16:22" ht="12.75">
      <c r="P1003" s="284"/>
      <c r="Q1003" s="284"/>
      <c r="R1003" s="284"/>
      <c r="S1003" s="284"/>
      <c r="T1003" s="284"/>
      <c r="U1003" s="284"/>
      <c r="V1003" s="284"/>
    </row>
    <row r="1004" spans="16:22" ht="12.75">
      <c r="P1004" s="284"/>
      <c r="Q1004" s="284"/>
      <c r="R1004" s="284"/>
      <c r="S1004" s="284"/>
      <c r="T1004" s="284"/>
      <c r="U1004" s="284"/>
      <c r="V1004" s="284"/>
    </row>
    <row r="1005" spans="16:22" ht="12.75">
      <c r="P1005" s="284"/>
      <c r="Q1005" s="284"/>
      <c r="R1005" s="284"/>
      <c r="S1005" s="284"/>
      <c r="T1005" s="284"/>
      <c r="U1005" s="284"/>
      <c r="V1005" s="284"/>
    </row>
    <row r="1006" spans="16:22" ht="12.75">
      <c r="P1006" s="284"/>
      <c r="Q1006" s="284"/>
      <c r="R1006" s="284"/>
      <c r="S1006" s="284"/>
      <c r="T1006" s="284"/>
      <c r="U1006" s="284"/>
      <c r="V1006" s="284"/>
    </row>
    <row r="1007" spans="16:22" ht="12.75">
      <c r="P1007" s="284"/>
      <c r="Q1007" s="284"/>
      <c r="R1007" s="284"/>
      <c r="S1007" s="284"/>
      <c r="T1007" s="284"/>
      <c r="U1007" s="284"/>
      <c r="V1007" s="284"/>
    </row>
    <row r="1008" spans="16:22" ht="12.75">
      <c r="P1008" s="284"/>
      <c r="Q1008" s="284"/>
      <c r="R1008" s="284"/>
      <c r="S1008" s="284"/>
      <c r="T1008" s="284"/>
      <c r="U1008" s="284"/>
      <c r="V1008" s="284"/>
    </row>
  </sheetData>
  <mergeCells count="23">
    <mergeCell ref="A6:A8"/>
    <mergeCell ref="H7:H8"/>
    <mergeCell ref="K7:K8"/>
    <mergeCell ref="P6:P8"/>
    <mergeCell ref="O6:O8"/>
    <mergeCell ref="L7:L8"/>
    <mergeCell ref="N6:N8"/>
    <mergeCell ref="L6:M6"/>
    <mergeCell ref="M7:M8"/>
    <mergeCell ref="G7:G8"/>
    <mergeCell ref="B1:C1"/>
    <mergeCell ref="B3:O3"/>
    <mergeCell ref="B4:O4"/>
    <mergeCell ref="B6:D8"/>
    <mergeCell ref="E6:E8"/>
    <mergeCell ref="F6:F8"/>
    <mergeCell ref="G6:K6"/>
    <mergeCell ref="J7:J8"/>
    <mergeCell ref="I7:I8"/>
    <mergeCell ref="B272:C272"/>
    <mergeCell ref="B276:C276"/>
    <mergeCell ref="B280:C280"/>
    <mergeCell ref="B268:C268"/>
  </mergeCells>
  <printOptions horizontalCentered="1"/>
  <pageMargins left="0.3937007874015748" right="0.3937007874015748" top="0.37" bottom="0.24" header="0.17" footer="0.16"/>
  <pageSetup horizontalDpi="600" verticalDpi="600" orientation="landscape" paperSize="9" scale="60" r:id="rId1"/>
  <headerFooter alignWithMargins="0">
    <oddHeader>&amp;L5. melléklet a 2/2014.(II.27.) önkormányzati rendelethez
"5. melléklet az 1/2013.(II.01.) önkormányzati rendelethez"</oddHeader>
  </headerFooter>
  <rowBreaks count="4" manualBreakCount="4">
    <brk id="62" max="15" man="1"/>
    <brk id="119" max="15" man="1"/>
    <brk id="176" max="15" man="1"/>
    <brk id="23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92"/>
  <sheetViews>
    <sheetView view="pageBreakPreview" zoomScaleSheetLayoutView="100" workbookViewId="0" topLeftCell="A58">
      <selection activeCell="A81" sqref="A81:A85"/>
    </sheetView>
  </sheetViews>
  <sheetFormatPr defaultColWidth="9.00390625" defaultRowHeight="12.75"/>
  <cols>
    <col min="1" max="1" width="13.875" style="212" customWidth="1"/>
    <col min="2" max="2" width="8.00390625" style="213" customWidth="1"/>
    <col min="3" max="3" width="65.00390625" style="212" customWidth="1"/>
    <col min="4" max="4" width="11.25390625" style="214" customWidth="1"/>
    <col min="5" max="5" width="9.25390625" style="215" customWidth="1"/>
    <col min="6" max="6" width="9.00390625" style="212" customWidth="1"/>
    <col min="7" max="7" width="9.875" style="212" customWidth="1"/>
    <col min="8" max="8" width="8.75390625" style="212" customWidth="1"/>
    <col min="9" max="9" width="9.625" style="212" customWidth="1"/>
    <col min="10" max="10" width="9.375" style="212" customWidth="1"/>
    <col min="11" max="11" width="10.125" style="212" customWidth="1"/>
    <col min="12" max="12" width="9.375" style="212" customWidth="1"/>
    <col min="13" max="13" width="9.125" style="212" customWidth="1"/>
    <col min="14" max="14" width="8.875" style="217" customWidth="1"/>
    <col min="15" max="15" width="10.875" style="212" customWidth="1"/>
    <col min="16" max="16384" width="9.125" style="212" customWidth="1"/>
  </cols>
  <sheetData>
    <row r="1" ht="11.25" customHeight="1"/>
    <row r="2" spans="1:15" ht="13.5" customHeight="1">
      <c r="A2" s="1215" t="s">
        <v>138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</row>
    <row r="3" spans="13:15" ht="12" customHeight="1" thickBot="1">
      <c r="M3" s="215"/>
      <c r="N3" s="218"/>
      <c r="O3" s="218"/>
    </row>
    <row r="4" spans="1:15" ht="13.5" thickBot="1">
      <c r="A4" s="1274"/>
      <c r="B4" s="1208" t="s">
        <v>774</v>
      </c>
      <c r="C4" s="1209"/>
      <c r="D4" s="1209"/>
      <c r="E4" s="1206" t="s">
        <v>7</v>
      </c>
      <c r="F4" s="1250" t="s">
        <v>8</v>
      </c>
      <c r="G4" s="1253" t="s">
        <v>726</v>
      </c>
      <c r="H4" s="1253"/>
      <c r="I4" s="1253"/>
      <c r="J4" s="1253"/>
      <c r="K4" s="1253"/>
      <c r="L4" s="1253" t="s">
        <v>727</v>
      </c>
      <c r="M4" s="1253"/>
      <c r="N4" s="1267" t="s">
        <v>9</v>
      </c>
      <c r="O4" s="1277" t="s">
        <v>10</v>
      </c>
    </row>
    <row r="5" spans="1:15" ht="14.25" thickBot="1" thickTop="1">
      <c r="A5" s="1275"/>
      <c r="B5" s="1202"/>
      <c r="C5" s="1203"/>
      <c r="D5" s="1203"/>
      <c r="E5" s="1201"/>
      <c r="F5" s="1251"/>
      <c r="G5" s="1254" t="s">
        <v>12</v>
      </c>
      <c r="H5" s="1254" t="s">
        <v>13</v>
      </c>
      <c r="I5" s="1254" t="s">
        <v>14</v>
      </c>
      <c r="J5" s="1254" t="s">
        <v>15</v>
      </c>
      <c r="K5" s="1254" t="s">
        <v>16</v>
      </c>
      <c r="L5" s="1265" t="s">
        <v>693</v>
      </c>
      <c r="M5" s="1265" t="s">
        <v>691</v>
      </c>
      <c r="N5" s="1268"/>
      <c r="O5" s="1278"/>
    </row>
    <row r="6" spans="1:15" ht="13.5" customHeight="1" thickBot="1" thickTop="1">
      <c r="A6" s="1276"/>
      <c r="B6" s="1204"/>
      <c r="C6" s="1205"/>
      <c r="D6" s="1205"/>
      <c r="E6" s="1249"/>
      <c r="F6" s="1252"/>
      <c r="G6" s="1255"/>
      <c r="H6" s="1255"/>
      <c r="I6" s="1255"/>
      <c r="J6" s="1255"/>
      <c r="K6" s="1255"/>
      <c r="L6" s="1266"/>
      <c r="M6" s="1266"/>
      <c r="N6" s="1269"/>
      <c r="O6" s="1279"/>
    </row>
    <row r="7" spans="1:15" ht="12.75" customHeight="1">
      <c r="A7" s="223" t="s">
        <v>17</v>
      </c>
      <c r="B7" s="286">
        <v>421100</v>
      </c>
      <c r="C7" s="287" t="s">
        <v>139</v>
      </c>
      <c r="D7" s="288" t="s">
        <v>540</v>
      </c>
      <c r="E7" s="219"/>
      <c r="F7" s="1170">
        <f>SUM(G7:O7)</f>
        <v>0</v>
      </c>
      <c r="G7" s="221"/>
      <c r="H7" s="221"/>
      <c r="I7" s="221"/>
      <c r="J7" s="221"/>
      <c r="K7" s="221"/>
      <c r="L7" s="220"/>
      <c r="M7" s="220"/>
      <c r="N7" s="221"/>
      <c r="O7" s="222"/>
    </row>
    <row r="8" spans="1:15" s="299" customFormat="1" ht="12.75" customHeight="1">
      <c r="A8" s="291"/>
      <c r="B8" s="292"/>
      <c r="C8" s="293"/>
      <c r="D8" s="294" t="s">
        <v>915</v>
      </c>
      <c r="E8" s="295"/>
      <c r="F8" s="1171">
        <f aca="true" t="shared" si="0" ref="F8:F63">SUM(G8:O8)</f>
        <v>0</v>
      </c>
      <c r="G8" s="297"/>
      <c r="H8" s="297"/>
      <c r="I8" s="297"/>
      <c r="J8" s="297"/>
      <c r="K8" s="297"/>
      <c r="L8" s="296"/>
      <c r="M8" s="296"/>
      <c r="N8" s="297"/>
      <c r="O8" s="298"/>
    </row>
    <row r="9" spans="1:15" s="299" customFormat="1" ht="12.75" customHeight="1">
      <c r="A9" s="291"/>
      <c r="B9" s="292"/>
      <c r="C9" s="293"/>
      <c r="D9" s="294" t="s">
        <v>741</v>
      </c>
      <c r="E9" s="295"/>
      <c r="F9" s="1171">
        <f t="shared" si="0"/>
        <v>0</v>
      </c>
      <c r="G9" s="297"/>
      <c r="H9" s="297"/>
      <c r="I9" s="297"/>
      <c r="J9" s="297"/>
      <c r="K9" s="297"/>
      <c r="L9" s="296"/>
      <c r="M9" s="296"/>
      <c r="N9" s="297"/>
      <c r="O9" s="298"/>
    </row>
    <row r="10" spans="1:15" ht="12.75" customHeight="1">
      <c r="A10" s="231" t="s">
        <v>23</v>
      </c>
      <c r="B10" s="232" t="s">
        <v>140</v>
      </c>
      <c r="C10" s="233" t="s">
        <v>141</v>
      </c>
      <c r="D10" s="234" t="s">
        <v>540</v>
      </c>
      <c r="E10" s="235">
        <v>2440</v>
      </c>
      <c r="F10" s="1171">
        <f t="shared" si="0"/>
        <v>3609</v>
      </c>
      <c r="G10" s="236"/>
      <c r="H10" s="236"/>
      <c r="I10" s="236">
        <v>3609</v>
      </c>
      <c r="J10" s="236"/>
      <c r="K10" s="236"/>
      <c r="L10" s="236"/>
      <c r="M10" s="236"/>
      <c r="N10" s="236"/>
      <c r="O10" s="237"/>
    </row>
    <row r="11" spans="1:15" ht="12.75" customHeight="1">
      <c r="A11" s="231"/>
      <c r="B11" s="232"/>
      <c r="C11" s="233"/>
      <c r="D11" s="294" t="s">
        <v>915</v>
      </c>
      <c r="E11" s="235">
        <v>7</v>
      </c>
      <c r="F11" s="1171">
        <f t="shared" si="0"/>
        <v>33</v>
      </c>
      <c r="G11" s="236"/>
      <c r="H11" s="236"/>
      <c r="I11" s="236">
        <v>33</v>
      </c>
      <c r="J11" s="236"/>
      <c r="K11" s="236"/>
      <c r="L11" s="236"/>
      <c r="M11" s="236"/>
      <c r="N11" s="236"/>
      <c r="O11" s="237"/>
    </row>
    <row r="12" spans="1:15" ht="12.75" customHeight="1">
      <c r="A12" s="231"/>
      <c r="B12" s="232"/>
      <c r="C12" s="233"/>
      <c r="D12" s="294" t="s">
        <v>741</v>
      </c>
      <c r="E12" s="235">
        <v>7</v>
      </c>
      <c r="F12" s="1171">
        <f t="shared" si="0"/>
        <v>33</v>
      </c>
      <c r="G12" s="236"/>
      <c r="H12" s="236"/>
      <c r="I12" s="236">
        <v>33</v>
      </c>
      <c r="J12" s="236"/>
      <c r="K12" s="236"/>
      <c r="L12" s="236"/>
      <c r="M12" s="236"/>
      <c r="N12" s="236"/>
      <c r="O12" s="237"/>
    </row>
    <row r="13" spans="1:15" ht="12.75" customHeight="1">
      <c r="A13" s="231" t="s">
        <v>35</v>
      </c>
      <c r="B13" s="232" t="s">
        <v>150</v>
      </c>
      <c r="C13" s="233" t="s">
        <v>151</v>
      </c>
      <c r="D13" s="234" t="s">
        <v>540</v>
      </c>
      <c r="E13" s="235"/>
      <c r="F13" s="1171">
        <f t="shared" si="0"/>
        <v>0</v>
      </c>
      <c r="G13" s="236"/>
      <c r="H13" s="236"/>
      <c r="I13" s="236"/>
      <c r="J13" s="236"/>
      <c r="K13" s="236"/>
      <c r="L13" s="236"/>
      <c r="M13" s="236"/>
      <c r="N13" s="236"/>
      <c r="O13" s="237"/>
    </row>
    <row r="14" spans="1:15" ht="12.75" customHeight="1">
      <c r="A14" s="231"/>
      <c r="B14" s="232"/>
      <c r="C14" s="233"/>
      <c r="D14" s="294" t="s">
        <v>915</v>
      </c>
      <c r="E14" s="235"/>
      <c r="F14" s="1171">
        <f t="shared" si="0"/>
        <v>251</v>
      </c>
      <c r="G14" s="236"/>
      <c r="H14" s="236"/>
      <c r="I14" s="236">
        <v>251</v>
      </c>
      <c r="J14" s="236"/>
      <c r="K14" s="236"/>
      <c r="L14" s="236"/>
      <c r="M14" s="236"/>
      <c r="N14" s="236"/>
      <c r="O14" s="237"/>
    </row>
    <row r="15" spans="1:15" ht="12.75" customHeight="1">
      <c r="A15" s="231"/>
      <c r="B15" s="232"/>
      <c r="C15" s="233"/>
      <c r="D15" s="294" t="s">
        <v>741</v>
      </c>
      <c r="E15" s="235"/>
      <c r="F15" s="1171">
        <f t="shared" si="0"/>
        <v>251</v>
      </c>
      <c r="G15" s="236"/>
      <c r="H15" s="236"/>
      <c r="I15" s="236">
        <v>251</v>
      </c>
      <c r="J15" s="236"/>
      <c r="K15" s="236"/>
      <c r="L15" s="236"/>
      <c r="M15" s="236"/>
      <c r="N15" s="236"/>
      <c r="O15" s="237"/>
    </row>
    <row r="16" spans="1:15" ht="12.75" customHeight="1">
      <c r="A16" s="231" t="s">
        <v>35</v>
      </c>
      <c r="B16" s="232" t="s">
        <v>152</v>
      </c>
      <c r="C16" s="233" t="s">
        <v>153</v>
      </c>
      <c r="D16" s="234" t="s">
        <v>540</v>
      </c>
      <c r="E16" s="235"/>
      <c r="F16" s="1171">
        <f t="shared" si="0"/>
        <v>0</v>
      </c>
      <c r="G16" s="236"/>
      <c r="H16" s="236"/>
      <c r="I16" s="236"/>
      <c r="J16" s="236"/>
      <c r="K16" s="236"/>
      <c r="L16" s="236"/>
      <c r="M16" s="236"/>
      <c r="N16" s="236"/>
      <c r="O16" s="237"/>
    </row>
    <row r="17" spans="1:15" ht="12.75" customHeight="1">
      <c r="A17" s="231"/>
      <c r="B17" s="232"/>
      <c r="C17" s="233"/>
      <c r="D17" s="294" t="s">
        <v>915</v>
      </c>
      <c r="E17" s="235"/>
      <c r="F17" s="1171">
        <f t="shared" si="0"/>
        <v>994</v>
      </c>
      <c r="G17" s="236"/>
      <c r="H17" s="236"/>
      <c r="I17" s="236">
        <v>994</v>
      </c>
      <c r="J17" s="236"/>
      <c r="K17" s="236"/>
      <c r="L17" s="236"/>
      <c r="M17" s="236"/>
      <c r="N17" s="236"/>
      <c r="O17" s="237"/>
    </row>
    <row r="18" spans="1:15" ht="12.75" customHeight="1">
      <c r="A18" s="231"/>
      <c r="B18" s="232"/>
      <c r="C18" s="233"/>
      <c r="D18" s="294" t="s">
        <v>741</v>
      </c>
      <c r="E18" s="235"/>
      <c r="F18" s="1171">
        <f t="shared" si="0"/>
        <v>994</v>
      </c>
      <c r="G18" s="236"/>
      <c r="H18" s="236"/>
      <c r="I18" s="236">
        <v>994</v>
      </c>
      <c r="J18" s="236"/>
      <c r="K18" s="236"/>
      <c r="L18" s="236"/>
      <c r="M18" s="236"/>
      <c r="N18" s="236"/>
      <c r="O18" s="237"/>
    </row>
    <row r="19" spans="1:15" ht="12.75" customHeight="1">
      <c r="A19" s="231" t="s">
        <v>35</v>
      </c>
      <c r="B19" s="232" t="s">
        <v>154</v>
      </c>
      <c r="C19" s="233" t="s">
        <v>36</v>
      </c>
      <c r="D19" s="234" t="s">
        <v>540</v>
      </c>
      <c r="E19" s="235"/>
      <c r="F19" s="1171">
        <f t="shared" si="0"/>
        <v>0</v>
      </c>
      <c r="G19" s="236"/>
      <c r="H19" s="236"/>
      <c r="I19" s="236"/>
      <c r="J19" s="236"/>
      <c r="K19" s="236"/>
      <c r="L19" s="236"/>
      <c r="M19" s="236"/>
      <c r="N19" s="236"/>
      <c r="O19" s="237"/>
    </row>
    <row r="20" spans="1:15" ht="12.75" customHeight="1">
      <c r="A20" s="231"/>
      <c r="B20" s="232"/>
      <c r="C20" s="233"/>
      <c r="D20" s="294" t="s">
        <v>915</v>
      </c>
      <c r="E20" s="235"/>
      <c r="F20" s="1171">
        <f t="shared" si="0"/>
        <v>3917</v>
      </c>
      <c r="G20" s="236">
        <v>3089</v>
      </c>
      <c r="H20" s="236">
        <v>804</v>
      </c>
      <c r="I20" s="236">
        <v>24</v>
      </c>
      <c r="J20" s="236"/>
      <c r="K20" s="236"/>
      <c r="L20" s="236"/>
      <c r="M20" s="236"/>
      <c r="N20" s="236"/>
      <c r="O20" s="237"/>
    </row>
    <row r="21" spans="1:15" ht="12.75" customHeight="1">
      <c r="A21" s="231"/>
      <c r="B21" s="232"/>
      <c r="C21" s="233"/>
      <c r="D21" s="294" t="s">
        <v>741</v>
      </c>
      <c r="E21" s="235"/>
      <c r="F21" s="1171">
        <f t="shared" si="0"/>
        <v>3917</v>
      </c>
      <c r="G21" s="236">
        <v>3089</v>
      </c>
      <c r="H21" s="236">
        <v>804</v>
      </c>
      <c r="I21" s="236">
        <v>24</v>
      </c>
      <c r="J21" s="236"/>
      <c r="K21" s="236"/>
      <c r="L21" s="236"/>
      <c r="M21" s="236"/>
      <c r="N21" s="236"/>
      <c r="O21" s="237"/>
    </row>
    <row r="22" spans="1:15" ht="12.75" customHeight="1">
      <c r="A22" s="231" t="s">
        <v>35</v>
      </c>
      <c r="B22" s="238">
        <v>841126</v>
      </c>
      <c r="C22" s="239" t="s">
        <v>142</v>
      </c>
      <c r="D22" s="234" t="s">
        <v>540</v>
      </c>
      <c r="E22" s="235">
        <v>9114</v>
      </c>
      <c r="F22" s="1171">
        <f t="shared" si="0"/>
        <v>370681</v>
      </c>
      <c r="G22" s="236">
        <v>185772</v>
      </c>
      <c r="H22" s="236">
        <v>47416</v>
      </c>
      <c r="I22" s="236">
        <v>122754</v>
      </c>
      <c r="J22" s="236">
        <v>13739</v>
      </c>
      <c r="K22" s="236"/>
      <c r="L22" s="236"/>
      <c r="M22" s="236">
        <v>1000</v>
      </c>
      <c r="N22" s="236"/>
      <c r="O22" s="237"/>
    </row>
    <row r="23" spans="1:15" ht="12.75" customHeight="1">
      <c r="A23" s="231"/>
      <c r="B23" s="238"/>
      <c r="C23" s="239"/>
      <c r="D23" s="294" t="s">
        <v>915</v>
      </c>
      <c r="E23" s="235">
        <v>17193</v>
      </c>
      <c r="F23" s="1171">
        <f t="shared" si="0"/>
        <v>71547</v>
      </c>
      <c r="G23" s="236">
        <v>36944</v>
      </c>
      <c r="H23" s="236">
        <v>9628</v>
      </c>
      <c r="I23" s="236">
        <v>19236</v>
      </c>
      <c r="J23" s="236">
        <v>5349</v>
      </c>
      <c r="K23" s="236"/>
      <c r="L23" s="236"/>
      <c r="M23" s="236">
        <v>390</v>
      </c>
      <c r="N23" s="236"/>
      <c r="O23" s="237"/>
    </row>
    <row r="24" spans="1:15" ht="12.75" customHeight="1">
      <c r="A24" s="231"/>
      <c r="B24" s="238"/>
      <c r="C24" s="239"/>
      <c r="D24" s="294" t="s">
        <v>741</v>
      </c>
      <c r="E24" s="235">
        <v>17193</v>
      </c>
      <c r="F24" s="1171">
        <f t="shared" si="0"/>
        <v>71547</v>
      </c>
      <c r="G24" s="236">
        <v>36944</v>
      </c>
      <c r="H24" s="236">
        <v>9628</v>
      </c>
      <c r="I24" s="236">
        <v>19236</v>
      </c>
      <c r="J24" s="236">
        <v>5349</v>
      </c>
      <c r="K24" s="236"/>
      <c r="L24" s="236"/>
      <c r="M24" s="236">
        <v>390</v>
      </c>
      <c r="N24" s="236"/>
      <c r="O24" s="237"/>
    </row>
    <row r="25" spans="1:15" ht="12.75" customHeight="1">
      <c r="A25" s="231" t="s">
        <v>35</v>
      </c>
      <c r="B25" s="238">
        <v>841133</v>
      </c>
      <c r="C25" s="239" t="s">
        <v>38</v>
      </c>
      <c r="D25" s="234" t="s">
        <v>540</v>
      </c>
      <c r="E25" s="235"/>
      <c r="F25" s="1171">
        <f t="shared" si="0"/>
        <v>42479</v>
      </c>
      <c r="G25" s="236">
        <v>33529</v>
      </c>
      <c r="H25" s="236">
        <v>8754</v>
      </c>
      <c r="I25" s="236">
        <v>196</v>
      </c>
      <c r="J25" s="236"/>
      <c r="K25" s="236"/>
      <c r="L25" s="236"/>
      <c r="M25" s="236"/>
      <c r="N25" s="236"/>
      <c r="O25" s="237"/>
    </row>
    <row r="26" spans="1:15" ht="12.75" customHeight="1">
      <c r="A26" s="231"/>
      <c r="B26" s="238"/>
      <c r="C26" s="239"/>
      <c r="D26" s="294" t="s">
        <v>915</v>
      </c>
      <c r="E26" s="235"/>
      <c r="F26" s="1171">
        <f t="shared" si="0"/>
        <v>14867</v>
      </c>
      <c r="G26" s="236">
        <v>11066</v>
      </c>
      <c r="H26" s="236">
        <v>2934</v>
      </c>
      <c r="I26" s="236">
        <v>867</v>
      </c>
      <c r="J26" s="236"/>
      <c r="K26" s="236"/>
      <c r="L26" s="236"/>
      <c r="M26" s="236"/>
      <c r="N26" s="236"/>
      <c r="O26" s="237"/>
    </row>
    <row r="27" spans="1:15" ht="12.75" customHeight="1">
      <c r="A27" s="231"/>
      <c r="B27" s="238"/>
      <c r="C27" s="239"/>
      <c r="D27" s="294" t="s">
        <v>741</v>
      </c>
      <c r="E27" s="235"/>
      <c r="F27" s="1171">
        <f t="shared" si="0"/>
        <v>14867</v>
      </c>
      <c r="G27" s="236">
        <v>11066</v>
      </c>
      <c r="H27" s="236">
        <v>2934</v>
      </c>
      <c r="I27" s="236">
        <v>867</v>
      </c>
      <c r="J27" s="236"/>
      <c r="K27" s="236"/>
      <c r="L27" s="236"/>
      <c r="M27" s="236"/>
      <c r="N27" s="236"/>
      <c r="O27" s="237"/>
    </row>
    <row r="28" spans="1:15" ht="12.75" customHeight="1">
      <c r="A28" s="231" t="s">
        <v>35</v>
      </c>
      <c r="B28" s="238">
        <v>841154</v>
      </c>
      <c r="C28" s="239" t="s">
        <v>39</v>
      </c>
      <c r="D28" s="234" t="s">
        <v>540</v>
      </c>
      <c r="E28" s="235"/>
      <c r="F28" s="1171">
        <f t="shared" si="0"/>
        <v>0</v>
      </c>
      <c r="G28" s="236"/>
      <c r="H28" s="236"/>
      <c r="I28" s="236"/>
      <c r="J28" s="236"/>
      <c r="K28" s="236"/>
      <c r="L28" s="236"/>
      <c r="M28" s="236"/>
      <c r="N28" s="236"/>
      <c r="O28" s="237"/>
    </row>
    <row r="29" spans="1:15" ht="12.75" customHeight="1">
      <c r="A29" s="231"/>
      <c r="B29" s="238"/>
      <c r="C29" s="239"/>
      <c r="D29" s="294" t="s">
        <v>915</v>
      </c>
      <c r="E29" s="235"/>
      <c r="F29" s="1171">
        <f t="shared" si="0"/>
        <v>128</v>
      </c>
      <c r="G29" s="236"/>
      <c r="H29" s="236"/>
      <c r="I29" s="236">
        <v>128</v>
      </c>
      <c r="J29" s="236"/>
      <c r="K29" s="236"/>
      <c r="L29" s="236"/>
      <c r="M29" s="236"/>
      <c r="N29" s="236"/>
      <c r="O29" s="237"/>
    </row>
    <row r="30" spans="1:15" ht="12.75" customHeight="1">
      <c r="A30" s="231"/>
      <c r="B30" s="238"/>
      <c r="C30" s="239"/>
      <c r="D30" s="294" t="s">
        <v>741</v>
      </c>
      <c r="E30" s="235"/>
      <c r="F30" s="1171">
        <f t="shared" si="0"/>
        <v>128</v>
      </c>
      <c r="G30" s="236"/>
      <c r="H30" s="236"/>
      <c r="I30" s="236">
        <v>128</v>
      </c>
      <c r="J30" s="236"/>
      <c r="K30" s="236"/>
      <c r="L30" s="236"/>
      <c r="M30" s="236"/>
      <c r="N30" s="236"/>
      <c r="O30" s="237"/>
    </row>
    <row r="31" spans="1:15" ht="12.75" customHeight="1">
      <c r="A31" s="231" t="s">
        <v>35</v>
      </c>
      <c r="B31" s="238">
        <v>841403</v>
      </c>
      <c r="C31" s="239" t="s">
        <v>143</v>
      </c>
      <c r="D31" s="234" t="s">
        <v>540</v>
      </c>
      <c r="E31" s="235">
        <v>1000</v>
      </c>
      <c r="F31" s="1171">
        <f t="shared" si="0"/>
        <v>79061</v>
      </c>
      <c r="G31" s="236">
        <v>62686</v>
      </c>
      <c r="H31" s="236">
        <v>15870</v>
      </c>
      <c r="I31" s="236">
        <v>505</v>
      </c>
      <c r="J31" s="236"/>
      <c r="K31" s="236"/>
      <c r="L31" s="236"/>
      <c r="M31" s="236"/>
      <c r="N31" s="236"/>
      <c r="O31" s="237"/>
    </row>
    <row r="32" spans="1:15" ht="12.75" customHeight="1">
      <c r="A32" s="231"/>
      <c r="B32" s="238"/>
      <c r="C32" s="239"/>
      <c r="D32" s="294" t="s">
        <v>915</v>
      </c>
      <c r="E32" s="235">
        <v>165</v>
      </c>
      <c r="F32" s="1171">
        <f t="shared" si="0"/>
        <v>19198</v>
      </c>
      <c r="G32" s="236">
        <v>15061</v>
      </c>
      <c r="H32" s="236">
        <v>3979</v>
      </c>
      <c r="I32" s="236">
        <v>158</v>
      </c>
      <c r="J32" s="236"/>
      <c r="K32" s="236"/>
      <c r="L32" s="236"/>
      <c r="M32" s="236"/>
      <c r="N32" s="236"/>
      <c r="O32" s="237"/>
    </row>
    <row r="33" spans="1:15" ht="12.75" customHeight="1">
      <c r="A33" s="231"/>
      <c r="B33" s="238"/>
      <c r="C33" s="239"/>
      <c r="D33" s="294" t="s">
        <v>741</v>
      </c>
      <c r="E33" s="235">
        <v>165</v>
      </c>
      <c r="F33" s="1171">
        <f t="shared" si="0"/>
        <v>19198</v>
      </c>
      <c r="G33" s="236">
        <v>15061</v>
      </c>
      <c r="H33" s="236">
        <v>3979</v>
      </c>
      <c r="I33" s="236">
        <v>158</v>
      </c>
      <c r="J33" s="236"/>
      <c r="K33" s="236"/>
      <c r="L33" s="236"/>
      <c r="M33" s="236"/>
      <c r="N33" s="236"/>
      <c r="O33" s="237"/>
    </row>
    <row r="34" spans="1:15" ht="12.75" customHeight="1">
      <c r="A34" s="231" t="s">
        <v>35</v>
      </c>
      <c r="B34" s="238">
        <v>841907</v>
      </c>
      <c r="C34" s="239" t="s">
        <v>144</v>
      </c>
      <c r="D34" s="234" t="s">
        <v>540</v>
      </c>
      <c r="E34" s="235">
        <v>578880</v>
      </c>
      <c r="F34" s="1171">
        <f t="shared" si="0"/>
        <v>0</v>
      </c>
      <c r="G34" s="236"/>
      <c r="H34" s="236"/>
      <c r="I34" s="236"/>
      <c r="J34" s="236"/>
      <c r="K34" s="236"/>
      <c r="L34" s="236"/>
      <c r="M34" s="236"/>
      <c r="N34" s="236"/>
      <c r="O34" s="237"/>
    </row>
    <row r="35" spans="1:15" ht="12.75" customHeight="1">
      <c r="A35" s="231"/>
      <c r="B35" s="238"/>
      <c r="C35" s="239"/>
      <c r="D35" s="294" t="s">
        <v>915</v>
      </c>
      <c r="E35" s="235">
        <v>112951</v>
      </c>
      <c r="F35" s="1171">
        <f t="shared" si="0"/>
        <v>0</v>
      </c>
      <c r="G35" s="236"/>
      <c r="H35" s="236"/>
      <c r="I35" s="236"/>
      <c r="J35" s="236"/>
      <c r="K35" s="236"/>
      <c r="L35" s="236"/>
      <c r="M35" s="236"/>
      <c r="N35" s="236"/>
      <c r="O35" s="237"/>
    </row>
    <row r="36" spans="1:15" ht="12.75" customHeight="1">
      <c r="A36" s="231"/>
      <c r="B36" s="238"/>
      <c r="C36" s="239"/>
      <c r="D36" s="294" t="s">
        <v>741</v>
      </c>
      <c r="E36" s="235">
        <v>112951</v>
      </c>
      <c r="F36" s="1171">
        <f t="shared" si="0"/>
        <v>0</v>
      </c>
      <c r="G36" s="236"/>
      <c r="H36" s="236"/>
      <c r="I36" s="236"/>
      <c r="J36" s="236"/>
      <c r="K36" s="236"/>
      <c r="L36" s="236"/>
      <c r="M36" s="236"/>
      <c r="N36" s="236"/>
      <c r="O36" s="237"/>
    </row>
    <row r="37" spans="1:15" s="299" customFormat="1" ht="12.75" customHeight="1">
      <c r="A37" s="291" t="s">
        <v>23</v>
      </c>
      <c r="B37" s="301">
        <v>882129</v>
      </c>
      <c r="C37" s="302" t="s">
        <v>145</v>
      </c>
      <c r="D37" s="300" t="s">
        <v>540</v>
      </c>
      <c r="E37" s="303"/>
      <c r="F37" s="1171">
        <f t="shared" si="0"/>
        <v>907</v>
      </c>
      <c r="G37" s="308"/>
      <c r="H37" s="308">
        <v>193</v>
      </c>
      <c r="I37" s="308">
        <v>714</v>
      </c>
      <c r="J37" s="308"/>
      <c r="K37" s="308"/>
      <c r="L37" s="308"/>
      <c r="M37" s="308"/>
      <c r="N37" s="308"/>
      <c r="O37" s="309"/>
    </row>
    <row r="38" spans="1:15" ht="12.75" customHeight="1">
      <c r="A38" s="231"/>
      <c r="B38" s="238"/>
      <c r="C38" s="239"/>
      <c r="D38" s="294" t="s">
        <v>915</v>
      </c>
      <c r="E38" s="235"/>
      <c r="F38" s="1171">
        <f t="shared" si="0"/>
        <v>667</v>
      </c>
      <c r="G38" s="236">
        <v>495</v>
      </c>
      <c r="H38" s="236">
        <v>106</v>
      </c>
      <c r="I38" s="236">
        <v>66</v>
      </c>
      <c r="J38" s="236"/>
      <c r="K38" s="236"/>
      <c r="L38" s="236"/>
      <c r="M38" s="236"/>
      <c r="N38" s="236"/>
      <c r="O38" s="237"/>
    </row>
    <row r="39" spans="1:15" ht="12.75" customHeight="1">
      <c r="A39" s="231"/>
      <c r="B39" s="238"/>
      <c r="C39" s="239"/>
      <c r="D39" s="294" t="s">
        <v>741</v>
      </c>
      <c r="E39" s="235"/>
      <c r="F39" s="1171">
        <f t="shared" si="0"/>
        <v>667</v>
      </c>
      <c r="G39" s="236">
        <v>495</v>
      </c>
      <c r="H39" s="236">
        <v>106</v>
      </c>
      <c r="I39" s="236">
        <v>66</v>
      </c>
      <c r="J39" s="236"/>
      <c r="K39" s="236"/>
      <c r="L39" s="236"/>
      <c r="M39" s="236"/>
      <c r="N39" s="236"/>
      <c r="O39" s="237"/>
    </row>
    <row r="40" spans="1:15" s="299" customFormat="1" ht="12.75" customHeight="1">
      <c r="A40" s="291" t="s">
        <v>23</v>
      </c>
      <c r="B40" s="301">
        <v>889943</v>
      </c>
      <c r="C40" s="302" t="s">
        <v>146</v>
      </c>
      <c r="D40" s="300" t="s">
        <v>540</v>
      </c>
      <c r="E40" s="303">
        <v>1692</v>
      </c>
      <c r="F40" s="1171">
        <f t="shared" si="0"/>
        <v>1800</v>
      </c>
      <c r="G40" s="308"/>
      <c r="H40" s="308"/>
      <c r="I40" s="308"/>
      <c r="J40" s="308"/>
      <c r="K40" s="308"/>
      <c r="L40" s="308"/>
      <c r="M40" s="308"/>
      <c r="N40" s="308">
        <v>1800</v>
      </c>
      <c r="O40" s="309"/>
    </row>
    <row r="41" spans="1:15" ht="12.75" customHeight="1">
      <c r="A41" s="231"/>
      <c r="B41" s="238"/>
      <c r="C41" s="239"/>
      <c r="D41" s="294" t="s">
        <v>915</v>
      </c>
      <c r="E41" s="235">
        <v>209</v>
      </c>
      <c r="F41" s="1171">
        <f t="shared" si="0"/>
        <v>600</v>
      </c>
      <c r="G41" s="236"/>
      <c r="H41" s="236"/>
      <c r="I41" s="236"/>
      <c r="J41" s="236"/>
      <c r="K41" s="236"/>
      <c r="L41" s="236"/>
      <c r="M41" s="236"/>
      <c r="N41" s="236">
        <v>600</v>
      </c>
      <c r="O41" s="237"/>
    </row>
    <row r="42" spans="1:15" ht="12.75" customHeight="1">
      <c r="A42" s="231"/>
      <c r="B42" s="238"/>
      <c r="C42" s="239"/>
      <c r="D42" s="294" t="s">
        <v>741</v>
      </c>
      <c r="E42" s="235">
        <v>209</v>
      </c>
      <c r="F42" s="1171">
        <f t="shared" si="0"/>
        <v>600</v>
      </c>
      <c r="G42" s="236"/>
      <c r="H42" s="236"/>
      <c r="I42" s="236"/>
      <c r="J42" s="236"/>
      <c r="K42" s="236"/>
      <c r="L42" s="236"/>
      <c r="M42" s="236"/>
      <c r="N42" s="236">
        <v>600</v>
      </c>
      <c r="O42" s="237"/>
    </row>
    <row r="43" spans="1:15" s="243" customFormat="1" ht="12.75" customHeight="1">
      <c r="A43" s="234" t="s">
        <v>17</v>
      </c>
      <c r="B43" s="238">
        <v>882111</v>
      </c>
      <c r="C43" s="239" t="s">
        <v>86</v>
      </c>
      <c r="D43" s="234" t="s">
        <v>540</v>
      </c>
      <c r="E43" s="235"/>
      <c r="F43" s="1171">
        <f t="shared" si="0"/>
        <v>64000</v>
      </c>
      <c r="G43" s="240"/>
      <c r="H43" s="240"/>
      <c r="I43" s="240"/>
      <c r="J43" s="240"/>
      <c r="K43" s="240">
        <v>64000</v>
      </c>
      <c r="L43" s="240"/>
      <c r="M43" s="240"/>
      <c r="N43" s="241"/>
      <c r="O43" s="242"/>
    </row>
    <row r="44" spans="1:15" s="307" customFormat="1" ht="12.75" customHeight="1">
      <c r="A44" s="300"/>
      <c r="B44" s="301"/>
      <c r="C44" s="302"/>
      <c r="D44" s="294" t="s">
        <v>915</v>
      </c>
      <c r="E44" s="303"/>
      <c r="F44" s="1171">
        <f t="shared" si="0"/>
        <v>12170</v>
      </c>
      <c r="G44" s="304"/>
      <c r="H44" s="304"/>
      <c r="I44" s="304"/>
      <c r="J44" s="304"/>
      <c r="K44" s="304">
        <v>12170</v>
      </c>
      <c r="L44" s="304"/>
      <c r="M44" s="304"/>
      <c r="N44" s="305"/>
      <c r="O44" s="306"/>
    </row>
    <row r="45" spans="1:15" s="307" customFormat="1" ht="12.75" customHeight="1">
      <c r="A45" s="300"/>
      <c r="B45" s="301"/>
      <c r="C45" s="302"/>
      <c r="D45" s="294" t="s">
        <v>741</v>
      </c>
      <c r="E45" s="303"/>
      <c r="F45" s="1171">
        <f t="shared" si="0"/>
        <v>12170</v>
      </c>
      <c r="G45" s="304"/>
      <c r="H45" s="304"/>
      <c r="I45" s="304"/>
      <c r="J45" s="304"/>
      <c r="K45" s="304">
        <v>12170</v>
      </c>
      <c r="L45" s="304"/>
      <c r="M45" s="304"/>
      <c r="N45" s="305"/>
      <c r="O45" s="306"/>
    </row>
    <row r="46" spans="1:15" s="307" customFormat="1" ht="12.75" customHeight="1">
      <c r="A46" s="300" t="s">
        <v>23</v>
      </c>
      <c r="B46" s="301">
        <v>882112</v>
      </c>
      <c r="C46" s="302" t="s">
        <v>943</v>
      </c>
      <c r="D46" s="300" t="s">
        <v>540</v>
      </c>
      <c r="E46" s="303"/>
      <c r="F46" s="1171">
        <f t="shared" si="0"/>
        <v>36</v>
      </c>
      <c r="G46" s="304"/>
      <c r="H46" s="304"/>
      <c r="I46" s="304"/>
      <c r="J46" s="304"/>
      <c r="K46" s="304">
        <v>36</v>
      </c>
      <c r="L46" s="304"/>
      <c r="M46" s="304"/>
      <c r="N46" s="304"/>
      <c r="O46" s="306"/>
    </row>
    <row r="47" spans="1:15" s="243" customFormat="1" ht="12.75" customHeight="1">
      <c r="A47" s="853"/>
      <c r="B47" s="854"/>
      <c r="C47" s="855"/>
      <c r="D47" s="856" t="s">
        <v>915</v>
      </c>
      <c r="E47" s="857"/>
      <c r="F47" s="1171">
        <f t="shared" si="0"/>
        <v>0</v>
      </c>
      <c r="G47" s="858"/>
      <c r="H47" s="858"/>
      <c r="I47" s="858"/>
      <c r="J47" s="858"/>
      <c r="K47" s="858"/>
      <c r="L47" s="858"/>
      <c r="M47" s="858"/>
      <c r="N47" s="858"/>
      <c r="O47" s="859"/>
    </row>
    <row r="48" spans="1:15" s="243" customFormat="1" ht="12.75" customHeight="1">
      <c r="A48" s="1151"/>
      <c r="B48" s="1152"/>
      <c r="C48" s="1153"/>
      <c r="D48" s="856" t="s">
        <v>741</v>
      </c>
      <c r="E48" s="998"/>
      <c r="F48" s="1171">
        <f t="shared" si="0"/>
        <v>0</v>
      </c>
      <c r="G48" s="1154"/>
      <c r="H48" s="1154"/>
      <c r="I48" s="1154"/>
      <c r="J48" s="1154"/>
      <c r="K48" s="1154"/>
      <c r="L48" s="1154"/>
      <c r="M48" s="1154"/>
      <c r="N48" s="1154"/>
      <c r="O48" s="1155"/>
    </row>
    <row r="49" spans="1:15" s="243" customFormat="1" ht="12.75" customHeight="1">
      <c r="A49" s="226" t="s">
        <v>17</v>
      </c>
      <c r="B49" s="784">
        <v>882113</v>
      </c>
      <c r="C49" s="233" t="s">
        <v>944</v>
      </c>
      <c r="D49" s="226" t="s">
        <v>540</v>
      </c>
      <c r="E49" s="465"/>
      <c r="F49" s="1171">
        <f t="shared" si="0"/>
        <v>20000</v>
      </c>
      <c r="G49" s="785"/>
      <c r="H49" s="785"/>
      <c r="I49" s="785"/>
      <c r="J49" s="785"/>
      <c r="K49" s="785">
        <v>20000</v>
      </c>
      <c r="L49" s="785"/>
      <c r="M49" s="785"/>
      <c r="N49" s="785"/>
      <c r="O49" s="852"/>
    </row>
    <row r="50" spans="1:15" s="307" customFormat="1" ht="12.75" customHeight="1">
      <c r="A50" s="300"/>
      <c r="B50" s="301"/>
      <c r="C50" s="302"/>
      <c r="D50" s="294" t="s">
        <v>915</v>
      </c>
      <c r="E50" s="303"/>
      <c r="F50" s="1171">
        <f t="shared" si="0"/>
        <v>3382</v>
      </c>
      <c r="G50" s="304"/>
      <c r="H50" s="304"/>
      <c r="I50" s="304"/>
      <c r="J50" s="304"/>
      <c r="K50" s="304">
        <v>3382</v>
      </c>
      <c r="L50" s="304"/>
      <c r="M50" s="304"/>
      <c r="N50" s="304"/>
      <c r="O50" s="306"/>
    </row>
    <row r="51" spans="1:15" s="307" customFormat="1" ht="12.75" customHeight="1">
      <c r="A51" s="300"/>
      <c r="B51" s="301"/>
      <c r="C51" s="302"/>
      <c r="D51" s="294" t="s">
        <v>741</v>
      </c>
      <c r="E51" s="303"/>
      <c r="F51" s="1171">
        <f t="shared" si="0"/>
        <v>3382</v>
      </c>
      <c r="G51" s="304"/>
      <c r="H51" s="304"/>
      <c r="I51" s="304"/>
      <c r="J51" s="304"/>
      <c r="K51" s="304">
        <v>3382</v>
      </c>
      <c r="L51" s="304"/>
      <c r="M51" s="304"/>
      <c r="N51" s="304"/>
      <c r="O51" s="306"/>
    </row>
    <row r="52" spans="1:15" s="243" customFormat="1" ht="12.75" customHeight="1">
      <c r="A52" s="234" t="s">
        <v>17</v>
      </c>
      <c r="B52" s="238">
        <v>882115</v>
      </c>
      <c r="C52" s="239" t="s">
        <v>147</v>
      </c>
      <c r="D52" s="234" t="s">
        <v>540</v>
      </c>
      <c r="E52" s="235"/>
      <c r="F52" s="1171">
        <f t="shared" si="0"/>
        <v>2028</v>
      </c>
      <c r="G52" s="240"/>
      <c r="H52" s="240"/>
      <c r="I52" s="240"/>
      <c r="J52" s="240"/>
      <c r="K52" s="240">
        <v>2028</v>
      </c>
      <c r="L52" s="240"/>
      <c r="M52" s="240"/>
      <c r="N52" s="240"/>
      <c r="O52" s="242"/>
    </row>
    <row r="53" spans="1:15" s="307" customFormat="1" ht="12.75" customHeight="1">
      <c r="A53" s="300"/>
      <c r="B53" s="301"/>
      <c r="C53" s="302"/>
      <c r="D53" s="294" t="s">
        <v>915</v>
      </c>
      <c r="E53" s="303"/>
      <c r="F53" s="1171">
        <f t="shared" si="0"/>
        <v>2200</v>
      </c>
      <c r="G53" s="304"/>
      <c r="H53" s="304"/>
      <c r="I53" s="304"/>
      <c r="J53" s="304"/>
      <c r="K53" s="304">
        <v>2200</v>
      </c>
      <c r="L53" s="304"/>
      <c r="M53" s="304"/>
      <c r="N53" s="304"/>
      <c r="O53" s="306"/>
    </row>
    <row r="54" spans="1:15" s="307" customFormat="1" ht="12.75" customHeight="1">
      <c r="A54" s="300"/>
      <c r="B54" s="301"/>
      <c r="C54" s="302"/>
      <c r="D54" s="294" t="s">
        <v>741</v>
      </c>
      <c r="E54" s="303"/>
      <c r="F54" s="1171">
        <f t="shared" si="0"/>
        <v>2200</v>
      </c>
      <c r="G54" s="304"/>
      <c r="H54" s="304"/>
      <c r="I54" s="304"/>
      <c r="J54" s="304"/>
      <c r="K54" s="304">
        <v>2200</v>
      </c>
      <c r="L54" s="304"/>
      <c r="M54" s="304"/>
      <c r="N54" s="304"/>
      <c r="O54" s="306"/>
    </row>
    <row r="55" spans="1:15" s="243" customFormat="1" ht="12.75" customHeight="1">
      <c r="A55" s="234" t="s">
        <v>17</v>
      </c>
      <c r="B55" s="238">
        <v>882119</v>
      </c>
      <c r="C55" s="239" t="s">
        <v>954</v>
      </c>
      <c r="D55" s="234" t="s">
        <v>540</v>
      </c>
      <c r="E55" s="235"/>
      <c r="F55" s="1171">
        <f t="shared" si="0"/>
        <v>300</v>
      </c>
      <c r="G55" s="240"/>
      <c r="H55" s="240"/>
      <c r="I55" s="240"/>
      <c r="J55" s="240"/>
      <c r="K55" s="240">
        <v>300</v>
      </c>
      <c r="L55" s="240"/>
      <c r="M55" s="240"/>
      <c r="N55" s="240"/>
      <c r="O55" s="242"/>
    </row>
    <row r="56" spans="1:15" s="307" customFormat="1" ht="12.75" customHeight="1">
      <c r="A56" s="300"/>
      <c r="B56" s="301"/>
      <c r="C56" s="302"/>
      <c r="D56" s="294" t="s">
        <v>915</v>
      </c>
      <c r="E56" s="303"/>
      <c r="F56" s="1171">
        <f t="shared" si="0"/>
        <v>0</v>
      </c>
      <c r="G56" s="304"/>
      <c r="H56" s="304"/>
      <c r="I56" s="304"/>
      <c r="J56" s="304"/>
      <c r="K56" s="304"/>
      <c r="L56" s="304"/>
      <c r="M56" s="304"/>
      <c r="N56" s="304"/>
      <c r="O56" s="306"/>
    </row>
    <row r="57" spans="1:15" s="307" customFormat="1" ht="12.75" customHeight="1">
      <c r="A57" s="300"/>
      <c r="B57" s="301"/>
      <c r="C57" s="302"/>
      <c r="D57" s="294" t="s">
        <v>741</v>
      </c>
      <c r="E57" s="303"/>
      <c r="F57" s="1171">
        <f t="shared" si="0"/>
        <v>0</v>
      </c>
      <c r="G57" s="304"/>
      <c r="H57" s="304"/>
      <c r="I57" s="304"/>
      <c r="J57" s="304"/>
      <c r="K57" s="304"/>
      <c r="L57" s="304"/>
      <c r="M57" s="304"/>
      <c r="N57" s="304"/>
      <c r="O57" s="306"/>
    </row>
    <row r="58" spans="1:15" s="243" customFormat="1" ht="12.75" customHeight="1">
      <c r="A58" s="231" t="s">
        <v>17</v>
      </c>
      <c r="B58" s="238">
        <v>882201</v>
      </c>
      <c r="C58" s="239" t="s">
        <v>945</v>
      </c>
      <c r="D58" s="234" t="s">
        <v>540</v>
      </c>
      <c r="E58" s="235"/>
      <c r="F58" s="1171">
        <f t="shared" si="0"/>
        <v>8000</v>
      </c>
      <c r="G58" s="240"/>
      <c r="H58" s="240"/>
      <c r="I58" s="240"/>
      <c r="J58" s="240"/>
      <c r="K58" s="240">
        <v>8000</v>
      </c>
      <c r="L58" s="240"/>
      <c r="M58" s="240"/>
      <c r="N58" s="240"/>
      <c r="O58" s="242"/>
    </row>
    <row r="59" spans="1:15" s="307" customFormat="1" ht="12.75" customHeight="1">
      <c r="A59" s="300"/>
      <c r="B59" s="301"/>
      <c r="C59" s="302"/>
      <c r="D59" s="294" t="s">
        <v>915</v>
      </c>
      <c r="E59" s="303"/>
      <c r="F59" s="1171">
        <f t="shared" si="0"/>
        <v>525</v>
      </c>
      <c r="G59" s="304"/>
      <c r="H59" s="304"/>
      <c r="I59" s="304"/>
      <c r="J59" s="304"/>
      <c r="K59" s="304">
        <v>525</v>
      </c>
      <c r="L59" s="304"/>
      <c r="M59" s="304"/>
      <c r="N59" s="304"/>
      <c r="O59" s="306"/>
    </row>
    <row r="60" spans="1:15" s="307" customFormat="1" ht="12.75" customHeight="1">
      <c r="A60" s="300"/>
      <c r="B60" s="301"/>
      <c r="C60" s="302"/>
      <c r="D60" s="294" t="s">
        <v>741</v>
      </c>
      <c r="E60" s="303"/>
      <c r="F60" s="1171">
        <f t="shared" si="0"/>
        <v>525</v>
      </c>
      <c r="G60" s="304"/>
      <c r="H60" s="304"/>
      <c r="I60" s="304"/>
      <c r="J60" s="304"/>
      <c r="K60" s="304">
        <v>525</v>
      </c>
      <c r="L60" s="304"/>
      <c r="M60" s="304"/>
      <c r="N60" s="304"/>
      <c r="O60" s="306"/>
    </row>
    <row r="61" spans="1:15" ht="12.75" customHeight="1">
      <c r="A61" s="231" t="s">
        <v>35</v>
      </c>
      <c r="B61" s="238">
        <v>960900</v>
      </c>
      <c r="C61" s="239" t="s">
        <v>148</v>
      </c>
      <c r="D61" s="234" t="s">
        <v>540</v>
      </c>
      <c r="E61" s="235">
        <v>3600</v>
      </c>
      <c r="F61" s="1171">
        <f t="shared" si="0"/>
        <v>3825</v>
      </c>
      <c r="G61" s="236">
        <v>1600</v>
      </c>
      <c r="H61" s="236">
        <v>725</v>
      </c>
      <c r="I61" s="236">
        <v>1500</v>
      </c>
      <c r="J61" s="236"/>
      <c r="K61" s="235"/>
      <c r="L61" s="235"/>
      <c r="M61" s="236"/>
      <c r="N61" s="236"/>
      <c r="O61" s="237"/>
    </row>
    <row r="62" spans="1:15" ht="12.75" customHeight="1">
      <c r="A62" s="231"/>
      <c r="B62" s="244"/>
      <c r="C62" s="245"/>
      <c r="D62" s="294" t="s">
        <v>915</v>
      </c>
      <c r="E62" s="246">
        <v>73</v>
      </c>
      <c r="F62" s="1171">
        <f t="shared" si="0"/>
        <v>119</v>
      </c>
      <c r="G62" s="247">
        <v>75</v>
      </c>
      <c r="H62" s="247">
        <v>19</v>
      </c>
      <c r="I62" s="247">
        <v>25</v>
      </c>
      <c r="J62" s="247"/>
      <c r="K62" s="246"/>
      <c r="L62" s="246"/>
      <c r="M62" s="247"/>
      <c r="N62" s="247"/>
      <c r="O62" s="311"/>
    </row>
    <row r="63" spans="1:15" ht="12.75" customHeight="1">
      <c r="A63" s="231"/>
      <c r="B63" s="244"/>
      <c r="C63" s="245"/>
      <c r="D63" s="294" t="s">
        <v>741</v>
      </c>
      <c r="E63" s="246">
        <v>73</v>
      </c>
      <c r="F63" s="1171">
        <f t="shared" si="0"/>
        <v>119</v>
      </c>
      <c r="G63" s="247">
        <v>75</v>
      </c>
      <c r="H63" s="247">
        <v>19</v>
      </c>
      <c r="I63" s="247">
        <v>25</v>
      </c>
      <c r="J63" s="247"/>
      <c r="K63" s="246"/>
      <c r="L63" s="246"/>
      <c r="M63" s="247"/>
      <c r="N63" s="247"/>
      <c r="O63" s="311"/>
    </row>
    <row r="64" spans="1:15" ht="12.75" customHeight="1">
      <c r="A64" s="231"/>
      <c r="B64" s="244"/>
      <c r="C64" s="245"/>
      <c r="D64" s="294"/>
      <c r="E64" s="246"/>
      <c r="F64" s="1171"/>
      <c r="G64" s="247"/>
      <c r="H64" s="247"/>
      <c r="I64" s="247"/>
      <c r="J64" s="247"/>
      <c r="K64" s="246"/>
      <c r="L64" s="246"/>
      <c r="M64" s="247"/>
      <c r="N64" s="247"/>
      <c r="O64" s="311"/>
    </row>
    <row r="65" spans="1:15" ht="12.75" customHeight="1">
      <c r="A65" s="231"/>
      <c r="B65" s="1272" t="s">
        <v>689</v>
      </c>
      <c r="C65" s="1273"/>
      <c r="D65" s="248" t="s">
        <v>540</v>
      </c>
      <c r="E65" s="261">
        <f aca="true" t="shared" si="1" ref="E65:O65">SUM(E10+E22+E25+E31+E34+E37+E40+E43+E46+E49+E52+E55+E58+E61)</f>
        <v>596726</v>
      </c>
      <c r="F65" s="261">
        <f t="shared" si="1"/>
        <v>596726</v>
      </c>
      <c r="G65" s="261">
        <f t="shared" si="1"/>
        <v>283587</v>
      </c>
      <c r="H65" s="261">
        <f t="shared" si="1"/>
        <v>72958</v>
      </c>
      <c r="I65" s="261">
        <f t="shared" si="1"/>
        <v>129278</v>
      </c>
      <c r="J65" s="261">
        <f t="shared" si="1"/>
        <v>13739</v>
      </c>
      <c r="K65" s="261">
        <f t="shared" si="1"/>
        <v>94364</v>
      </c>
      <c r="L65" s="261">
        <f t="shared" si="1"/>
        <v>0</v>
      </c>
      <c r="M65" s="261">
        <f t="shared" si="1"/>
        <v>1000</v>
      </c>
      <c r="N65" s="261">
        <f t="shared" si="1"/>
        <v>1800</v>
      </c>
      <c r="O65" s="312">
        <f t="shared" si="1"/>
        <v>0</v>
      </c>
    </row>
    <row r="66" spans="1:15" ht="12.75" customHeight="1">
      <c r="A66" s="289"/>
      <c r="B66" s="630"/>
      <c r="C66" s="631"/>
      <c r="D66" s="851" t="s">
        <v>915</v>
      </c>
      <c r="E66" s="261">
        <f aca="true" t="shared" si="2" ref="E66:O67">SUM(E8+E11+E14+E17+E20+E23+E26+E29+E32+E35+E38+E41+E44+E47+E50+E53+E56+E59+E62)</f>
        <v>130598</v>
      </c>
      <c r="F66" s="261">
        <f t="shared" si="2"/>
        <v>130598</v>
      </c>
      <c r="G66" s="261">
        <f t="shared" si="2"/>
        <v>66730</v>
      </c>
      <c r="H66" s="261">
        <f t="shared" si="2"/>
        <v>17470</v>
      </c>
      <c r="I66" s="261">
        <f t="shared" si="2"/>
        <v>21782</v>
      </c>
      <c r="J66" s="261">
        <f t="shared" si="2"/>
        <v>5349</v>
      </c>
      <c r="K66" s="261">
        <f t="shared" si="2"/>
        <v>18277</v>
      </c>
      <c r="L66" s="261">
        <f t="shared" si="2"/>
        <v>0</v>
      </c>
      <c r="M66" s="261">
        <f t="shared" si="2"/>
        <v>390</v>
      </c>
      <c r="N66" s="261">
        <f t="shared" si="2"/>
        <v>600</v>
      </c>
      <c r="O66" s="317">
        <f t="shared" si="2"/>
        <v>0</v>
      </c>
    </row>
    <row r="67" spans="1:15" ht="12.75" customHeight="1">
      <c r="A67" s="289"/>
      <c r="B67" s="630"/>
      <c r="C67" s="631"/>
      <c r="D67" s="851" t="s">
        <v>741</v>
      </c>
      <c r="E67" s="261">
        <f t="shared" si="2"/>
        <v>130598</v>
      </c>
      <c r="F67" s="261">
        <f t="shared" si="2"/>
        <v>130598</v>
      </c>
      <c r="G67" s="261">
        <f t="shared" si="2"/>
        <v>66730</v>
      </c>
      <c r="H67" s="261">
        <f t="shared" si="2"/>
        <v>17470</v>
      </c>
      <c r="I67" s="261">
        <f t="shared" si="2"/>
        <v>21782</v>
      </c>
      <c r="J67" s="261">
        <f t="shared" si="2"/>
        <v>5349</v>
      </c>
      <c r="K67" s="261">
        <f t="shared" si="2"/>
        <v>18277</v>
      </c>
      <c r="L67" s="261">
        <f t="shared" si="2"/>
        <v>0</v>
      </c>
      <c r="M67" s="261">
        <f t="shared" si="2"/>
        <v>390</v>
      </c>
      <c r="N67" s="261">
        <f t="shared" si="2"/>
        <v>600</v>
      </c>
      <c r="O67" s="317">
        <f t="shared" si="2"/>
        <v>0</v>
      </c>
    </row>
    <row r="68" spans="1:15" ht="12.75" customHeight="1">
      <c r="A68" s="289"/>
      <c r="B68" s="630"/>
      <c r="C68" s="631"/>
      <c r="D68" s="467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312"/>
    </row>
    <row r="69" spans="1:15" ht="12.75" customHeight="1">
      <c r="A69" s="231"/>
      <c r="B69" s="1211" t="s">
        <v>149</v>
      </c>
      <c r="C69" s="1211"/>
      <c r="D69" s="249" t="s">
        <v>540</v>
      </c>
      <c r="E69" s="258">
        <f aca="true" t="shared" si="3" ref="E69:O69">SUM(E7+E43+E49+E52+E55+E58)</f>
        <v>0</v>
      </c>
      <c r="F69" s="258">
        <f t="shared" si="3"/>
        <v>94328</v>
      </c>
      <c r="G69" s="258">
        <f t="shared" si="3"/>
        <v>0</v>
      </c>
      <c r="H69" s="258">
        <f t="shared" si="3"/>
        <v>0</v>
      </c>
      <c r="I69" s="258">
        <f t="shared" si="3"/>
        <v>0</v>
      </c>
      <c r="J69" s="258">
        <f t="shared" si="3"/>
        <v>0</v>
      </c>
      <c r="K69" s="258">
        <f t="shared" si="3"/>
        <v>94328</v>
      </c>
      <c r="L69" s="258">
        <f t="shared" si="3"/>
        <v>0</v>
      </c>
      <c r="M69" s="258">
        <f t="shared" si="3"/>
        <v>0</v>
      </c>
      <c r="N69" s="258">
        <f t="shared" si="3"/>
        <v>0</v>
      </c>
      <c r="O69" s="313">
        <f t="shared" si="3"/>
        <v>0</v>
      </c>
    </row>
    <row r="70" spans="1:15" ht="12.75" customHeight="1">
      <c r="A70" s="223"/>
      <c r="B70" s="628"/>
      <c r="C70" s="628"/>
      <c r="D70" s="851" t="s">
        <v>915</v>
      </c>
      <c r="E70" s="310">
        <f aca="true" t="shared" si="4" ref="E70:O71">SUM(E8+E44+E50+E53+E56+E59)</f>
        <v>0</v>
      </c>
      <c r="F70" s="310">
        <f t="shared" si="4"/>
        <v>18277</v>
      </c>
      <c r="G70" s="310">
        <f t="shared" si="4"/>
        <v>0</v>
      </c>
      <c r="H70" s="310">
        <f t="shared" si="4"/>
        <v>0</v>
      </c>
      <c r="I70" s="310">
        <f t="shared" si="4"/>
        <v>0</v>
      </c>
      <c r="J70" s="310">
        <f t="shared" si="4"/>
        <v>0</v>
      </c>
      <c r="K70" s="310">
        <f t="shared" si="4"/>
        <v>18277</v>
      </c>
      <c r="L70" s="310">
        <f t="shared" si="4"/>
        <v>0</v>
      </c>
      <c r="M70" s="310">
        <f t="shared" si="4"/>
        <v>0</v>
      </c>
      <c r="N70" s="310">
        <f t="shared" si="4"/>
        <v>0</v>
      </c>
      <c r="O70" s="314">
        <f t="shared" si="4"/>
        <v>0</v>
      </c>
    </row>
    <row r="71" spans="1:15" ht="12.75" customHeight="1">
      <c r="A71" s="223"/>
      <c r="B71" s="628"/>
      <c r="C71" s="628"/>
      <c r="D71" s="851" t="s">
        <v>741</v>
      </c>
      <c r="E71" s="310">
        <f t="shared" si="4"/>
        <v>0</v>
      </c>
      <c r="F71" s="310">
        <f t="shared" si="4"/>
        <v>18277</v>
      </c>
      <c r="G71" s="310">
        <f t="shared" si="4"/>
        <v>0</v>
      </c>
      <c r="H71" s="310">
        <f t="shared" si="4"/>
        <v>0</v>
      </c>
      <c r="I71" s="310">
        <f t="shared" si="4"/>
        <v>0</v>
      </c>
      <c r="J71" s="310">
        <f t="shared" si="4"/>
        <v>0</v>
      </c>
      <c r="K71" s="310">
        <f t="shared" si="4"/>
        <v>18277</v>
      </c>
      <c r="L71" s="310">
        <f t="shared" si="4"/>
        <v>0</v>
      </c>
      <c r="M71" s="310">
        <f t="shared" si="4"/>
        <v>0</v>
      </c>
      <c r="N71" s="310">
        <f t="shared" si="4"/>
        <v>0</v>
      </c>
      <c r="O71" s="313">
        <f t="shared" si="4"/>
        <v>0</v>
      </c>
    </row>
    <row r="72" spans="1:15" ht="12.75" customHeight="1">
      <c r="A72" s="223"/>
      <c r="B72" s="628"/>
      <c r="C72" s="628"/>
      <c r="D72" s="467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4"/>
    </row>
    <row r="73" spans="1:15" ht="12.75" customHeight="1">
      <c r="A73" s="231"/>
      <c r="B73" s="1211" t="s">
        <v>134</v>
      </c>
      <c r="C73" s="1271"/>
      <c r="D73" s="249" t="s">
        <v>540</v>
      </c>
      <c r="E73" s="258">
        <f aca="true" t="shared" si="5" ref="E73:O73">SUM(E10+E37+E40+E46)</f>
        <v>4132</v>
      </c>
      <c r="F73" s="258">
        <f t="shared" si="5"/>
        <v>6352</v>
      </c>
      <c r="G73" s="258">
        <f t="shared" si="5"/>
        <v>0</v>
      </c>
      <c r="H73" s="258">
        <f t="shared" si="5"/>
        <v>193</v>
      </c>
      <c r="I73" s="258">
        <f t="shared" si="5"/>
        <v>4323</v>
      </c>
      <c r="J73" s="258">
        <f t="shared" si="5"/>
        <v>0</v>
      </c>
      <c r="K73" s="258">
        <f t="shared" si="5"/>
        <v>36</v>
      </c>
      <c r="L73" s="258">
        <f t="shared" si="5"/>
        <v>0</v>
      </c>
      <c r="M73" s="258">
        <f t="shared" si="5"/>
        <v>0</v>
      </c>
      <c r="N73" s="258">
        <f t="shared" si="5"/>
        <v>1800</v>
      </c>
      <c r="O73" s="313">
        <f t="shared" si="5"/>
        <v>0</v>
      </c>
    </row>
    <row r="74" spans="1:15" ht="12.75" customHeight="1">
      <c r="A74" s="289"/>
      <c r="B74" s="632"/>
      <c r="C74" s="685"/>
      <c r="D74" s="851" t="s">
        <v>915</v>
      </c>
      <c r="E74" s="262">
        <f aca="true" t="shared" si="6" ref="E74:O75">SUM(E11+E38+E41+E47)</f>
        <v>216</v>
      </c>
      <c r="F74" s="262">
        <f t="shared" si="6"/>
        <v>1300</v>
      </c>
      <c r="G74" s="262">
        <f t="shared" si="6"/>
        <v>495</v>
      </c>
      <c r="H74" s="262">
        <f t="shared" si="6"/>
        <v>106</v>
      </c>
      <c r="I74" s="262">
        <f t="shared" si="6"/>
        <v>99</v>
      </c>
      <c r="J74" s="262">
        <f t="shared" si="6"/>
        <v>0</v>
      </c>
      <c r="K74" s="262">
        <f t="shared" si="6"/>
        <v>0</v>
      </c>
      <c r="L74" s="262">
        <f t="shared" si="6"/>
        <v>0</v>
      </c>
      <c r="M74" s="262">
        <f t="shared" si="6"/>
        <v>0</v>
      </c>
      <c r="N74" s="262">
        <f t="shared" si="6"/>
        <v>600</v>
      </c>
      <c r="O74" s="315">
        <f t="shared" si="6"/>
        <v>0</v>
      </c>
    </row>
    <row r="75" spans="1:15" ht="12.75" customHeight="1">
      <c r="A75" s="289"/>
      <c r="B75" s="632"/>
      <c r="C75" s="685"/>
      <c r="D75" s="851" t="s">
        <v>741</v>
      </c>
      <c r="E75" s="262">
        <f t="shared" si="6"/>
        <v>216</v>
      </c>
      <c r="F75" s="262">
        <f t="shared" si="6"/>
        <v>1300</v>
      </c>
      <c r="G75" s="262">
        <f t="shared" si="6"/>
        <v>495</v>
      </c>
      <c r="H75" s="262">
        <f t="shared" si="6"/>
        <v>106</v>
      </c>
      <c r="I75" s="262">
        <f t="shared" si="6"/>
        <v>99</v>
      </c>
      <c r="J75" s="262">
        <f t="shared" si="6"/>
        <v>0</v>
      </c>
      <c r="K75" s="262">
        <f t="shared" si="6"/>
        <v>0</v>
      </c>
      <c r="L75" s="262">
        <f t="shared" si="6"/>
        <v>0</v>
      </c>
      <c r="M75" s="262">
        <f t="shared" si="6"/>
        <v>0</v>
      </c>
      <c r="N75" s="262">
        <f t="shared" si="6"/>
        <v>600</v>
      </c>
      <c r="O75" s="313">
        <f t="shared" si="6"/>
        <v>0</v>
      </c>
    </row>
    <row r="76" spans="1:15" ht="12.75" customHeight="1">
      <c r="A76" s="289"/>
      <c r="B76" s="632"/>
      <c r="C76" s="685"/>
      <c r="D76" s="467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315"/>
    </row>
    <row r="77" spans="1:15" ht="12.75" customHeight="1">
      <c r="A77" s="289"/>
      <c r="B77" s="1270" t="s">
        <v>135</v>
      </c>
      <c r="C77" s="1270"/>
      <c r="D77" s="249" t="s">
        <v>540</v>
      </c>
      <c r="E77" s="262">
        <f aca="true" t="shared" si="7" ref="E77:O77">SUM(E13+E16+E19+E22+E25+E28+E31+E34+E61)</f>
        <v>592594</v>
      </c>
      <c r="F77" s="262">
        <f t="shared" si="7"/>
        <v>496046</v>
      </c>
      <c r="G77" s="262">
        <f t="shared" si="7"/>
        <v>283587</v>
      </c>
      <c r="H77" s="262">
        <f t="shared" si="7"/>
        <v>72765</v>
      </c>
      <c r="I77" s="262">
        <f t="shared" si="7"/>
        <v>124955</v>
      </c>
      <c r="J77" s="262">
        <f t="shared" si="7"/>
        <v>13739</v>
      </c>
      <c r="K77" s="262">
        <f t="shared" si="7"/>
        <v>0</v>
      </c>
      <c r="L77" s="262">
        <f t="shared" si="7"/>
        <v>0</v>
      </c>
      <c r="M77" s="262">
        <f t="shared" si="7"/>
        <v>1000</v>
      </c>
      <c r="N77" s="262">
        <f t="shared" si="7"/>
        <v>0</v>
      </c>
      <c r="O77" s="315">
        <f t="shared" si="7"/>
        <v>0</v>
      </c>
    </row>
    <row r="78" spans="1:15" ht="12.75">
      <c r="A78" s="289"/>
      <c r="B78" s="848"/>
      <c r="C78" s="849"/>
      <c r="D78" s="1026" t="s">
        <v>915</v>
      </c>
      <c r="E78" s="262">
        <f aca="true" t="shared" si="8" ref="E78:O79">SUM(E14+E17+E20+E23+E26+E29+E32+E35+E62)</f>
        <v>130382</v>
      </c>
      <c r="F78" s="262">
        <f t="shared" si="8"/>
        <v>111021</v>
      </c>
      <c r="G78" s="262">
        <f t="shared" si="8"/>
        <v>66235</v>
      </c>
      <c r="H78" s="262">
        <f t="shared" si="8"/>
        <v>17364</v>
      </c>
      <c r="I78" s="262">
        <f t="shared" si="8"/>
        <v>21683</v>
      </c>
      <c r="J78" s="262">
        <f t="shared" si="8"/>
        <v>5349</v>
      </c>
      <c r="K78" s="262">
        <f t="shared" si="8"/>
        <v>0</v>
      </c>
      <c r="L78" s="262">
        <f t="shared" si="8"/>
        <v>0</v>
      </c>
      <c r="M78" s="262">
        <f t="shared" si="8"/>
        <v>390</v>
      </c>
      <c r="N78" s="262">
        <f t="shared" si="8"/>
        <v>0</v>
      </c>
      <c r="O78" s="315">
        <f t="shared" si="8"/>
        <v>0</v>
      </c>
    </row>
    <row r="79" spans="1:15" ht="13.5" thickBot="1">
      <c r="A79" s="290"/>
      <c r="B79" s="684"/>
      <c r="C79" s="828"/>
      <c r="D79" s="1027" t="s">
        <v>741</v>
      </c>
      <c r="E79" s="1167">
        <f t="shared" si="8"/>
        <v>130382</v>
      </c>
      <c r="F79" s="1167">
        <f t="shared" si="8"/>
        <v>111021</v>
      </c>
      <c r="G79" s="1167">
        <f t="shared" si="8"/>
        <v>66235</v>
      </c>
      <c r="H79" s="1167">
        <f t="shared" si="8"/>
        <v>17364</v>
      </c>
      <c r="I79" s="1167">
        <f t="shared" si="8"/>
        <v>21683</v>
      </c>
      <c r="J79" s="1167">
        <f t="shared" si="8"/>
        <v>5349</v>
      </c>
      <c r="K79" s="1167">
        <f t="shared" si="8"/>
        <v>0</v>
      </c>
      <c r="L79" s="1167">
        <f t="shared" si="8"/>
        <v>0</v>
      </c>
      <c r="M79" s="1167">
        <f t="shared" si="8"/>
        <v>390</v>
      </c>
      <c r="N79" s="1167">
        <f t="shared" si="8"/>
        <v>0</v>
      </c>
      <c r="O79" s="1168">
        <f t="shared" si="8"/>
        <v>0</v>
      </c>
    </row>
    <row r="80" spans="7:15" ht="11.25" customHeight="1">
      <c r="G80" s="213"/>
      <c r="H80" s="213"/>
      <c r="I80" s="213"/>
      <c r="J80" s="213"/>
      <c r="K80" s="213"/>
      <c r="L80" s="213"/>
      <c r="M80" s="213"/>
      <c r="N80" s="216"/>
      <c r="O80" s="213"/>
    </row>
    <row r="81" spans="1:15" ht="12.75">
      <c r="A81" s="1411" t="s">
        <v>231</v>
      </c>
      <c r="G81" s="213"/>
      <c r="H81" s="213"/>
      <c r="I81" s="213"/>
      <c r="J81" s="213"/>
      <c r="K81" s="213"/>
      <c r="L81" s="213"/>
      <c r="M81" s="213"/>
      <c r="N81" s="216"/>
      <c r="O81" s="213"/>
    </row>
    <row r="82" spans="1:15" ht="12.75">
      <c r="A82" s="8" t="s">
        <v>232</v>
      </c>
      <c r="G82" s="213"/>
      <c r="H82" s="213"/>
      <c r="I82" s="213"/>
      <c r="J82" s="213"/>
      <c r="K82" s="213"/>
      <c r="L82" s="213"/>
      <c r="M82" s="213"/>
      <c r="N82" s="216"/>
      <c r="O82" s="213"/>
    </row>
    <row r="83" spans="1:15" ht="12.75">
      <c r="A83" s="8" t="s">
        <v>233</v>
      </c>
      <c r="G83" s="213"/>
      <c r="H83" s="213"/>
      <c r="I83" s="213"/>
      <c r="J83" s="213"/>
      <c r="K83" s="213"/>
      <c r="L83" s="213"/>
      <c r="M83" s="213"/>
      <c r="N83" s="216"/>
      <c r="O83" s="213"/>
    </row>
    <row r="84" spans="1:15" ht="12.75">
      <c r="A84" s="8" t="s">
        <v>234</v>
      </c>
      <c r="G84" s="213"/>
      <c r="H84" s="213"/>
      <c r="I84" s="213"/>
      <c r="J84" s="213"/>
      <c r="K84" s="213"/>
      <c r="L84" s="213"/>
      <c r="M84" s="213"/>
      <c r="N84" s="216"/>
      <c r="O84" s="213"/>
    </row>
    <row r="85" spans="1:15" ht="12.75">
      <c r="A85" s="8" t="s">
        <v>235</v>
      </c>
      <c r="G85" s="213"/>
      <c r="H85" s="213"/>
      <c r="I85" s="213"/>
      <c r="J85" s="213"/>
      <c r="K85" s="213"/>
      <c r="L85" s="213"/>
      <c r="M85" s="213"/>
      <c r="N85" s="216"/>
      <c r="O85" s="213"/>
    </row>
    <row r="86" spans="7:15" ht="12.75">
      <c r="G86" s="213"/>
      <c r="H86" s="213"/>
      <c r="I86" s="213"/>
      <c r="J86" s="213"/>
      <c r="K86" s="213"/>
      <c r="L86" s="213"/>
      <c r="M86" s="213"/>
      <c r="N86" s="216"/>
      <c r="O86" s="213"/>
    </row>
    <row r="87" spans="7:15" ht="12.75">
      <c r="G87" s="213"/>
      <c r="H87" s="213"/>
      <c r="I87" s="213"/>
      <c r="J87" s="213"/>
      <c r="K87" s="213"/>
      <c r="L87" s="213"/>
      <c r="M87" s="213"/>
      <c r="N87" s="216"/>
      <c r="O87" s="213"/>
    </row>
    <row r="88" spans="7:15" ht="12.75">
      <c r="G88" s="213"/>
      <c r="H88" s="213"/>
      <c r="I88" s="213"/>
      <c r="J88" s="213"/>
      <c r="K88" s="213"/>
      <c r="L88" s="213"/>
      <c r="M88" s="213"/>
      <c r="N88" s="216"/>
      <c r="O88" s="213"/>
    </row>
    <row r="89" spans="7:15" ht="12.75">
      <c r="G89" s="213"/>
      <c r="H89" s="213"/>
      <c r="I89" s="213"/>
      <c r="J89" s="213"/>
      <c r="K89" s="213"/>
      <c r="L89" s="213"/>
      <c r="M89" s="213"/>
      <c r="N89" s="216"/>
      <c r="O89" s="213"/>
    </row>
    <row r="90" spans="7:15" ht="12.75">
      <c r="G90" s="213"/>
      <c r="H90" s="213"/>
      <c r="I90" s="213"/>
      <c r="J90" s="213"/>
      <c r="K90" s="213"/>
      <c r="L90" s="213"/>
      <c r="M90" s="213"/>
      <c r="N90" s="216"/>
      <c r="O90" s="213"/>
    </row>
    <row r="91" spans="7:15" ht="12.75">
      <c r="G91" s="213"/>
      <c r="H91" s="213"/>
      <c r="I91" s="213"/>
      <c r="J91" s="213"/>
      <c r="K91" s="213"/>
      <c r="L91" s="213"/>
      <c r="M91" s="213"/>
      <c r="N91" s="216"/>
      <c r="O91" s="213"/>
    </row>
    <row r="92" spans="7:15" ht="12.75">
      <c r="G92" s="213"/>
      <c r="H92" s="213"/>
      <c r="I92" s="213"/>
      <c r="J92" s="213"/>
      <c r="K92" s="213"/>
      <c r="L92" s="213"/>
      <c r="M92" s="213"/>
      <c r="N92" s="216"/>
      <c r="O92" s="213"/>
    </row>
  </sheetData>
  <mergeCells count="20">
    <mergeCell ref="N4:N6"/>
    <mergeCell ref="A2:O2"/>
    <mergeCell ref="B4:D6"/>
    <mergeCell ref="E4:E6"/>
    <mergeCell ref="F4:F6"/>
    <mergeCell ref="A4:A6"/>
    <mergeCell ref="K5:K6"/>
    <mergeCell ref="O4:O6"/>
    <mergeCell ref="L5:L6"/>
    <mergeCell ref="L4:M4"/>
    <mergeCell ref="M5:M6"/>
    <mergeCell ref="G5:G6"/>
    <mergeCell ref="H5:H6"/>
    <mergeCell ref="I5:I6"/>
    <mergeCell ref="J5:J6"/>
    <mergeCell ref="B69:C69"/>
    <mergeCell ref="B77:C77"/>
    <mergeCell ref="B73:C73"/>
    <mergeCell ref="G4:K4"/>
    <mergeCell ref="B65:C65"/>
  </mergeCells>
  <printOptions horizontalCentered="1"/>
  <pageMargins left="0.39" right="0.3937007874015748" top="0.4" bottom="0.4724409448818898" header="0.23" footer="0.4724409448818898"/>
  <pageSetup horizontalDpi="600" verticalDpi="600" orientation="landscape" paperSize="9" scale="50" r:id="rId1"/>
  <headerFooter alignWithMargins="0">
    <oddHeader>&amp;L5. melléklet a 2/2014.(II.27.) önkormányzati rendelethez
"5. melléklet az 1/2013.(II.01.) önkormányzati rendelethez"</oddHeader>
  </headerFooter>
  <rowBreaks count="1" manualBreakCount="1">
    <brk id="8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 topLeftCell="A1">
      <selection activeCell="A23" sqref="A23:A27"/>
    </sheetView>
  </sheetViews>
  <sheetFormatPr defaultColWidth="9.00390625" defaultRowHeight="12.75"/>
  <cols>
    <col min="1" max="1" width="11.25390625" style="319" customWidth="1"/>
    <col min="2" max="2" width="8.00390625" style="320" customWidth="1"/>
    <col min="3" max="3" width="65.00390625" style="319" customWidth="1"/>
    <col min="4" max="4" width="11.25390625" style="321" customWidth="1"/>
    <col min="5" max="5" width="9.25390625" style="322" customWidth="1"/>
    <col min="6" max="6" width="9.00390625" style="319" customWidth="1"/>
    <col min="7" max="7" width="9.875" style="319" customWidth="1"/>
    <col min="8" max="8" width="8.75390625" style="319" customWidth="1"/>
    <col min="9" max="9" width="9.625" style="319" customWidth="1"/>
    <col min="10" max="10" width="9.375" style="319" customWidth="1"/>
    <col min="11" max="11" width="10.125" style="319" customWidth="1"/>
    <col min="12" max="12" width="9.375" style="319" customWidth="1"/>
    <col min="13" max="13" width="9.125" style="319" customWidth="1"/>
    <col min="14" max="14" width="8.875" style="338" customWidth="1"/>
    <col min="15" max="15" width="10.875" style="319" customWidth="1"/>
    <col min="16" max="16384" width="9.125" style="319" customWidth="1"/>
  </cols>
  <sheetData>
    <row r="1" spans="1:15" ht="12.75">
      <c r="A1" s="1157"/>
      <c r="B1" s="1156"/>
      <c r="C1" s="1157"/>
      <c r="D1" s="1158"/>
      <c r="E1" s="1159"/>
      <c r="F1" s="1157"/>
      <c r="G1" s="1156"/>
      <c r="H1" s="1156"/>
      <c r="I1" s="1156"/>
      <c r="J1" s="1156"/>
      <c r="K1" s="1156"/>
      <c r="L1" s="1156"/>
      <c r="M1" s="1156"/>
      <c r="N1" s="1193"/>
      <c r="O1" s="1156"/>
    </row>
    <row r="2" spans="1:15" ht="12.75">
      <c r="A2" s="1157"/>
      <c r="B2" s="1156"/>
      <c r="C2" s="1157"/>
      <c r="D2" s="1158"/>
      <c r="E2" s="1159"/>
      <c r="F2" s="1157"/>
      <c r="G2" s="1157"/>
      <c r="H2" s="1157"/>
      <c r="I2" s="1157"/>
      <c r="J2" s="1157"/>
      <c r="K2" s="1157"/>
      <c r="L2" s="1157"/>
      <c r="M2" s="1157"/>
      <c r="N2" s="1160"/>
      <c r="O2" s="1157"/>
    </row>
    <row r="3" spans="1:15" ht="14.25">
      <c r="A3" s="1284" t="s">
        <v>170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</row>
    <row r="4" spans="1:15" ht="15">
      <c r="A4" s="1157"/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</row>
    <row r="5" spans="1:15" ht="13.5" thickBot="1">
      <c r="A5" s="1194"/>
      <c r="B5" s="1195"/>
      <c r="C5" s="1194"/>
      <c r="D5" s="1196"/>
      <c r="E5" s="1197"/>
      <c r="F5" s="1194"/>
      <c r="G5" s="1194"/>
      <c r="H5" s="1194"/>
      <c r="I5" s="1194"/>
      <c r="J5" s="1194"/>
      <c r="K5" s="1194"/>
      <c r="L5" s="1194"/>
      <c r="M5" s="1197"/>
      <c r="N5" s="1198"/>
      <c r="O5" s="1198"/>
    </row>
    <row r="6" spans="1:15" ht="13.5" thickBot="1">
      <c r="A6" s="1281"/>
      <c r="B6" s="1297" t="s">
        <v>774</v>
      </c>
      <c r="C6" s="1298"/>
      <c r="D6" s="1298"/>
      <c r="E6" s="1303" t="s">
        <v>7</v>
      </c>
      <c r="F6" s="1306" t="s">
        <v>8</v>
      </c>
      <c r="G6" s="1293" t="s">
        <v>726</v>
      </c>
      <c r="H6" s="1293"/>
      <c r="I6" s="1293"/>
      <c r="J6" s="1293"/>
      <c r="K6" s="1293"/>
      <c r="L6" s="1293" t="s">
        <v>727</v>
      </c>
      <c r="M6" s="1293"/>
      <c r="N6" s="1290" t="s">
        <v>9</v>
      </c>
      <c r="O6" s="1287" t="s">
        <v>10</v>
      </c>
    </row>
    <row r="7" spans="1:15" ht="14.25" thickBot="1" thickTop="1">
      <c r="A7" s="1282"/>
      <c r="B7" s="1299"/>
      <c r="C7" s="1300"/>
      <c r="D7" s="1300"/>
      <c r="E7" s="1304"/>
      <c r="F7" s="1307"/>
      <c r="G7" s="1295" t="s">
        <v>12</v>
      </c>
      <c r="H7" s="1295" t="s">
        <v>13</v>
      </c>
      <c r="I7" s="1295" t="s">
        <v>14</v>
      </c>
      <c r="J7" s="1295" t="s">
        <v>171</v>
      </c>
      <c r="K7" s="1295" t="s">
        <v>16</v>
      </c>
      <c r="L7" s="1285" t="s">
        <v>693</v>
      </c>
      <c r="M7" s="1285" t="s">
        <v>691</v>
      </c>
      <c r="N7" s="1291"/>
      <c r="O7" s="1288"/>
    </row>
    <row r="8" spans="1:15" ht="40.5" customHeight="1" thickBot="1" thickTop="1">
      <c r="A8" s="1283"/>
      <c r="B8" s="1301"/>
      <c r="C8" s="1302"/>
      <c r="D8" s="1302"/>
      <c r="E8" s="1305"/>
      <c r="F8" s="1308"/>
      <c r="G8" s="1296"/>
      <c r="H8" s="1296"/>
      <c r="I8" s="1296"/>
      <c r="J8" s="1296"/>
      <c r="K8" s="1296"/>
      <c r="L8" s="1286"/>
      <c r="M8" s="1286"/>
      <c r="N8" s="1292"/>
      <c r="O8" s="1289"/>
    </row>
    <row r="9" spans="1:15" ht="15" customHeight="1">
      <c r="A9" s="324" t="s">
        <v>23</v>
      </c>
      <c r="B9" s="325">
        <v>842421</v>
      </c>
      <c r="C9" s="326" t="s">
        <v>172</v>
      </c>
      <c r="D9" s="327" t="s">
        <v>540</v>
      </c>
      <c r="E9" s="328">
        <v>2000</v>
      </c>
      <c r="F9" s="328">
        <v>16726</v>
      </c>
      <c r="G9" s="328">
        <v>10203</v>
      </c>
      <c r="H9" s="328">
        <v>2388</v>
      </c>
      <c r="I9" s="328">
        <v>4135</v>
      </c>
      <c r="J9" s="328"/>
      <c r="K9" s="328"/>
      <c r="L9" s="328"/>
      <c r="M9" s="328"/>
      <c r="N9" s="328"/>
      <c r="O9" s="329"/>
    </row>
    <row r="10" spans="1:15" ht="15" customHeight="1">
      <c r="A10" s="330"/>
      <c r="B10" s="331"/>
      <c r="C10" s="332"/>
      <c r="D10" s="333" t="s">
        <v>915</v>
      </c>
      <c r="E10" s="334">
        <v>4000</v>
      </c>
      <c r="F10" s="334">
        <f aca="true" t="shared" si="0" ref="F10:F16">SUM(G10:O10)</f>
        <v>19714</v>
      </c>
      <c r="G10" s="334">
        <v>12323</v>
      </c>
      <c r="H10" s="334">
        <v>2954</v>
      </c>
      <c r="I10" s="334">
        <v>4335</v>
      </c>
      <c r="J10" s="334">
        <v>102</v>
      </c>
      <c r="K10" s="334"/>
      <c r="L10" s="334"/>
      <c r="M10" s="334"/>
      <c r="N10" s="334"/>
      <c r="O10" s="335"/>
    </row>
    <row r="11" spans="1:15" ht="15" customHeight="1">
      <c r="A11" s="330"/>
      <c r="B11" s="331"/>
      <c r="C11" s="332"/>
      <c r="D11" s="333" t="s">
        <v>741</v>
      </c>
      <c r="E11" s="334">
        <v>3872</v>
      </c>
      <c r="F11" s="334">
        <f t="shared" si="0"/>
        <v>19586</v>
      </c>
      <c r="G11" s="334">
        <v>12323</v>
      </c>
      <c r="H11" s="334">
        <v>3027</v>
      </c>
      <c r="I11" s="334">
        <v>3482</v>
      </c>
      <c r="J11" s="334">
        <v>754</v>
      </c>
      <c r="K11" s="334"/>
      <c r="L11" s="334"/>
      <c r="M11" s="334"/>
      <c r="N11" s="334"/>
      <c r="O11" s="335"/>
    </row>
    <row r="12" spans="1:15" ht="15" customHeight="1">
      <c r="A12" s="330" t="s">
        <v>23</v>
      </c>
      <c r="B12" s="336">
        <v>841907</v>
      </c>
      <c r="C12" s="332" t="s">
        <v>144</v>
      </c>
      <c r="D12" s="333" t="s">
        <v>540</v>
      </c>
      <c r="E12" s="334">
        <v>14726</v>
      </c>
      <c r="F12" s="334">
        <f t="shared" si="0"/>
        <v>0</v>
      </c>
      <c r="G12" s="334"/>
      <c r="H12" s="334"/>
      <c r="I12" s="334"/>
      <c r="J12" s="334"/>
      <c r="K12" s="334"/>
      <c r="L12" s="334"/>
      <c r="M12" s="334"/>
      <c r="N12" s="334"/>
      <c r="O12" s="335"/>
    </row>
    <row r="13" spans="1:15" ht="15" customHeight="1">
      <c r="A13" s="330"/>
      <c r="B13" s="337"/>
      <c r="C13" s="468"/>
      <c r="D13" s="333" t="s">
        <v>915</v>
      </c>
      <c r="E13" s="469">
        <v>15714</v>
      </c>
      <c r="F13" s="334">
        <f t="shared" si="0"/>
        <v>0</v>
      </c>
      <c r="G13" s="469"/>
      <c r="H13" s="469"/>
      <c r="I13" s="469"/>
      <c r="J13" s="469"/>
      <c r="K13" s="469"/>
      <c r="L13" s="469"/>
      <c r="M13" s="469"/>
      <c r="N13" s="469"/>
      <c r="O13" s="470"/>
    </row>
    <row r="14" spans="1:15" ht="15" customHeight="1">
      <c r="A14" s="330"/>
      <c r="B14" s="337"/>
      <c r="C14" s="468"/>
      <c r="D14" s="333" t="s">
        <v>741</v>
      </c>
      <c r="E14" s="469">
        <v>15714</v>
      </c>
      <c r="F14" s="334">
        <f t="shared" si="0"/>
        <v>0</v>
      </c>
      <c r="G14" s="469"/>
      <c r="H14" s="469"/>
      <c r="I14" s="469"/>
      <c r="J14" s="469"/>
      <c r="K14" s="469"/>
      <c r="L14" s="469"/>
      <c r="M14" s="469"/>
      <c r="N14" s="469"/>
      <c r="O14" s="470"/>
    </row>
    <row r="15" spans="1:15" ht="15" customHeight="1">
      <c r="A15" s="330"/>
      <c r="B15" s="1294" t="s">
        <v>689</v>
      </c>
      <c r="C15" s="1294"/>
      <c r="D15" s="471" t="s">
        <v>540</v>
      </c>
      <c r="E15" s="472">
        <f>SUM(E9+E12)</f>
        <v>16726</v>
      </c>
      <c r="F15" s="472">
        <f t="shared" si="0"/>
        <v>16726</v>
      </c>
      <c r="G15" s="472">
        <f aca="true" t="shared" si="1" ref="G15:O15">SUM(G9+G12)</f>
        <v>10203</v>
      </c>
      <c r="H15" s="472">
        <f t="shared" si="1"/>
        <v>2388</v>
      </c>
      <c r="I15" s="472">
        <f t="shared" si="1"/>
        <v>4135</v>
      </c>
      <c r="J15" s="472">
        <f t="shared" si="1"/>
        <v>0</v>
      </c>
      <c r="K15" s="472">
        <f t="shared" si="1"/>
        <v>0</v>
      </c>
      <c r="L15" s="472">
        <f t="shared" si="1"/>
        <v>0</v>
      </c>
      <c r="M15" s="472">
        <f t="shared" si="1"/>
        <v>0</v>
      </c>
      <c r="N15" s="472">
        <f t="shared" si="1"/>
        <v>0</v>
      </c>
      <c r="O15" s="733">
        <f t="shared" si="1"/>
        <v>0</v>
      </c>
    </row>
    <row r="16" spans="1:15" ht="15" customHeight="1">
      <c r="A16" s="330"/>
      <c r="B16" s="633"/>
      <c r="C16" s="633"/>
      <c r="D16" s="471" t="s">
        <v>915</v>
      </c>
      <c r="E16" s="472">
        <f>SUM(E10+E13)</f>
        <v>19714</v>
      </c>
      <c r="F16" s="472">
        <f t="shared" si="0"/>
        <v>19714</v>
      </c>
      <c r="G16" s="472">
        <f aca="true" t="shared" si="2" ref="G16:O16">SUM(G10+G13)</f>
        <v>12323</v>
      </c>
      <c r="H16" s="472">
        <f t="shared" si="2"/>
        <v>2954</v>
      </c>
      <c r="I16" s="472">
        <f t="shared" si="2"/>
        <v>4335</v>
      </c>
      <c r="J16" s="472">
        <f t="shared" si="2"/>
        <v>102</v>
      </c>
      <c r="K16" s="472">
        <f t="shared" si="2"/>
        <v>0</v>
      </c>
      <c r="L16" s="472">
        <f t="shared" si="2"/>
        <v>0</v>
      </c>
      <c r="M16" s="472">
        <f t="shared" si="2"/>
        <v>0</v>
      </c>
      <c r="N16" s="472">
        <f t="shared" si="2"/>
        <v>0</v>
      </c>
      <c r="O16" s="733">
        <f t="shared" si="2"/>
        <v>0</v>
      </c>
    </row>
    <row r="17" spans="1:15" ht="15" customHeight="1">
      <c r="A17" s="1173"/>
      <c r="B17" s="1174"/>
      <c r="C17" s="1174"/>
      <c r="D17" s="1175" t="s">
        <v>741</v>
      </c>
      <c r="E17" s="1176">
        <f>SUM(E11+E14)</f>
        <v>19586</v>
      </c>
      <c r="F17" s="1176">
        <f aca="true" t="shared" si="3" ref="F17:O17">SUM(F11+F14)</f>
        <v>19586</v>
      </c>
      <c r="G17" s="1176">
        <f t="shared" si="3"/>
        <v>12323</v>
      </c>
      <c r="H17" s="1176">
        <f t="shared" si="3"/>
        <v>3027</v>
      </c>
      <c r="I17" s="1176">
        <f t="shared" si="3"/>
        <v>3482</v>
      </c>
      <c r="J17" s="1176">
        <f t="shared" si="3"/>
        <v>754</v>
      </c>
      <c r="K17" s="1176">
        <f t="shared" si="3"/>
        <v>0</v>
      </c>
      <c r="L17" s="1176">
        <f t="shared" si="3"/>
        <v>0</v>
      </c>
      <c r="M17" s="1176">
        <f t="shared" si="3"/>
        <v>0</v>
      </c>
      <c r="N17" s="1176">
        <f t="shared" si="3"/>
        <v>0</v>
      </c>
      <c r="O17" s="1177">
        <f t="shared" si="3"/>
        <v>0</v>
      </c>
    </row>
    <row r="18" spans="1:15" ht="13.5" customHeight="1">
      <c r="A18" s="330"/>
      <c r="B18" s="1178"/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9"/>
    </row>
    <row r="19" spans="1:15" ht="14.25" customHeight="1">
      <c r="A19" s="330"/>
      <c r="B19" s="1181" t="s">
        <v>134</v>
      </c>
      <c r="C19" s="1178"/>
      <c r="D19" s="471" t="s">
        <v>540</v>
      </c>
      <c r="E19" s="472">
        <f>SUM(E15)</f>
        <v>16726</v>
      </c>
      <c r="F19" s="472">
        <f aca="true" t="shared" si="4" ref="F19:O19">SUM(F15)</f>
        <v>16726</v>
      </c>
      <c r="G19" s="472">
        <f t="shared" si="4"/>
        <v>10203</v>
      </c>
      <c r="H19" s="472">
        <f t="shared" si="4"/>
        <v>2388</v>
      </c>
      <c r="I19" s="472">
        <f t="shared" si="4"/>
        <v>4135</v>
      </c>
      <c r="J19" s="472">
        <f t="shared" si="4"/>
        <v>0</v>
      </c>
      <c r="K19" s="472">
        <f t="shared" si="4"/>
        <v>0</v>
      </c>
      <c r="L19" s="472">
        <f t="shared" si="4"/>
        <v>0</v>
      </c>
      <c r="M19" s="472">
        <f t="shared" si="4"/>
        <v>0</v>
      </c>
      <c r="N19" s="472">
        <f t="shared" si="4"/>
        <v>0</v>
      </c>
      <c r="O19" s="733">
        <f t="shared" si="4"/>
        <v>0</v>
      </c>
    </row>
    <row r="20" spans="1:15" ht="15" customHeight="1">
      <c r="A20" s="330"/>
      <c r="B20" s="1178"/>
      <c r="C20" s="1178"/>
      <c r="D20" s="471" t="s">
        <v>915</v>
      </c>
      <c r="E20" s="472">
        <f>SUM(E16)</f>
        <v>19714</v>
      </c>
      <c r="F20" s="472">
        <f aca="true" t="shared" si="5" ref="F20:O20">SUM(F16)</f>
        <v>19714</v>
      </c>
      <c r="G20" s="472">
        <f t="shared" si="5"/>
        <v>12323</v>
      </c>
      <c r="H20" s="472">
        <f t="shared" si="5"/>
        <v>2954</v>
      </c>
      <c r="I20" s="472">
        <f t="shared" si="5"/>
        <v>4335</v>
      </c>
      <c r="J20" s="472">
        <f t="shared" si="5"/>
        <v>102</v>
      </c>
      <c r="K20" s="472">
        <f t="shared" si="5"/>
        <v>0</v>
      </c>
      <c r="L20" s="472">
        <f t="shared" si="5"/>
        <v>0</v>
      </c>
      <c r="M20" s="472">
        <f t="shared" si="5"/>
        <v>0</v>
      </c>
      <c r="N20" s="472">
        <f t="shared" si="5"/>
        <v>0</v>
      </c>
      <c r="O20" s="733">
        <f t="shared" si="5"/>
        <v>0</v>
      </c>
    </row>
    <row r="21" spans="1:15" ht="15" customHeight="1" thickBot="1">
      <c r="A21" s="827"/>
      <c r="B21" s="1180"/>
      <c r="C21" s="1180"/>
      <c r="D21" s="1161" t="s">
        <v>741</v>
      </c>
      <c r="E21" s="1162">
        <f>SUM(E17)</f>
        <v>19586</v>
      </c>
      <c r="F21" s="1162">
        <f aca="true" t="shared" si="6" ref="F21:O21">SUM(F17)</f>
        <v>19586</v>
      </c>
      <c r="G21" s="1162">
        <f t="shared" si="6"/>
        <v>12323</v>
      </c>
      <c r="H21" s="1162">
        <f t="shared" si="6"/>
        <v>3027</v>
      </c>
      <c r="I21" s="1162">
        <f t="shared" si="6"/>
        <v>3482</v>
      </c>
      <c r="J21" s="1162">
        <f t="shared" si="6"/>
        <v>754</v>
      </c>
      <c r="K21" s="1162">
        <f t="shared" si="6"/>
        <v>0</v>
      </c>
      <c r="L21" s="1162">
        <f t="shared" si="6"/>
        <v>0</v>
      </c>
      <c r="M21" s="1162">
        <f t="shared" si="6"/>
        <v>0</v>
      </c>
      <c r="N21" s="1162">
        <f t="shared" si="6"/>
        <v>0</v>
      </c>
      <c r="O21" s="1163">
        <f t="shared" si="6"/>
        <v>0</v>
      </c>
    </row>
    <row r="22" spans="2:14" ht="15" customHeight="1">
      <c r="B22" s="319"/>
      <c r="D22" s="319"/>
      <c r="E22" s="319"/>
      <c r="N22" s="319"/>
    </row>
    <row r="23" spans="1:14" ht="15" customHeight="1">
      <c r="A23" s="1411" t="s">
        <v>231</v>
      </c>
      <c r="B23" s="319"/>
      <c r="D23" s="319"/>
      <c r="E23" s="319"/>
      <c r="N23" s="319"/>
    </row>
    <row r="24" spans="1:15" ht="12.75">
      <c r="A24" s="8" t="s">
        <v>232</v>
      </c>
      <c r="G24" s="320"/>
      <c r="H24" s="320"/>
      <c r="I24" s="320"/>
      <c r="J24" s="320"/>
      <c r="K24" s="320"/>
      <c r="L24" s="320"/>
      <c r="M24" s="320"/>
      <c r="N24" s="323"/>
      <c r="O24" s="320"/>
    </row>
    <row r="25" spans="1:15" ht="12.75">
      <c r="A25" s="8" t="s">
        <v>233</v>
      </c>
      <c r="G25" s="320"/>
      <c r="H25" s="320"/>
      <c r="I25" s="320"/>
      <c r="J25" s="320"/>
      <c r="K25" s="320"/>
      <c r="L25" s="320"/>
      <c r="M25" s="320"/>
      <c r="N25" s="323"/>
      <c r="O25" s="320"/>
    </row>
    <row r="26" spans="1:15" ht="12.75">
      <c r="A26" s="8" t="s">
        <v>234</v>
      </c>
      <c r="G26" s="320"/>
      <c r="H26" s="320"/>
      <c r="I26" s="320"/>
      <c r="J26" s="320"/>
      <c r="K26" s="320"/>
      <c r="L26" s="320"/>
      <c r="M26" s="320"/>
      <c r="N26" s="323"/>
      <c r="O26" s="320"/>
    </row>
    <row r="27" spans="1:15" ht="12.75">
      <c r="A27" s="8" t="s">
        <v>235</v>
      </c>
      <c r="G27" s="320"/>
      <c r="H27" s="320"/>
      <c r="I27" s="320"/>
      <c r="J27" s="320"/>
      <c r="K27" s="320"/>
      <c r="L27" s="320"/>
      <c r="M27" s="320"/>
      <c r="N27" s="323"/>
      <c r="O27" s="320"/>
    </row>
    <row r="28" spans="7:15" ht="12.75">
      <c r="G28" s="320"/>
      <c r="H28" s="320"/>
      <c r="I28" s="320"/>
      <c r="J28" s="320"/>
      <c r="K28" s="320"/>
      <c r="L28" s="320"/>
      <c r="M28" s="320"/>
      <c r="N28" s="323"/>
      <c r="O28" s="320"/>
    </row>
    <row r="29" spans="7:15" ht="12.75">
      <c r="G29" s="320"/>
      <c r="H29" s="320"/>
      <c r="I29" s="320"/>
      <c r="J29" s="320"/>
      <c r="K29" s="320"/>
      <c r="L29" s="320"/>
      <c r="M29" s="320"/>
      <c r="N29" s="323"/>
      <c r="O29" s="320"/>
    </row>
    <row r="30" spans="7:15" ht="12.75">
      <c r="G30" s="320"/>
      <c r="H30" s="320"/>
      <c r="I30" s="320"/>
      <c r="J30" s="320"/>
      <c r="K30" s="320"/>
      <c r="L30" s="320"/>
      <c r="M30" s="320"/>
      <c r="N30" s="323"/>
      <c r="O30" s="320"/>
    </row>
    <row r="31" spans="7:15" ht="12.75">
      <c r="G31" s="320"/>
      <c r="H31" s="320"/>
      <c r="I31" s="320"/>
      <c r="J31" s="320"/>
      <c r="K31" s="320"/>
      <c r="L31" s="320"/>
      <c r="M31" s="320"/>
      <c r="N31" s="323"/>
      <c r="O31" s="320"/>
    </row>
    <row r="32" spans="7:15" ht="12.75">
      <c r="G32" s="320"/>
      <c r="H32" s="320"/>
      <c r="I32" s="320"/>
      <c r="J32" s="320"/>
      <c r="K32" s="320"/>
      <c r="L32" s="320"/>
      <c r="M32" s="320"/>
      <c r="N32" s="323"/>
      <c r="O32" s="320"/>
    </row>
    <row r="33" spans="7:15" ht="12.75">
      <c r="G33" s="320"/>
      <c r="H33" s="320"/>
      <c r="I33" s="320"/>
      <c r="J33" s="320"/>
      <c r="K33" s="320"/>
      <c r="L33" s="320"/>
      <c r="M33" s="320"/>
      <c r="N33" s="323"/>
      <c r="O33" s="320"/>
    </row>
    <row r="34" spans="7:15" ht="12.75">
      <c r="G34" s="320"/>
      <c r="H34" s="320"/>
      <c r="I34" s="320"/>
      <c r="J34" s="320"/>
      <c r="K34" s="320"/>
      <c r="L34" s="320"/>
      <c r="M34" s="320"/>
      <c r="N34" s="323"/>
      <c r="O34" s="320"/>
    </row>
    <row r="35" spans="7:15" ht="12.75">
      <c r="G35" s="320"/>
      <c r="H35" s="320"/>
      <c r="I35" s="320"/>
      <c r="J35" s="320"/>
      <c r="K35" s="320"/>
      <c r="L35" s="320"/>
      <c r="M35" s="320"/>
      <c r="N35" s="323"/>
      <c r="O35" s="320"/>
    </row>
    <row r="36" spans="7:15" ht="12.75">
      <c r="G36" s="320"/>
      <c r="H36" s="320"/>
      <c r="I36" s="320"/>
      <c r="J36" s="320"/>
      <c r="K36" s="320"/>
      <c r="L36" s="320"/>
      <c r="M36" s="320"/>
      <c r="N36" s="323"/>
      <c r="O36" s="320"/>
    </row>
    <row r="37" spans="7:15" ht="12.75">
      <c r="G37" s="320"/>
      <c r="H37" s="320"/>
      <c r="I37" s="320"/>
      <c r="J37" s="320"/>
      <c r="K37" s="320"/>
      <c r="L37" s="320"/>
      <c r="M37" s="320"/>
      <c r="N37" s="323"/>
      <c r="O37" s="320"/>
    </row>
    <row r="38" spans="7:15" ht="12.75">
      <c r="G38" s="320"/>
      <c r="H38" s="320"/>
      <c r="I38" s="320"/>
      <c r="J38" s="320"/>
      <c r="K38" s="320"/>
      <c r="L38" s="320"/>
      <c r="M38" s="320"/>
      <c r="N38" s="323"/>
      <c r="O38" s="320"/>
    </row>
    <row r="39" spans="7:15" ht="12.75">
      <c r="G39" s="320"/>
      <c r="H39" s="320"/>
      <c r="I39" s="320"/>
      <c r="J39" s="320"/>
      <c r="K39" s="320"/>
      <c r="L39" s="320"/>
      <c r="M39" s="320"/>
      <c r="N39" s="323"/>
      <c r="O39" s="320"/>
    </row>
    <row r="40" spans="7:15" ht="12.75">
      <c r="G40" s="320"/>
      <c r="H40" s="320"/>
      <c r="I40" s="320"/>
      <c r="J40" s="320"/>
      <c r="K40" s="320"/>
      <c r="L40" s="320"/>
      <c r="M40" s="320"/>
      <c r="N40" s="323"/>
      <c r="O40" s="320"/>
    </row>
    <row r="41" spans="7:15" ht="12.75">
      <c r="G41" s="320"/>
      <c r="H41" s="320"/>
      <c r="I41" s="320"/>
      <c r="J41" s="320"/>
      <c r="K41" s="320"/>
      <c r="L41" s="320"/>
      <c r="M41" s="320"/>
      <c r="N41" s="323"/>
      <c r="O41" s="320"/>
    </row>
  </sheetData>
  <mergeCells count="18">
    <mergeCell ref="B15:C15"/>
    <mergeCell ref="I7:I8"/>
    <mergeCell ref="J7:J8"/>
    <mergeCell ref="K7:K8"/>
    <mergeCell ref="B6:D8"/>
    <mergeCell ref="G7:G8"/>
    <mergeCell ref="H7:H8"/>
    <mergeCell ref="E6:E8"/>
    <mergeCell ref="F6:F8"/>
    <mergeCell ref="G6:K6"/>
    <mergeCell ref="B4:O4"/>
    <mergeCell ref="A6:A8"/>
    <mergeCell ref="A3:O3"/>
    <mergeCell ref="M7:M8"/>
    <mergeCell ref="O6:O8"/>
    <mergeCell ref="N6:N8"/>
    <mergeCell ref="L6:M6"/>
    <mergeCell ref="L7:L8"/>
  </mergeCells>
  <printOptions horizontalCentered="1"/>
  <pageMargins left="0.3937007874015748" right="0.3937007874015748" top="0.7086614173228347" bottom="0.4724409448818898" header="0.45" footer="0.4724409448818898"/>
  <pageSetup horizontalDpi="600" verticalDpi="600" orientation="landscape" paperSize="9" scale="70" r:id="rId1"/>
  <headerFooter alignWithMargins="0">
    <oddHeader>&amp;L&amp;8 5. melléklet a 2/2014.(II.27.) önkormányzati rendelethez
"5. melléklet az 1/2013.(II.01.) önkormányzati rendelethez"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43"/>
  <sheetViews>
    <sheetView view="pageBreakPreview" zoomScaleNormal="115" zoomScaleSheetLayoutView="100" workbookViewId="0" topLeftCell="A113">
      <selection activeCell="C135" sqref="C135"/>
    </sheetView>
  </sheetViews>
  <sheetFormatPr defaultColWidth="9.00390625" defaultRowHeight="12.75"/>
  <cols>
    <col min="1" max="1" width="13.875" style="212" customWidth="1"/>
    <col min="2" max="2" width="8.00390625" style="213" customWidth="1"/>
    <col min="3" max="3" width="65.00390625" style="212" customWidth="1"/>
    <col min="4" max="4" width="13.625" style="214" customWidth="1"/>
    <col min="5" max="5" width="9.25390625" style="215" customWidth="1"/>
    <col min="6" max="6" width="9.00390625" style="212" customWidth="1"/>
    <col min="7" max="7" width="9.875" style="212" customWidth="1"/>
    <col min="8" max="8" width="8.75390625" style="212" customWidth="1"/>
    <col min="9" max="9" width="9.625" style="212" customWidth="1"/>
    <col min="10" max="10" width="9.375" style="212" customWidth="1"/>
    <col min="11" max="11" width="10.125" style="212" customWidth="1"/>
    <col min="12" max="12" width="9.375" style="212" customWidth="1"/>
    <col min="13" max="13" width="9.125" style="212" customWidth="1"/>
    <col min="14" max="14" width="8.875" style="217" customWidth="1"/>
    <col min="15" max="15" width="10.875" style="212" customWidth="1"/>
    <col min="16" max="16384" width="9.125" style="212" customWidth="1"/>
  </cols>
  <sheetData>
    <row r="1" spans="7:15" ht="12.75">
      <c r="G1" s="213"/>
      <c r="H1" s="213"/>
      <c r="I1" s="213"/>
      <c r="J1" s="213"/>
      <c r="K1" s="213"/>
      <c r="L1" s="213"/>
      <c r="M1" s="213"/>
      <c r="N1" s="216"/>
      <c r="O1" s="213"/>
    </row>
    <row r="2" spans="1:15" ht="14.25">
      <c r="A2" s="1215" t="s">
        <v>155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</row>
    <row r="3" spans="13:15" ht="13.5" thickBot="1">
      <c r="M3" s="215"/>
      <c r="N3" s="218"/>
      <c r="O3" s="218"/>
    </row>
    <row r="4" spans="1:15" ht="13.5" thickBot="1">
      <c r="A4" s="1274"/>
      <c r="B4" s="1208" t="s">
        <v>774</v>
      </c>
      <c r="C4" s="1209"/>
      <c r="D4" s="1209"/>
      <c r="E4" s="1206" t="s">
        <v>7</v>
      </c>
      <c r="F4" s="1250" t="s">
        <v>8</v>
      </c>
      <c r="G4" s="1253" t="s">
        <v>726</v>
      </c>
      <c r="H4" s="1253"/>
      <c r="I4" s="1253"/>
      <c r="J4" s="1253"/>
      <c r="K4" s="1253"/>
      <c r="L4" s="1253" t="s">
        <v>727</v>
      </c>
      <c r="M4" s="1253"/>
      <c r="N4" s="1267" t="s">
        <v>9</v>
      </c>
      <c r="O4" s="1277" t="s">
        <v>10</v>
      </c>
    </row>
    <row r="5" spans="1:15" ht="14.25" thickBot="1" thickTop="1">
      <c r="A5" s="1275"/>
      <c r="B5" s="1202"/>
      <c r="C5" s="1203"/>
      <c r="D5" s="1203"/>
      <c r="E5" s="1201"/>
      <c r="F5" s="1251"/>
      <c r="G5" s="1254" t="s">
        <v>12</v>
      </c>
      <c r="H5" s="1254" t="s">
        <v>13</v>
      </c>
      <c r="I5" s="1254" t="s">
        <v>14</v>
      </c>
      <c r="J5" s="1254" t="s">
        <v>15</v>
      </c>
      <c r="K5" s="1254" t="s">
        <v>16</v>
      </c>
      <c r="L5" s="1265" t="s">
        <v>693</v>
      </c>
      <c r="M5" s="1265" t="s">
        <v>691</v>
      </c>
      <c r="N5" s="1268"/>
      <c r="O5" s="1278"/>
    </row>
    <row r="6" spans="1:15" ht="39" customHeight="1" thickBot="1" thickTop="1">
      <c r="A6" s="1276"/>
      <c r="B6" s="1204"/>
      <c r="C6" s="1205"/>
      <c r="D6" s="1205"/>
      <c r="E6" s="1249"/>
      <c r="F6" s="1252"/>
      <c r="G6" s="1255"/>
      <c r="H6" s="1255"/>
      <c r="I6" s="1255"/>
      <c r="J6" s="1255"/>
      <c r="K6" s="1255"/>
      <c r="L6" s="1266"/>
      <c r="M6" s="1266"/>
      <c r="N6" s="1269"/>
      <c r="O6" s="1279"/>
    </row>
    <row r="7" spans="1:15" ht="12.75" customHeight="1">
      <c r="A7" s="1322" t="s">
        <v>970</v>
      </c>
      <c r="B7" s="1323"/>
      <c r="C7" s="1323"/>
      <c r="D7" s="1324"/>
      <c r="E7" s="219"/>
      <c r="F7" s="220"/>
      <c r="G7" s="221"/>
      <c r="H7" s="221"/>
      <c r="I7" s="221"/>
      <c r="J7" s="221"/>
      <c r="K7" s="221"/>
      <c r="L7" s="220"/>
      <c r="M7" s="220"/>
      <c r="N7" s="221"/>
      <c r="O7" s="222"/>
    </row>
    <row r="8" spans="1:15" ht="12.75" customHeight="1">
      <c r="A8" s="223" t="s">
        <v>17</v>
      </c>
      <c r="B8" s="224">
        <v>421100</v>
      </c>
      <c r="C8" s="225" t="s">
        <v>139</v>
      </c>
      <c r="D8" s="226" t="s">
        <v>540</v>
      </c>
      <c r="E8" s="227"/>
      <c r="F8" s="732">
        <f>SUM(G8:O8)</f>
        <v>0</v>
      </c>
      <c r="G8" s="229"/>
      <c r="H8" s="229"/>
      <c r="I8" s="229"/>
      <c r="J8" s="229"/>
      <c r="K8" s="229"/>
      <c r="L8" s="228"/>
      <c r="M8" s="228"/>
      <c r="N8" s="229"/>
      <c r="O8" s="230"/>
    </row>
    <row r="9" spans="1:15" ht="12.75" customHeight="1">
      <c r="A9" s="231"/>
      <c r="B9" s="224"/>
      <c r="C9" s="225"/>
      <c r="D9" s="226" t="s">
        <v>915</v>
      </c>
      <c r="E9" s="227"/>
      <c r="F9" s="732">
        <f aca="true" t="shared" si="0" ref="F9:F64">SUM(G9:O9)</f>
        <v>0</v>
      </c>
      <c r="G9" s="229"/>
      <c r="H9" s="229"/>
      <c r="I9" s="229"/>
      <c r="J9" s="229"/>
      <c r="K9" s="229"/>
      <c r="L9" s="228"/>
      <c r="M9" s="228"/>
      <c r="N9" s="229"/>
      <c r="O9" s="230"/>
    </row>
    <row r="10" spans="1:15" ht="12.75" customHeight="1">
      <c r="A10" s="231"/>
      <c r="B10" s="224"/>
      <c r="C10" s="225"/>
      <c r="D10" s="226" t="s">
        <v>741</v>
      </c>
      <c r="E10" s="227"/>
      <c r="F10" s="732">
        <f t="shared" si="0"/>
        <v>0</v>
      </c>
      <c r="G10" s="229"/>
      <c r="H10" s="229"/>
      <c r="I10" s="229"/>
      <c r="J10" s="229"/>
      <c r="K10" s="229"/>
      <c r="L10" s="228"/>
      <c r="M10" s="228"/>
      <c r="N10" s="229"/>
      <c r="O10" s="230"/>
    </row>
    <row r="11" spans="1:15" ht="12.75" customHeight="1">
      <c r="A11" s="231" t="s">
        <v>23</v>
      </c>
      <c r="B11" s="232" t="s">
        <v>140</v>
      </c>
      <c r="C11" s="233" t="s">
        <v>141</v>
      </c>
      <c r="D11" s="234" t="s">
        <v>540</v>
      </c>
      <c r="E11" s="235"/>
      <c r="F11" s="732">
        <f t="shared" si="0"/>
        <v>0</v>
      </c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ht="12.75" customHeight="1">
      <c r="A12" s="231"/>
      <c r="B12" s="232"/>
      <c r="C12" s="233"/>
      <c r="D12" s="226" t="s">
        <v>915</v>
      </c>
      <c r="E12" s="235">
        <v>2433</v>
      </c>
      <c r="F12" s="732">
        <f t="shared" si="0"/>
        <v>3576</v>
      </c>
      <c r="G12" s="236"/>
      <c r="H12" s="236"/>
      <c r="I12" s="236">
        <v>3576</v>
      </c>
      <c r="J12" s="236"/>
      <c r="K12" s="236"/>
      <c r="L12" s="236"/>
      <c r="M12" s="236"/>
      <c r="N12" s="236"/>
      <c r="O12" s="237"/>
    </row>
    <row r="13" spans="1:15" ht="12.75" customHeight="1">
      <c r="A13" s="231"/>
      <c r="B13" s="232"/>
      <c r="C13" s="233"/>
      <c r="D13" s="226" t="s">
        <v>741</v>
      </c>
      <c r="E13" s="235">
        <v>2433</v>
      </c>
      <c r="F13" s="732">
        <f t="shared" si="0"/>
        <v>3576</v>
      </c>
      <c r="G13" s="236"/>
      <c r="H13" s="236"/>
      <c r="I13" s="236">
        <v>3576</v>
      </c>
      <c r="J13" s="236"/>
      <c r="K13" s="236"/>
      <c r="L13" s="236"/>
      <c r="M13" s="236"/>
      <c r="N13" s="236"/>
      <c r="O13" s="237"/>
    </row>
    <row r="14" spans="1:15" ht="12.75" customHeight="1">
      <c r="A14" s="231" t="s">
        <v>35</v>
      </c>
      <c r="B14" s="232" t="s">
        <v>150</v>
      </c>
      <c r="C14" s="233" t="s">
        <v>841</v>
      </c>
      <c r="D14" s="234" t="s">
        <v>540</v>
      </c>
      <c r="E14" s="235"/>
      <c r="F14" s="732">
        <f t="shared" si="0"/>
        <v>0</v>
      </c>
      <c r="G14" s="236"/>
      <c r="H14" s="236"/>
      <c r="I14" s="236"/>
      <c r="J14" s="236"/>
      <c r="K14" s="236"/>
      <c r="L14" s="236"/>
      <c r="M14" s="236"/>
      <c r="N14" s="236"/>
      <c r="O14" s="237"/>
    </row>
    <row r="15" spans="1:15" ht="12.75" customHeight="1">
      <c r="A15" s="231"/>
      <c r="B15" s="232"/>
      <c r="C15" s="233"/>
      <c r="D15" s="226" t="s">
        <v>915</v>
      </c>
      <c r="E15" s="235"/>
      <c r="F15" s="732">
        <f t="shared" si="0"/>
        <v>0</v>
      </c>
      <c r="G15" s="236"/>
      <c r="H15" s="236"/>
      <c r="I15" s="236"/>
      <c r="J15" s="236"/>
      <c r="K15" s="236"/>
      <c r="L15" s="236"/>
      <c r="M15" s="236"/>
      <c r="N15" s="236"/>
      <c r="O15" s="237"/>
    </row>
    <row r="16" spans="1:15" ht="12.75" customHeight="1">
      <c r="A16" s="231"/>
      <c r="B16" s="232"/>
      <c r="C16" s="233"/>
      <c r="D16" s="226" t="s">
        <v>741</v>
      </c>
      <c r="E16" s="235"/>
      <c r="F16" s="732">
        <f t="shared" si="0"/>
        <v>808</v>
      </c>
      <c r="G16" s="236"/>
      <c r="H16" s="236"/>
      <c r="I16" s="236">
        <v>808</v>
      </c>
      <c r="J16" s="236"/>
      <c r="K16" s="236"/>
      <c r="L16" s="236"/>
      <c r="M16" s="236"/>
      <c r="N16" s="236"/>
      <c r="O16" s="237"/>
    </row>
    <row r="17" spans="1:15" ht="12.75" customHeight="1">
      <c r="A17" s="231" t="s">
        <v>35</v>
      </c>
      <c r="B17" s="238">
        <v>841126</v>
      </c>
      <c r="C17" s="239" t="s">
        <v>142</v>
      </c>
      <c r="D17" s="234" t="s">
        <v>540</v>
      </c>
      <c r="E17" s="235"/>
      <c r="F17" s="732">
        <f t="shared" si="0"/>
        <v>0</v>
      </c>
      <c r="G17" s="236"/>
      <c r="H17" s="236"/>
      <c r="I17" s="236"/>
      <c r="J17" s="236"/>
      <c r="K17" s="236"/>
      <c r="L17" s="236"/>
      <c r="M17" s="236"/>
      <c r="N17" s="236"/>
      <c r="O17" s="237"/>
    </row>
    <row r="18" spans="1:15" ht="12.75" customHeight="1">
      <c r="A18" s="231"/>
      <c r="B18" s="238"/>
      <c r="C18" s="239"/>
      <c r="D18" s="226" t="s">
        <v>915</v>
      </c>
      <c r="E18" s="235">
        <v>14341</v>
      </c>
      <c r="F18" s="732">
        <f t="shared" si="0"/>
        <v>324809</v>
      </c>
      <c r="G18" s="236">
        <v>163600</v>
      </c>
      <c r="H18" s="236">
        <v>40021</v>
      </c>
      <c r="I18" s="236">
        <v>107809</v>
      </c>
      <c r="J18" s="236">
        <v>7769</v>
      </c>
      <c r="K18" s="236"/>
      <c r="L18" s="236"/>
      <c r="M18" s="236">
        <v>5610</v>
      </c>
      <c r="N18" s="236"/>
      <c r="O18" s="237"/>
    </row>
    <row r="19" spans="1:15" ht="12.75" customHeight="1">
      <c r="A19" s="231"/>
      <c r="B19" s="238"/>
      <c r="C19" s="239"/>
      <c r="D19" s="226" t="s">
        <v>741</v>
      </c>
      <c r="E19" s="235">
        <v>14993</v>
      </c>
      <c r="F19" s="732">
        <f t="shared" si="0"/>
        <v>312883</v>
      </c>
      <c r="G19" s="236">
        <v>158557</v>
      </c>
      <c r="H19" s="236">
        <v>38779</v>
      </c>
      <c r="I19" s="236">
        <v>101268</v>
      </c>
      <c r="J19" s="236">
        <v>7769</v>
      </c>
      <c r="K19" s="236"/>
      <c r="L19" s="236"/>
      <c r="M19" s="236">
        <v>6510</v>
      </c>
      <c r="N19" s="236"/>
      <c r="O19" s="237"/>
    </row>
    <row r="20" spans="1:15" ht="12.75" customHeight="1">
      <c r="A20" s="231" t="s">
        <v>35</v>
      </c>
      <c r="B20" s="238">
        <v>841126</v>
      </c>
      <c r="C20" s="239" t="s">
        <v>840</v>
      </c>
      <c r="D20" s="234" t="s">
        <v>540</v>
      </c>
      <c r="E20" s="235"/>
      <c r="F20" s="732">
        <f t="shared" si="0"/>
        <v>0</v>
      </c>
      <c r="G20" s="236"/>
      <c r="H20" s="236"/>
      <c r="I20" s="236"/>
      <c r="J20" s="236"/>
      <c r="K20" s="236"/>
      <c r="L20" s="236"/>
      <c r="M20" s="236"/>
      <c r="N20" s="236"/>
      <c r="O20" s="237"/>
    </row>
    <row r="21" spans="1:15" ht="12.75" customHeight="1">
      <c r="A21" s="231"/>
      <c r="B21" s="238"/>
      <c r="C21" s="239"/>
      <c r="D21" s="226" t="s">
        <v>915</v>
      </c>
      <c r="E21" s="235"/>
      <c r="F21" s="732">
        <f t="shared" si="0"/>
        <v>0</v>
      </c>
      <c r="G21" s="236"/>
      <c r="H21" s="236"/>
      <c r="I21" s="236"/>
      <c r="J21" s="236"/>
      <c r="K21" s="236"/>
      <c r="L21" s="236"/>
      <c r="M21" s="236"/>
      <c r="N21" s="236"/>
      <c r="O21" s="237"/>
    </row>
    <row r="22" spans="1:15" ht="12.75" customHeight="1">
      <c r="A22" s="231"/>
      <c r="B22" s="238"/>
      <c r="C22" s="239"/>
      <c r="D22" s="226" t="s">
        <v>741</v>
      </c>
      <c r="E22" s="235"/>
      <c r="F22" s="732">
        <f t="shared" si="0"/>
        <v>3461</v>
      </c>
      <c r="G22" s="236"/>
      <c r="H22" s="236"/>
      <c r="I22" s="236">
        <v>3461</v>
      </c>
      <c r="J22" s="236"/>
      <c r="K22" s="236"/>
      <c r="L22" s="236"/>
      <c r="M22" s="236"/>
      <c r="N22" s="236"/>
      <c r="O22" s="237"/>
    </row>
    <row r="23" spans="1:15" ht="12.75" customHeight="1">
      <c r="A23" s="231" t="s">
        <v>35</v>
      </c>
      <c r="B23" s="238">
        <v>841133</v>
      </c>
      <c r="C23" s="239" t="s">
        <v>38</v>
      </c>
      <c r="D23" s="234" t="s">
        <v>540</v>
      </c>
      <c r="E23" s="235"/>
      <c r="F23" s="732">
        <f t="shared" si="0"/>
        <v>0</v>
      </c>
      <c r="G23" s="236"/>
      <c r="H23" s="236"/>
      <c r="I23" s="236"/>
      <c r="J23" s="236"/>
      <c r="K23" s="236"/>
      <c r="L23" s="236"/>
      <c r="M23" s="236"/>
      <c r="N23" s="236"/>
      <c r="O23" s="237"/>
    </row>
    <row r="24" spans="1:15" ht="12.75" customHeight="1">
      <c r="A24" s="231"/>
      <c r="B24" s="238"/>
      <c r="C24" s="239"/>
      <c r="D24" s="226" t="s">
        <v>915</v>
      </c>
      <c r="E24" s="235"/>
      <c r="F24" s="732">
        <f t="shared" si="0"/>
        <v>29150</v>
      </c>
      <c r="G24" s="236">
        <v>22463</v>
      </c>
      <c r="H24" s="236">
        <v>5820</v>
      </c>
      <c r="I24" s="236">
        <v>867</v>
      </c>
      <c r="J24" s="236"/>
      <c r="K24" s="236"/>
      <c r="L24" s="236"/>
      <c r="M24" s="236"/>
      <c r="N24" s="236"/>
      <c r="O24" s="237"/>
    </row>
    <row r="25" spans="1:15" ht="12.75" customHeight="1">
      <c r="A25" s="231"/>
      <c r="B25" s="238"/>
      <c r="C25" s="239"/>
      <c r="D25" s="226" t="s">
        <v>741</v>
      </c>
      <c r="E25" s="235"/>
      <c r="F25" s="732">
        <f t="shared" si="0"/>
        <v>37546</v>
      </c>
      <c r="G25" s="236">
        <v>27575</v>
      </c>
      <c r="H25" s="236">
        <v>7080</v>
      </c>
      <c r="I25" s="236">
        <v>2891</v>
      </c>
      <c r="J25" s="236"/>
      <c r="K25" s="236"/>
      <c r="L25" s="236"/>
      <c r="M25" s="236"/>
      <c r="N25" s="236"/>
      <c r="O25" s="237"/>
    </row>
    <row r="26" spans="1:15" ht="12.75" customHeight="1">
      <c r="A26" s="231" t="s">
        <v>35</v>
      </c>
      <c r="B26" s="238">
        <v>841403</v>
      </c>
      <c r="C26" s="239" t="s">
        <v>143</v>
      </c>
      <c r="D26" s="234" t="s">
        <v>540</v>
      </c>
      <c r="E26" s="235"/>
      <c r="F26" s="732">
        <f t="shared" si="0"/>
        <v>0</v>
      </c>
      <c r="G26" s="236"/>
      <c r="H26" s="236"/>
      <c r="I26" s="236"/>
      <c r="J26" s="236"/>
      <c r="K26" s="236"/>
      <c r="L26" s="236"/>
      <c r="M26" s="236"/>
      <c r="N26" s="236"/>
      <c r="O26" s="237"/>
    </row>
    <row r="27" spans="1:15" ht="12.75" customHeight="1">
      <c r="A27" s="231"/>
      <c r="B27" s="238"/>
      <c r="C27" s="239"/>
      <c r="D27" s="226" t="s">
        <v>915</v>
      </c>
      <c r="E27" s="235"/>
      <c r="F27" s="732">
        <f t="shared" si="0"/>
        <v>59863</v>
      </c>
      <c r="G27" s="236">
        <v>47625</v>
      </c>
      <c r="H27" s="236">
        <v>11891</v>
      </c>
      <c r="I27" s="236">
        <v>347</v>
      </c>
      <c r="J27" s="236"/>
      <c r="K27" s="236"/>
      <c r="L27" s="236"/>
      <c r="M27" s="236"/>
      <c r="N27" s="236"/>
      <c r="O27" s="237"/>
    </row>
    <row r="28" spans="1:15" ht="12.75" customHeight="1">
      <c r="A28" s="231"/>
      <c r="B28" s="238"/>
      <c r="C28" s="239"/>
      <c r="D28" s="226" t="s">
        <v>741</v>
      </c>
      <c r="E28" s="235"/>
      <c r="F28" s="732">
        <f t="shared" si="0"/>
        <v>59863</v>
      </c>
      <c r="G28" s="236">
        <v>47625</v>
      </c>
      <c r="H28" s="236">
        <v>11891</v>
      </c>
      <c r="I28" s="236">
        <v>347</v>
      </c>
      <c r="J28" s="236"/>
      <c r="K28" s="236"/>
      <c r="L28" s="236"/>
      <c r="M28" s="236"/>
      <c r="N28" s="236"/>
      <c r="O28" s="237"/>
    </row>
    <row r="29" spans="1:15" ht="12.75" customHeight="1">
      <c r="A29" s="231" t="s">
        <v>35</v>
      </c>
      <c r="B29" s="238">
        <v>841907</v>
      </c>
      <c r="C29" s="239" t="s">
        <v>144</v>
      </c>
      <c r="D29" s="234" t="s">
        <v>540</v>
      </c>
      <c r="E29" s="235"/>
      <c r="F29" s="732">
        <f t="shared" si="0"/>
        <v>0</v>
      </c>
      <c r="G29" s="236"/>
      <c r="H29" s="236"/>
      <c r="I29" s="236"/>
      <c r="J29" s="236"/>
      <c r="K29" s="236"/>
      <c r="L29" s="236"/>
      <c r="M29" s="236"/>
      <c r="N29" s="236"/>
      <c r="O29" s="237"/>
    </row>
    <row r="30" spans="1:15" ht="12.75" customHeight="1">
      <c r="A30" s="231"/>
      <c r="B30" s="238"/>
      <c r="C30" s="239"/>
      <c r="D30" s="226" t="s">
        <v>915</v>
      </c>
      <c r="E30" s="235">
        <v>489236</v>
      </c>
      <c r="F30" s="732">
        <f t="shared" si="0"/>
        <v>0</v>
      </c>
      <c r="G30" s="236"/>
      <c r="H30" s="236"/>
      <c r="I30" s="236"/>
      <c r="J30" s="236"/>
      <c r="K30" s="236"/>
      <c r="L30" s="236"/>
      <c r="M30" s="236"/>
      <c r="N30" s="236"/>
      <c r="O30" s="237"/>
    </row>
    <row r="31" spans="1:15" ht="12.75" customHeight="1">
      <c r="A31" s="231"/>
      <c r="B31" s="238"/>
      <c r="C31" s="239"/>
      <c r="D31" s="226" t="s">
        <v>741</v>
      </c>
      <c r="E31" s="235">
        <v>497314</v>
      </c>
      <c r="F31" s="732">
        <f t="shared" si="0"/>
        <v>0</v>
      </c>
      <c r="G31" s="236"/>
      <c r="H31" s="236"/>
      <c r="I31" s="236"/>
      <c r="J31" s="236"/>
      <c r="K31" s="236"/>
      <c r="L31" s="236"/>
      <c r="M31" s="236"/>
      <c r="N31" s="236"/>
      <c r="O31" s="237"/>
    </row>
    <row r="32" spans="1:15" ht="12.75" customHeight="1">
      <c r="A32" s="231" t="s">
        <v>23</v>
      </c>
      <c r="B32" s="238">
        <v>882129</v>
      </c>
      <c r="C32" s="239" t="s">
        <v>145</v>
      </c>
      <c r="D32" s="234" t="s">
        <v>540</v>
      </c>
      <c r="E32" s="235"/>
      <c r="F32" s="732">
        <f t="shared" si="0"/>
        <v>0</v>
      </c>
      <c r="G32" s="236"/>
      <c r="H32" s="236"/>
      <c r="I32" s="236"/>
      <c r="J32" s="236"/>
      <c r="K32" s="236"/>
      <c r="L32" s="236"/>
      <c r="M32" s="236"/>
      <c r="N32" s="236"/>
      <c r="O32" s="237"/>
    </row>
    <row r="33" spans="1:15" ht="12.75" customHeight="1">
      <c r="A33" s="231"/>
      <c r="B33" s="238"/>
      <c r="C33" s="239"/>
      <c r="D33" s="226" t="s">
        <v>915</v>
      </c>
      <c r="E33" s="235"/>
      <c r="F33" s="732">
        <f t="shared" si="0"/>
        <v>735</v>
      </c>
      <c r="G33" s="236"/>
      <c r="H33" s="236">
        <v>87</v>
      </c>
      <c r="I33" s="236">
        <v>648</v>
      </c>
      <c r="J33" s="236"/>
      <c r="K33" s="236"/>
      <c r="L33" s="236"/>
      <c r="M33" s="236"/>
      <c r="N33" s="236"/>
      <c r="O33" s="237"/>
    </row>
    <row r="34" spans="1:15" ht="12.75" customHeight="1">
      <c r="A34" s="231"/>
      <c r="B34" s="238"/>
      <c r="C34" s="239"/>
      <c r="D34" s="226" t="s">
        <v>741</v>
      </c>
      <c r="E34" s="235"/>
      <c r="F34" s="732">
        <f t="shared" si="0"/>
        <v>735</v>
      </c>
      <c r="G34" s="236"/>
      <c r="H34" s="236">
        <v>87</v>
      </c>
      <c r="I34" s="236">
        <v>648</v>
      </c>
      <c r="J34" s="236"/>
      <c r="K34" s="236"/>
      <c r="L34" s="236"/>
      <c r="M34" s="236"/>
      <c r="N34" s="236"/>
      <c r="O34" s="237"/>
    </row>
    <row r="35" spans="1:15" ht="12.75" customHeight="1">
      <c r="A35" s="231" t="s">
        <v>23</v>
      </c>
      <c r="B35" s="238">
        <v>889943</v>
      </c>
      <c r="C35" s="239" t="s">
        <v>146</v>
      </c>
      <c r="D35" s="234" t="s">
        <v>540</v>
      </c>
      <c r="E35" s="235"/>
      <c r="F35" s="732">
        <f t="shared" si="0"/>
        <v>0</v>
      </c>
      <c r="G35" s="236"/>
      <c r="H35" s="236"/>
      <c r="I35" s="236"/>
      <c r="J35" s="236"/>
      <c r="K35" s="236"/>
      <c r="L35" s="236"/>
      <c r="M35" s="236"/>
      <c r="N35" s="236"/>
      <c r="O35" s="237"/>
    </row>
    <row r="36" spans="1:15" ht="12.75" customHeight="1">
      <c r="A36" s="231"/>
      <c r="B36" s="238"/>
      <c r="C36" s="239"/>
      <c r="D36" s="226" t="s">
        <v>915</v>
      </c>
      <c r="E36" s="235">
        <v>1483</v>
      </c>
      <c r="F36" s="732">
        <f t="shared" si="0"/>
        <v>1200</v>
      </c>
      <c r="G36" s="236"/>
      <c r="H36" s="236"/>
      <c r="I36" s="236"/>
      <c r="J36" s="236"/>
      <c r="K36" s="236"/>
      <c r="L36" s="236"/>
      <c r="M36" s="236"/>
      <c r="N36" s="236">
        <v>1200</v>
      </c>
      <c r="O36" s="237"/>
    </row>
    <row r="37" spans="1:15" ht="12.75" customHeight="1">
      <c r="A37" s="231"/>
      <c r="B37" s="238"/>
      <c r="C37" s="239"/>
      <c r="D37" s="226" t="s">
        <v>741</v>
      </c>
      <c r="E37" s="235">
        <v>1483</v>
      </c>
      <c r="F37" s="732">
        <f t="shared" si="0"/>
        <v>1200</v>
      </c>
      <c r="G37" s="236"/>
      <c r="H37" s="236"/>
      <c r="I37" s="236"/>
      <c r="J37" s="236"/>
      <c r="K37" s="236"/>
      <c r="L37" s="236"/>
      <c r="M37" s="236"/>
      <c r="N37" s="236">
        <v>1200</v>
      </c>
      <c r="O37" s="237"/>
    </row>
    <row r="38" spans="1:15" s="243" customFormat="1" ht="12.75" customHeight="1">
      <c r="A38" s="234" t="s">
        <v>17</v>
      </c>
      <c r="B38" s="238">
        <v>882111</v>
      </c>
      <c r="C38" s="239" t="s">
        <v>86</v>
      </c>
      <c r="D38" s="234" t="s">
        <v>540</v>
      </c>
      <c r="E38" s="235"/>
      <c r="F38" s="732">
        <f t="shared" si="0"/>
        <v>0</v>
      </c>
      <c r="G38" s="240"/>
      <c r="H38" s="240"/>
      <c r="I38" s="240"/>
      <c r="J38" s="240"/>
      <c r="K38" s="240"/>
      <c r="L38" s="240"/>
      <c r="M38" s="240"/>
      <c r="N38" s="241"/>
      <c r="O38" s="242"/>
    </row>
    <row r="39" spans="1:15" s="243" customFormat="1" ht="12.75" customHeight="1">
      <c r="A39" s="234"/>
      <c r="B39" s="238"/>
      <c r="C39" s="239"/>
      <c r="D39" s="226" t="s">
        <v>915</v>
      </c>
      <c r="E39" s="235"/>
      <c r="F39" s="732">
        <f t="shared" si="0"/>
        <v>55258</v>
      </c>
      <c r="G39" s="240"/>
      <c r="H39" s="240"/>
      <c r="I39" s="240"/>
      <c r="J39" s="240"/>
      <c r="K39" s="240">
        <v>55258</v>
      </c>
      <c r="L39" s="240"/>
      <c r="M39" s="240"/>
      <c r="N39" s="241"/>
      <c r="O39" s="242"/>
    </row>
    <row r="40" spans="1:15" s="243" customFormat="1" ht="12.75" customHeight="1">
      <c r="A40" s="234"/>
      <c r="B40" s="238"/>
      <c r="C40" s="239"/>
      <c r="D40" s="226" t="s">
        <v>741</v>
      </c>
      <c r="E40" s="235"/>
      <c r="F40" s="732">
        <f t="shared" si="0"/>
        <v>64050</v>
      </c>
      <c r="G40" s="240"/>
      <c r="H40" s="240"/>
      <c r="I40" s="240"/>
      <c r="J40" s="240"/>
      <c r="K40" s="240">
        <v>64050</v>
      </c>
      <c r="L40" s="240"/>
      <c r="M40" s="240"/>
      <c r="N40" s="241"/>
      <c r="O40" s="242"/>
    </row>
    <row r="41" spans="1:15" s="243" customFormat="1" ht="12.75" customHeight="1">
      <c r="A41" s="234" t="s">
        <v>23</v>
      </c>
      <c r="B41" s="238">
        <v>882112</v>
      </c>
      <c r="C41" s="239" t="s">
        <v>943</v>
      </c>
      <c r="D41" s="234" t="s">
        <v>540</v>
      </c>
      <c r="E41" s="235"/>
      <c r="F41" s="732">
        <f t="shared" si="0"/>
        <v>0</v>
      </c>
      <c r="G41" s="240"/>
      <c r="H41" s="240"/>
      <c r="I41" s="240"/>
      <c r="J41" s="240"/>
      <c r="K41" s="240"/>
      <c r="L41" s="240"/>
      <c r="M41" s="240"/>
      <c r="N41" s="240"/>
      <c r="O41" s="242"/>
    </row>
    <row r="42" spans="1:15" s="243" customFormat="1" ht="12.75" customHeight="1">
      <c r="A42" s="234"/>
      <c r="B42" s="238"/>
      <c r="C42" s="239"/>
      <c r="D42" s="226" t="s">
        <v>915</v>
      </c>
      <c r="E42" s="235"/>
      <c r="F42" s="732">
        <f t="shared" si="0"/>
        <v>336</v>
      </c>
      <c r="G42" s="240"/>
      <c r="H42" s="240"/>
      <c r="I42" s="240"/>
      <c r="J42" s="240"/>
      <c r="K42" s="240">
        <v>336</v>
      </c>
      <c r="L42" s="240"/>
      <c r="M42" s="240"/>
      <c r="N42" s="240"/>
      <c r="O42" s="242"/>
    </row>
    <row r="43" spans="1:15" s="243" customFormat="1" ht="12.75" customHeight="1">
      <c r="A43" s="234"/>
      <c r="B43" s="238"/>
      <c r="C43" s="239"/>
      <c r="D43" s="226" t="s">
        <v>741</v>
      </c>
      <c r="E43" s="235"/>
      <c r="F43" s="732">
        <f t="shared" si="0"/>
        <v>36</v>
      </c>
      <c r="G43" s="240"/>
      <c r="H43" s="240"/>
      <c r="I43" s="240"/>
      <c r="J43" s="240"/>
      <c r="K43" s="240">
        <v>36</v>
      </c>
      <c r="L43" s="240"/>
      <c r="M43" s="240"/>
      <c r="N43" s="240"/>
      <c r="O43" s="242"/>
    </row>
    <row r="44" spans="1:15" s="243" customFormat="1" ht="12.75" customHeight="1">
      <c r="A44" s="234" t="s">
        <v>17</v>
      </c>
      <c r="B44" s="238">
        <v>882113</v>
      </c>
      <c r="C44" s="239" t="s">
        <v>944</v>
      </c>
      <c r="D44" s="234" t="s">
        <v>540</v>
      </c>
      <c r="E44" s="235"/>
      <c r="F44" s="732">
        <f t="shared" si="0"/>
        <v>0</v>
      </c>
      <c r="G44" s="240"/>
      <c r="H44" s="240"/>
      <c r="I44" s="240"/>
      <c r="J44" s="240"/>
      <c r="K44" s="240"/>
      <c r="L44" s="240"/>
      <c r="M44" s="240"/>
      <c r="N44" s="240"/>
      <c r="O44" s="242"/>
    </row>
    <row r="45" spans="1:15" s="243" customFormat="1" ht="12.75" customHeight="1">
      <c r="A45" s="234"/>
      <c r="B45" s="238"/>
      <c r="C45" s="239"/>
      <c r="D45" s="226" t="s">
        <v>915</v>
      </c>
      <c r="E45" s="235"/>
      <c r="F45" s="732">
        <f t="shared" si="0"/>
        <v>16618</v>
      </c>
      <c r="G45" s="240"/>
      <c r="H45" s="240"/>
      <c r="I45" s="240"/>
      <c r="J45" s="240"/>
      <c r="K45" s="240">
        <v>16618</v>
      </c>
      <c r="L45" s="240"/>
      <c r="M45" s="240"/>
      <c r="N45" s="240"/>
      <c r="O45" s="242"/>
    </row>
    <row r="46" spans="1:15" s="243" customFormat="1" ht="12.75" customHeight="1">
      <c r="A46" s="234"/>
      <c r="B46" s="238"/>
      <c r="C46" s="239"/>
      <c r="D46" s="226" t="s">
        <v>741</v>
      </c>
      <c r="E46" s="235"/>
      <c r="F46" s="732">
        <f t="shared" si="0"/>
        <v>17255</v>
      </c>
      <c r="G46" s="240"/>
      <c r="H46" s="240"/>
      <c r="I46" s="240"/>
      <c r="J46" s="240"/>
      <c r="K46" s="240">
        <v>17255</v>
      </c>
      <c r="L46" s="240"/>
      <c r="M46" s="240"/>
      <c r="N46" s="240"/>
      <c r="O46" s="242"/>
    </row>
    <row r="47" spans="1:15" s="243" customFormat="1" ht="12.75" customHeight="1">
      <c r="A47" s="234" t="s">
        <v>17</v>
      </c>
      <c r="B47" s="238">
        <v>882115</v>
      </c>
      <c r="C47" s="239" t="s">
        <v>968</v>
      </c>
      <c r="D47" s="234" t="s">
        <v>540</v>
      </c>
      <c r="E47" s="235"/>
      <c r="F47" s="732">
        <f t="shared" si="0"/>
        <v>0</v>
      </c>
      <c r="G47" s="240"/>
      <c r="H47" s="240"/>
      <c r="I47" s="240"/>
      <c r="J47" s="240"/>
      <c r="K47" s="240"/>
      <c r="L47" s="240"/>
      <c r="M47" s="240"/>
      <c r="N47" s="240"/>
      <c r="O47" s="242"/>
    </row>
    <row r="48" spans="1:15" s="243" customFormat="1" ht="12.75" customHeight="1">
      <c r="A48" s="234"/>
      <c r="B48" s="238"/>
      <c r="C48" s="239"/>
      <c r="D48" s="226" t="s">
        <v>915</v>
      </c>
      <c r="E48" s="235"/>
      <c r="F48" s="732">
        <f t="shared" si="0"/>
        <v>0</v>
      </c>
      <c r="G48" s="240"/>
      <c r="H48" s="240"/>
      <c r="I48" s="240"/>
      <c r="J48" s="240"/>
      <c r="K48" s="240"/>
      <c r="L48" s="240"/>
      <c r="M48" s="240"/>
      <c r="N48" s="240"/>
      <c r="O48" s="242"/>
    </row>
    <row r="49" spans="1:15" s="243" customFormat="1" ht="12.75" customHeight="1">
      <c r="A49" s="234"/>
      <c r="B49" s="238"/>
      <c r="C49" s="239"/>
      <c r="D49" s="226" t="s">
        <v>741</v>
      </c>
      <c r="E49" s="235"/>
      <c r="F49" s="732">
        <f t="shared" si="0"/>
        <v>127</v>
      </c>
      <c r="G49" s="240"/>
      <c r="H49" s="240"/>
      <c r="I49" s="240"/>
      <c r="J49" s="240"/>
      <c r="K49" s="240">
        <v>127</v>
      </c>
      <c r="L49" s="240"/>
      <c r="M49" s="240"/>
      <c r="N49" s="240"/>
      <c r="O49" s="242"/>
    </row>
    <row r="50" spans="1:15" s="243" customFormat="1" ht="12.75" customHeight="1">
      <c r="A50" s="234" t="s">
        <v>17</v>
      </c>
      <c r="B50" s="238">
        <v>882116</v>
      </c>
      <c r="C50" s="239" t="s">
        <v>147</v>
      </c>
      <c r="D50" s="234" t="s">
        <v>540</v>
      </c>
      <c r="E50" s="235"/>
      <c r="F50" s="732">
        <f t="shared" si="0"/>
        <v>0</v>
      </c>
      <c r="G50" s="240"/>
      <c r="H50" s="240"/>
      <c r="I50" s="240"/>
      <c r="J50" s="240"/>
      <c r="K50" s="240"/>
      <c r="L50" s="240"/>
      <c r="M50" s="240"/>
      <c r="N50" s="240"/>
      <c r="O50" s="242"/>
    </row>
    <row r="51" spans="1:15" s="243" customFormat="1" ht="12.75" customHeight="1">
      <c r="A51" s="234"/>
      <c r="B51" s="238"/>
      <c r="C51" s="239"/>
      <c r="D51" s="226" t="s">
        <v>915</v>
      </c>
      <c r="E51" s="235"/>
      <c r="F51" s="732">
        <f t="shared" si="0"/>
        <v>0</v>
      </c>
      <c r="G51" s="240"/>
      <c r="H51" s="240"/>
      <c r="I51" s="240"/>
      <c r="J51" s="240"/>
      <c r="K51" s="240"/>
      <c r="L51" s="240"/>
      <c r="M51" s="240"/>
      <c r="N51" s="240"/>
      <c r="O51" s="242"/>
    </row>
    <row r="52" spans="1:15" s="243" customFormat="1" ht="12.75" customHeight="1">
      <c r="A52" s="234"/>
      <c r="B52" s="238"/>
      <c r="C52" s="239"/>
      <c r="D52" s="226" t="s">
        <v>741</v>
      </c>
      <c r="E52" s="235"/>
      <c r="F52" s="732">
        <f t="shared" si="0"/>
        <v>0</v>
      </c>
      <c r="G52" s="240"/>
      <c r="H52" s="240"/>
      <c r="I52" s="240"/>
      <c r="J52" s="240"/>
      <c r="K52" s="240"/>
      <c r="L52" s="240"/>
      <c r="M52" s="240"/>
      <c r="N52" s="240"/>
      <c r="O52" s="242"/>
    </row>
    <row r="53" spans="1:15" s="243" customFormat="1" ht="12.75" customHeight="1">
      <c r="A53" s="234" t="s">
        <v>17</v>
      </c>
      <c r="B53" s="238">
        <v>882117</v>
      </c>
      <c r="C53" s="239" t="s">
        <v>949</v>
      </c>
      <c r="D53" s="234" t="s">
        <v>540</v>
      </c>
      <c r="E53" s="235"/>
      <c r="F53" s="732">
        <f t="shared" si="0"/>
        <v>0</v>
      </c>
      <c r="G53" s="240"/>
      <c r="H53" s="240"/>
      <c r="I53" s="240"/>
      <c r="J53" s="240"/>
      <c r="K53" s="240"/>
      <c r="L53" s="240"/>
      <c r="M53" s="240"/>
      <c r="N53" s="240"/>
      <c r="O53" s="242"/>
    </row>
    <row r="54" spans="1:15" s="243" customFormat="1" ht="12.75" customHeight="1">
      <c r="A54" s="234"/>
      <c r="B54" s="238"/>
      <c r="C54" s="239"/>
      <c r="D54" s="226" t="s">
        <v>915</v>
      </c>
      <c r="E54" s="235"/>
      <c r="F54" s="732">
        <f t="shared" si="0"/>
        <v>8294</v>
      </c>
      <c r="G54" s="240"/>
      <c r="H54" s="240"/>
      <c r="I54" s="240"/>
      <c r="J54" s="240"/>
      <c r="K54" s="240">
        <v>8294</v>
      </c>
      <c r="L54" s="240"/>
      <c r="M54" s="240"/>
      <c r="N54" s="240"/>
      <c r="O54" s="242"/>
    </row>
    <row r="55" spans="1:15" s="243" customFormat="1" ht="12.75" customHeight="1">
      <c r="A55" s="234"/>
      <c r="B55" s="238"/>
      <c r="C55" s="239"/>
      <c r="D55" s="226" t="s">
        <v>741</v>
      </c>
      <c r="E55" s="235"/>
      <c r="F55" s="732">
        <f t="shared" si="0"/>
        <v>8294</v>
      </c>
      <c r="G55" s="240"/>
      <c r="H55" s="240"/>
      <c r="I55" s="240"/>
      <c r="J55" s="240"/>
      <c r="K55" s="240">
        <v>8294</v>
      </c>
      <c r="L55" s="240"/>
      <c r="M55" s="240"/>
      <c r="N55" s="240"/>
      <c r="O55" s="242"/>
    </row>
    <row r="56" spans="1:15" s="243" customFormat="1" ht="12.75" customHeight="1">
      <c r="A56" s="234" t="s">
        <v>17</v>
      </c>
      <c r="B56" s="238">
        <v>882119</v>
      </c>
      <c r="C56" s="239" t="s">
        <v>954</v>
      </c>
      <c r="D56" s="234" t="s">
        <v>540</v>
      </c>
      <c r="E56" s="235"/>
      <c r="F56" s="732">
        <f t="shared" si="0"/>
        <v>0</v>
      </c>
      <c r="G56" s="240"/>
      <c r="H56" s="240"/>
      <c r="I56" s="240"/>
      <c r="J56" s="240"/>
      <c r="K56" s="240"/>
      <c r="L56" s="240"/>
      <c r="M56" s="240"/>
      <c r="N56" s="240"/>
      <c r="O56" s="242"/>
    </row>
    <row r="57" spans="1:15" s="243" customFormat="1" ht="12.75" customHeight="1">
      <c r="A57" s="234"/>
      <c r="B57" s="238"/>
      <c r="C57" s="239"/>
      <c r="D57" s="226" t="s">
        <v>915</v>
      </c>
      <c r="E57" s="257"/>
      <c r="F57" s="732">
        <f t="shared" si="0"/>
        <v>0</v>
      </c>
      <c r="G57" s="259"/>
      <c r="H57" s="259"/>
      <c r="I57" s="259"/>
      <c r="J57" s="259"/>
      <c r="K57" s="259"/>
      <c r="L57" s="259"/>
      <c r="M57" s="259"/>
      <c r="N57" s="259"/>
      <c r="O57" s="260"/>
    </row>
    <row r="58" spans="1:15" s="243" customFormat="1" ht="12.75" customHeight="1">
      <c r="A58" s="234"/>
      <c r="B58" s="238"/>
      <c r="C58" s="239"/>
      <c r="D58" s="226" t="s">
        <v>741</v>
      </c>
      <c r="E58" s="257"/>
      <c r="F58" s="732">
        <f t="shared" si="0"/>
        <v>300</v>
      </c>
      <c r="G58" s="259"/>
      <c r="H58" s="259"/>
      <c r="I58" s="259"/>
      <c r="J58" s="259"/>
      <c r="K58" s="259">
        <v>300</v>
      </c>
      <c r="L58" s="259"/>
      <c r="M58" s="259"/>
      <c r="N58" s="259"/>
      <c r="O58" s="260"/>
    </row>
    <row r="59" spans="1:15" s="243" customFormat="1" ht="12.75" customHeight="1">
      <c r="A59" s="231" t="s">
        <v>35</v>
      </c>
      <c r="B59" s="238">
        <v>882201</v>
      </c>
      <c r="C59" s="239" t="s">
        <v>945</v>
      </c>
      <c r="D59" s="234" t="s">
        <v>540</v>
      </c>
      <c r="E59" s="257"/>
      <c r="F59" s="732">
        <f t="shared" si="0"/>
        <v>0</v>
      </c>
      <c r="G59" s="259"/>
      <c r="H59" s="259"/>
      <c r="I59" s="259"/>
      <c r="J59" s="259"/>
      <c r="K59" s="259"/>
      <c r="L59" s="259"/>
      <c r="M59" s="259"/>
      <c r="N59" s="259"/>
      <c r="O59" s="260"/>
    </row>
    <row r="60" spans="1:15" s="243" customFormat="1" ht="12.75" customHeight="1">
      <c r="A60" s="234"/>
      <c r="B60" s="238"/>
      <c r="C60" s="239"/>
      <c r="D60" s="226" t="s">
        <v>915</v>
      </c>
      <c r="E60" s="257"/>
      <c r="F60" s="732">
        <f t="shared" si="0"/>
        <v>7475</v>
      </c>
      <c r="G60" s="259"/>
      <c r="H60" s="259"/>
      <c r="I60" s="259"/>
      <c r="J60" s="259"/>
      <c r="K60" s="259">
        <v>7475</v>
      </c>
      <c r="L60" s="259"/>
      <c r="M60" s="259"/>
      <c r="N60" s="259"/>
      <c r="O60" s="260"/>
    </row>
    <row r="61" spans="1:15" s="243" customFormat="1" ht="12.75" customHeight="1">
      <c r="A61" s="234"/>
      <c r="B61" s="238"/>
      <c r="C61" s="239"/>
      <c r="D61" s="226" t="s">
        <v>741</v>
      </c>
      <c r="E61" s="257"/>
      <c r="F61" s="732">
        <f t="shared" si="0"/>
        <v>5910</v>
      </c>
      <c r="G61" s="259"/>
      <c r="H61" s="259"/>
      <c r="I61" s="259"/>
      <c r="J61" s="259"/>
      <c r="K61" s="259">
        <v>5910</v>
      </c>
      <c r="L61" s="259"/>
      <c r="M61" s="259"/>
      <c r="N61" s="259"/>
      <c r="O61" s="260"/>
    </row>
    <row r="62" spans="1:15" ht="12.75" customHeight="1">
      <c r="A62" s="231" t="s">
        <v>35</v>
      </c>
      <c r="B62" s="238">
        <v>960900</v>
      </c>
      <c r="C62" s="239" t="s">
        <v>148</v>
      </c>
      <c r="D62" s="234" t="s">
        <v>540</v>
      </c>
      <c r="E62" s="257"/>
      <c r="F62" s="732">
        <f t="shared" si="0"/>
        <v>0</v>
      </c>
      <c r="G62" s="259"/>
      <c r="H62" s="259"/>
      <c r="I62" s="259"/>
      <c r="J62" s="259"/>
      <c r="K62" s="257"/>
      <c r="L62" s="257"/>
      <c r="M62" s="259"/>
      <c r="N62" s="259"/>
      <c r="O62" s="260"/>
    </row>
    <row r="63" spans="1:15" ht="12.75" customHeight="1">
      <c r="A63" s="586"/>
      <c r="B63" s="473"/>
      <c r="C63" s="587"/>
      <c r="D63" s="226" t="s">
        <v>915</v>
      </c>
      <c r="E63" s="262">
        <v>3527</v>
      </c>
      <c r="F63" s="732">
        <f t="shared" si="0"/>
        <v>3706</v>
      </c>
      <c r="G63" s="263">
        <v>1525</v>
      </c>
      <c r="H63" s="263">
        <v>706</v>
      </c>
      <c r="I63" s="263">
        <v>1475</v>
      </c>
      <c r="J63" s="263"/>
      <c r="K63" s="261"/>
      <c r="L63" s="261"/>
      <c r="M63" s="263"/>
      <c r="N63" s="263"/>
      <c r="O63" s="316"/>
    </row>
    <row r="64" spans="1:15" ht="12.75" customHeight="1">
      <c r="A64" s="586"/>
      <c r="B64" s="1030"/>
      <c r="C64" s="587"/>
      <c r="D64" s="226" t="s">
        <v>741</v>
      </c>
      <c r="E64" s="262">
        <v>3527</v>
      </c>
      <c r="F64" s="732">
        <f t="shared" si="0"/>
        <v>3706</v>
      </c>
      <c r="G64" s="263">
        <v>1525</v>
      </c>
      <c r="H64" s="263">
        <v>706</v>
      </c>
      <c r="I64" s="263">
        <v>1475</v>
      </c>
      <c r="J64" s="263"/>
      <c r="K64" s="261"/>
      <c r="L64" s="261"/>
      <c r="M64" s="263"/>
      <c r="N64" s="263"/>
      <c r="O64" s="316"/>
    </row>
    <row r="65" spans="1:15" ht="12.75" customHeight="1">
      <c r="A65" s="1319" t="s">
        <v>169</v>
      </c>
      <c r="B65" s="1320"/>
      <c r="C65" s="1321"/>
      <c r="D65" s="248" t="s">
        <v>540</v>
      </c>
      <c r="E65" s="261">
        <f>SUM(E8+E11+E14+E17+E20+E23+E26+E29+E32+E35+E38+E41+E44+E47+E50+E53+E56+E59+E62)</f>
        <v>0</v>
      </c>
      <c r="F65" s="261">
        <f aca="true" t="shared" si="1" ref="F65:O65">SUM(F8+F11+F14+F17+F20+F23+F26+F29+F32+F35+F38+F41+F44+F47+F50+F53+F56+F59+F62)</f>
        <v>0</v>
      </c>
      <c r="G65" s="261">
        <f t="shared" si="1"/>
        <v>0</v>
      </c>
      <c r="H65" s="261">
        <f t="shared" si="1"/>
        <v>0</v>
      </c>
      <c r="I65" s="261">
        <f t="shared" si="1"/>
        <v>0</v>
      </c>
      <c r="J65" s="261">
        <f t="shared" si="1"/>
        <v>0</v>
      </c>
      <c r="K65" s="261">
        <f t="shared" si="1"/>
        <v>0</v>
      </c>
      <c r="L65" s="261">
        <f t="shared" si="1"/>
        <v>0</v>
      </c>
      <c r="M65" s="261">
        <f t="shared" si="1"/>
        <v>0</v>
      </c>
      <c r="N65" s="261">
        <f t="shared" si="1"/>
        <v>0</v>
      </c>
      <c r="O65" s="312">
        <f t="shared" si="1"/>
        <v>0</v>
      </c>
    </row>
    <row r="66" spans="1:15" ht="12.75" customHeight="1">
      <c r="A66" s="932"/>
      <c r="B66" s="1031"/>
      <c r="C66" s="933"/>
      <c r="D66" s="1039" t="s">
        <v>915</v>
      </c>
      <c r="E66" s="261">
        <f aca="true" t="shared" si="2" ref="E66:O67">SUM(E9+E12+E15+E18+E21+E24+E27+E30+E33+E36+E39+E42+E45+E48+E51+E54+E57+E60+E63)</f>
        <v>511020</v>
      </c>
      <c r="F66" s="261">
        <f t="shared" si="2"/>
        <v>511020</v>
      </c>
      <c r="G66" s="261">
        <f t="shared" si="2"/>
        <v>235213</v>
      </c>
      <c r="H66" s="261">
        <f t="shared" si="2"/>
        <v>58525</v>
      </c>
      <c r="I66" s="261">
        <f t="shared" si="2"/>
        <v>114722</v>
      </c>
      <c r="J66" s="261">
        <f t="shared" si="2"/>
        <v>7769</v>
      </c>
      <c r="K66" s="261">
        <f t="shared" si="2"/>
        <v>87981</v>
      </c>
      <c r="L66" s="261">
        <f t="shared" si="2"/>
        <v>0</v>
      </c>
      <c r="M66" s="261">
        <f t="shared" si="2"/>
        <v>5610</v>
      </c>
      <c r="N66" s="261">
        <f t="shared" si="2"/>
        <v>1200</v>
      </c>
      <c r="O66" s="312">
        <f t="shared" si="2"/>
        <v>0</v>
      </c>
    </row>
    <row r="67" spans="1:15" s="284" customFormat="1" ht="12.75" customHeight="1" thickBot="1">
      <c r="A67" s="1172"/>
      <c r="B67" s="1029"/>
      <c r="C67" s="1029"/>
      <c r="D67" s="1068" t="s">
        <v>741</v>
      </c>
      <c r="E67" s="734">
        <f t="shared" si="2"/>
        <v>519750</v>
      </c>
      <c r="F67" s="734">
        <f t="shared" si="2"/>
        <v>519750</v>
      </c>
      <c r="G67" s="734">
        <f t="shared" si="2"/>
        <v>235282</v>
      </c>
      <c r="H67" s="734">
        <f t="shared" si="2"/>
        <v>58543</v>
      </c>
      <c r="I67" s="734">
        <f t="shared" si="2"/>
        <v>114474</v>
      </c>
      <c r="J67" s="734">
        <f t="shared" si="2"/>
        <v>7769</v>
      </c>
      <c r="K67" s="734">
        <f t="shared" si="2"/>
        <v>95972</v>
      </c>
      <c r="L67" s="734">
        <f t="shared" si="2"/>
        <v>0</v>
      </c>
      <c r="M67" s="734">
        <f t="shared" si="2"/>
        <v>6510</v>
      </c>
      <c r="N67" s="734">
        <f t="shared" si="2"/>
        <v>1200</v>
      </c>
      <c r="O67" s="1067">
        <f t="shared" si="2"/>
        <v>0</v>
      </c>
    </row>
    <row r="68" spans="1:15" ht="12.75" customHeight="1" thickBot="1">
      <c r="A68" s="689"/>
      <c r="B68" s="687"/>
      <c r="C68" s="687"/>
      <c r="D68" s="690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</row>
    <row r="69" spans="1:15" ht="12.75" customHeight="1" thickBot="1">
      <c r="A69" s="1274"/>
      <c r="B69" s="1208" t="s">
        <v>774</v>
      </c>
      <c r="C69" s="1209"/>
      <c r="D69" s="1209"/>
      <c r="E69" s="1206" t="s">
        <v>7</v>
      </c>
      <c r="F69" s="1250" t="s">
        <v>8</v>
      </c>
      <c r="G69" s="1253" t="s">
        <v>726</v>
      </c>
      <c r="H69" s="1253"/>
      <c r="I69" s="1253"/>
      <c r="J69" s="1253"/>
      <c r="K69" s="1253"/>
      <c r="L69" s="1253" t="s">
        <v>727</v>
      </c>
      <c r="M69" s="1253"/>
      <c r="N69" s="1267" t="s">
        <v>9</v>
      </c>
      <c r="O69" s="1277" t="s">
        <v>10</v>
      </c>
    </row>
    <row r="70" spans="1:15" ht="12.75" customHeight="1" thickBot="1" thickTop="1">
      <c r="A70" s="1275"/>
      <c r="B70" s="1202"/>
      <c r="C70" s="1203"/>
      <c r="D70" s="1203"/>
      <c r="E70" s="1201"/>
      <c r="F70" s="1251"/>
      <c r="G70" s="1254" t="s">
        <v>12</v>
      </c>
      <c r="H70" s="1254" t="s">
        <v>13</v>
      </c>
      <c r="I70" s="1254" t="s">
        <v>14</v>
      </c>
      <c r="J70" s="1254" t="s">
        <v>15</v>
      </c>
      <c r="K70" s="1254" t="s">
        <v>16</v>
      </c>
      <c r="L70" s="1265" t="s">
        <v>693</v>
      </c>
      <c r="M70" s="1265" t="s">
        <v>691</v>
      </c>
      <c r="N70" s="1268"/>
      <c r="O70" s="1278"/>
    </row>
    <row r="71" spans="1:15" ht="12.75" customHeight="1" thickBot="1" thickTop="1">
      <c r="A71" s="1276"/>
      <c r="B71" s="1204"/>
      <c r="C71" s="1205"/>
      <c r="D71" s="1205"/>
      <c r="E71" s="1249"/>
      <c r="F71" s="1252"/>
      <c r="G71" s="1255"/>
      <c r="H71" s="1255"/>
      <c r="I71" s="1255"/>
      <c r="J71" s="1255"/>
      <c r="K71" s="1255"/>
      <c r="L71" s="1266"/>
      <c r="M71" s="1266"/>
      <c r="N71" s="1269"/>
      <c r="O71" s="1279"/>
    </row>
    <row r="72" spans="1:15" ht="12.75" customHeight="1">
      <c r="A72" s="1316" t="s">
        <v>157</v>
      </c>
      <c r="B72" s="1317"/>
      <c r="C72" s="1318"/>
      <c r="D72" s="226"/>
      <c r="E72" s="264"/>
      <c r="F72" s="270">
        <f>SUM(G72:O72)</f>
        <v>0</v>
      </c>
      <c r="G72" s="266"/>
      <c r="H72" s="266"/>
      <c r="I72" s="266"/>
      <c r="J72" s="266"/>
      <c r="K72" s="266"/>
      <c r="L72" s="265"/>
      <c r="M72" s="265"/>
      <c r="N72" s="266"/>
      <c r="O72" s="267"/>
    </row>
    <row r="73" spans="1:15" ht="12.75" customHeight="1">
      <c r="A73" s="586" t="s">
        <v>17</v>
      </c>
      <c r="B73" s="1035">
        <v>841126</v>
      </c>
      <c r="C73" s="1033" t="s">
        <v>158</v>
      </c>
      <c r="D73" s="226" t="s">
        <v>915</v>
      </c>
      <c r="E73" s="268">
        <v>15385</v>
      </c>
      <c r="F73" s="258">
        <f aca="true" t="shared" si="3" ref="F73:F83">SUM(G73:O73)</f>
        <v>20338</v>
      </c>
      <c r="G73" s="616">
        <v>14383</v>
      </c>
      <c r="H73" s="616">
        <v>3717</v>
      </c>
      <c r="I73" s="616">
        <v>2238</v>
      </c>
      <c r="J73" s="617"/>
      <c r="K73" s="617"/>
      <c r="L73" s="257"/>
      <c r="M73" s="257"/>
      <c r="N73" s="617"/>
      <c r="O73" s="269"/>
    </row>
    <row r="74" spans="1:15" ht="12.75" customHeight="1">
      <c r="A74" s="586"/>
      <c r="B74" s="1036"/>
      <c r="C74" s="1033"/>
      <c r="D74" s="226" t="s">
        <v>741</v>
      </c>
      <c r="E74" s="268">
        <v>15385</v>
      </c>
      <c r="F74" s="258">
        <f t="shared" si="3"/>
        <v>20282</v>
      </c>
      <c r="G74" s="616">
        <v>14405</v>
      </c>
      <c r="H74" s="616">
        <v>3639</v>
      </c>
      <c r="I74" s="616">
        <v>2238</v>
      </c>
      <c r="J74" s="617"/>
      <c r="K74" s="617"/>
      <c r="L74" s="257"/>
      <c r="M74" s="257"/>
      <c r="N74" s="617"/>
      <c r="O74" s="269"/>
    </row>
    <row r="75" spans="1:15" ht="12.75" customHeight="1">
      <c r="A75" s="586" t="s">
        <v>17</v>
      </c>
      <c r="B75" s="1036">
        <v>882111</v>
      </c>
      <c r="C75" s="1033" t="s">
        <v>159</v>
      </c>
      <c r="D75" s="226" t="s">
        <v>915</v>
      </c>
      <c r="E75" s="268">
        <v>1728</v>
      </c>
      <c r="F75" s="258">
        <f t="shared" si="3"/>
        <v>2898</v>
      </c>
      <c r="G75" s="617"/>
      <c r="H75" s="617"/>
      <c r="I75" s="616"/>
      <c r="J75" s="617"/>
      <c r="K75" s="616">
        <v>2898</v>
      </c>
      <c r="L75" s="257"/>
      <c r="M75" s="257"/>
      <c r="N75" s="617"/>
      <c r="O75" s="269"/>
    </row>
    <row r="76" spans="1:15" ht="12.75" customHeight="1">
      <c r="A76" s="586"/>
      <c r="B76" s="1036"/>
      <c r="C76" s="1033"/>
      <c r="D76" s="226" t="s">
        <v>741</v>
      </c>
      <c r="E76" s="268">
        <v>1728</v>
      </c>
      <c r="F76" s="258">
        <f t="shared" si="3"/>
        <v>3187</v>
      </c>
      <c r="G76" s="617"/>
      <c r="H76" s="617"/>
      <c r="I76" s="616"/>
      <c r="J76" s="617"/>
      <c r="K76" s="616">
        <v>3187</v>
      </c>
      <c r="L76" s="257"/>
      <c r="M76" s="257"/>
      <c r="N76" s="617"/>
      <c r="O76" s="269"/>
    </row>
    <row r="77" spans="1:15" ht="12.75" customHeight="1">
      <c r="A77" s="586" t="s">
        <v>17</v>
      </c>
      <c r="B77" s="1037" t="s">
        <v>161</v>
      </c>
      <c r="C77" s="1034" t="s">
        <v>162</v>
      </c>
      <c r="D77" s="226" t="s">
        <v>915</v>
      </c>
      <c r="E77" s="257">
        <v>185</v>
      </c>
      <c r="F77" s="258">
        <f t="shared" si="3"/>
        <v>205</v>
      </c>
      <c r="G77" s="259"/>
      <c r="H77" s="259"/>
      <c r="I77" s="259"/>
      <c r="J77" s="259"/>
      <c r="K77" s="259">
        <v>205</v>
      </c>
      <c r="L77" s="259"/>
      <c r="M77" s="259"/>
      <c r="N77" s="259"/>
      <c r="O77" s="260"/>
    </row>
    <row r="78" spans="1:15" ht="12.75" customHeight="1">
      <c r="A78" s="586"/>
      <c r="B78" s="1037"/>
      <c r="C78" s="1034"/>
      <c r="D78" s="226" t="s">
        <v>741</v>
      </c>
      <c r="E78" s="257">
        <v>185</v>
      </c>
      <c r="F78" s="258">
        <f t="shared" si="3"/>
        <v>0</v>
      </c>
      <c r="G78" s="259"/>
      <c r="H78" s="259"/>
      <c r="I78" s="259"/>
      <c r="J78" s="259"/>
      <c r="K78" s="259"/>
      <c r="L78" s="259"/>
      <c r="M78" s="259"/>
      <c r="N78" s="259"/>
      <c r="O78" s="260"/>
    </row>
    <row r="79" spans="1:15" ht="12.75" customHeight="1">
      <c r="A79" s="586" t="s">
        <v>17</v>
      </c>
      <c r="B79" s="1038" t="s">
        <v>160</v>
      </c>
      <c r="C79" s="686" t="s">
        <v>944</v>
      </c>
      <c r="D79" s="226" t="s">
        <v>915</v>
      </c>
      <c r="E79" s="257">
        <v>401</v>
      </c>
      <c r="F79" s="258">
        <f t="shared" si="3"/>
        <v>518</v>
      </c>
      <c r="G79" s="259"/>
      <c r="H79" s="259"/>
      <c r="I79" s="259"/>
      <c r="J79" s="259"/>
      <c r="K79" s="259">
        <v>518</v>
      </c>
      <c r="L79" s="259"/>
      <c r="M79" s="259"/>
      <c r="N79" s="259"/>
      <c r="O79" s="260"/>
    </row>
    <row r="80" spans="1:15" ht="12.75" customHeight="1">
      <c r="A80" s="586"/>
      <c r="B80" s="1038"/>
      <c r="C80" s="686"/>
      <c r="D80" s="226" t="s">
        <v>741</v>
      </c>
      <c r="E80" s="257">
        <v>401</v>
      </c>
      <c r="F80" s="258">
        <f t="shared" si="3"/>
        <v>518</v>
      </c>
      <c r="G80" s="259"/>
      <c r="H80" s="259"/>
      <c r="I80" s="259"/>
      <c r="J80" s="259"/>
      <c r="K80" s="259">
        <v>518</v>
      </c>
      <c r="L80" s="259"/>
      <c r="M80" s="259"/>
      <c r="N80" s="259"/>
      <c r="O80" s="260"/>
    </row>
    <row r="81" spans="1:15" ht="12.75" customHeight="1">
      <c r="A81" s="586" t="s">
        <v>17</v>
      </c>
      <c r="B81" s="1038" t="s">
        <v>404</v>
      </c>
      <c r="C81" s="615" t="s">
        <v>53</v>
      </c>
      <c r="D81" s="226" t="s">
        <v>915</v>
      </c>
      <c r="E81" s="257">
        <v>6260</v>
      </c>
      <c r="F81" s="258">
        <f t="shared" si="3"/>
        <v>0</v>
      </c>
      <c r="G81" s="259"/>
      <c r="H81" s="259"/>
      <c r="I81" s="259"/>
      <c r="J81" s="259"/>
      <c r="K81" s="259"/>
      <c r="L81" s="259"/>
      <c r="M81" s="259"/>
      <c r="N81" s="259"/>
      <c r="O81" s="260"/>
    </row>
    <row r="82" spans="1:15" ht="12.75" customHeight="1">
      <c r="A82" s="586"/>
      <c r="B82" s="1038"/>
      <c r="C82" s="615"/>
      <c r="D82" s="226" t="s">
        <v>741</v>
      </c>
      <c r="E82" s="257">
        <v>6288</v>
      </c>
      <c r="F82" s="258">
        <f t="shared" si="3"/>
        <v>0</v>
      </c>
      <c r="G82" s="259"/>
      <c r="H82" s="259"/>
      <c r="I82" s="259"/>
      <c r="J82" s="259"/>
      <c r="K82" s="259"/>
      <c r="L82" s="259"/>
      <c r="M82" s="259"/>
      <c r="N82" s="259"/>
      <c r="O82" s="260"/>
    </row>
    <row r="83" spans="1:15" ht="12.75" customHeight="1">
      <c r="A83" s="1309" t="s">
        <v>165</v>
      </c>
      <c r="B83" s="1310"/>
      <c r="C83" s="1311"/>
      <c r="D83" s="861" t="s">
        <v>915</v>
      </c>
      <c r="E83" s="257">
        <f>SUM(E73+E75+E77+E79+E81)</f>
        <v>23959</v>
      </c>
      <c r="F83" s="258">
        <f t="shared" si="3"/>
        <v>23959</v>
      </c>
      <c r="G83" s="257">
        <f aca="true" t="shared" si="4" ref="G83:O83">SUM(G73+G75+G77+G79+G81)</f>
        <v>14383</v>
      </c>
      <c r="H83" s="257">
        <f t="shared" si="4"/>
        <v>3717</v>
      </c>
      <c r="I83" s="257">
        <f t="shared" si="4"/>
        <v>2238</v>
      </c>
      <c r="J83" s="257">
        <f t="shared" si="4"/>
        <v>0</v>
      </c>
      <c r="K83" s="257">
        <f t="shared" si="4"/>
        <v>3621</v>
      </c>
      <c r="L83" s="257">
        <f t="shared" si="4"/>
        <v>0</v>
      </c>
      <c r="M83" s="257">
        <f t="shared" si="4"/>
        <v>0</v>
      </c>
      <c r="N83" s="257">
        <f t="shared" si="4"/>
        <v>0</v>
      </c>
      <c r="O83" s="317">
        <f t="shared" si="4"/>
        <v>0</v>
      </c>
    </row>
    <row r="84" spans="1:15" ht="12.75" customHeight="1">
      <c r="A84" s="634"/>
      <c r="B84" s="635"/>
      <c r="C84" s="636"/>
      <c r="D84" s="861" t="s">
        <v>741</v>
      </c>
      <c r="E84" s="257">
        <f>SUM(E74+E76+E78+E80+E82)</f>
        <v>23987</v>
      </c>
      <c r="F84" s="257">
        <f aca="true" t="shared" si="5" ref="F84:O84">SUM(F74+F76+F78+F80+F82)</f>
        <v>23987</v>
      </c>
      <c r="G84" s="257">
        <f t="shared" si="5"/>
        <v>14405</v>
      </c>
      <c r="H84" s="257">
        <f t="shared" si="5"/>
        <v>3639</v>
      </c>
      <c r="I84" s="257">
        <f t="shared" si="5"/>
        <v>2238</v>
      </c>
      <c r="J84" s="257">
        <f t="shared" si="5"/>
        <v>0</v>
      </c>
      <c r="K84" s="257">
        <f t="shared" si="5"/>
        <v>3705</v>
      </c>
      <c r="L84" s="257">
        <f t="shared" si="5"/>
        <v>0</v>
      </c>
      <c r="M84" s="257">
        <f t="shared" si="5"/>
        <v>0</v>
      </c>
      <c r="N84" s="257">
        <f t="shared" si="5"/>
        <v>0</v>
      </c>
      <c r="O84" s="317">
        <f t="shared" si="5"/>
        <v>0</v>
      </c>
    </row>
    <row r="85" spans="1:15" ht="12.75" customHeight="1">
      <c r="A85" s="1313"/>
      <c r="B85" s="1314"/>
      <c r="C85" s="1315"/>
      <c r="D85" s="234"/>
      <c r="E85" s="257"/>
      <c r="F85" s="258"/>
      <c r="G85" s="259"/>
      <c r="H85" s="259"/>
      <c r="I85" s="259"/>
      <c r="J85" s="259"/>
      <c r="K85" s="259"/>
      <c r="L85" s="259"/>
      <c r="M85" s="259"/>
      <c r="N85" s="259"/>
      <c r="O85" s="260"/>
    </row>
    <row r="86" spans="1:15" ht="12.75" customHeight="1">
      <c r="A86" s="1309" t="s">
        <v>163</v>
      </c>
      <c r="B86" s="1310"/>
      <c r="C86" s="1311"/>
      <c r="D86" s="234"/>
      <c r="E86" s="257"/>
      <c r="F86" s="258"/>
      <c r="G86" s="259"/>
      <c r="H86" s="259"/>
      <c r="I86" s="259"/>
      <c r="J86" s="259"/>
      <c r="K86" s="259"/>
      <c r="L86" s="259"/>
      <c r="M86" s="259"/>
      <c r="N86" s="259"/>
      <c r="O86" s="260"/>
    </row>
    <row r="87" spans="1:15" ht="12.75" customHeight="1">
      <c r="A87" s="231" t="s">
        <v>17</v>
      </c>
      <c r="B87" s="250" t="s">
        <v>164</v>
      </c>
      <c r="C87" s="239" t="s">
        <v>158</v>
      </c>
      <c r="D87" s="226" t="s">
        <v>915</v>
      </c>
      <c r="E87" s="257">
        <v>13550</v>
      </c>
      <c r="F87" s="258">
        <f aca="true" t="shared" si="6" ref="F87:F97">SUM(G87:O87)</f>
        <v>20080</v>
      </c>
      <c r="G87" s="263">
        <v>12612</v>
      </c>
      <c r="H87" s="259">
        <v>3293</v>
      </c>
      <c r="I87" s="259">
        <v>4175</v>
      </c>
      <c r="J87" s="259"/>
      <c r="K87" s="259"/>
      <c r="L87" s="259"/>
      <c r="M87" s="259"/>
      <c r="N87" s="259"/>
      <c r="O87" s="260"/>
    </row>
    <row r="88" spans="1:15" ht="12.75" customHeight="1">
      <c r="A88" s="231"/>
      <c r="B88" s="250"/>
      <c r="C88" s="239"/>
      <c r="D88" s="226" t="s">
        <v>741</v>
      </c>
      <c r="E88" s="257">
        <v>13056</v>
      </c>
      <c r="F88" s="258">
        <f t="shared" si="6"/>
        <v>17894</v>
      </c>
      <c r="G88" s="263">
        <v>12203</v>
      </c>
      <c r="H88" s="259">
        <v>3236</v>
      </c>
      <c r="I88" s="259">
        <v>2455</v>
      </c>
      <c r="J88" s="259"/>
      <c r="K88" s="259"/>
      <c r="L88" s="259"/>
      <c r="M88" s="259"/>
      <c r="N88" s="259"/>
      <c r="O88" s="260"/>
    </row>
    <row r="89" spans="1:15" ht="12.75" customHeight="1">
      <c r="A89" s="231" t="s">
        <v>17</v>
      </c>
      <c r="B89" s="238">
        <v>882111</v>
      </c>
      <c r="C89" s="251" t="s">
        <v>159</v>
      </c>
      <c r="D89" s="226" t="s">
        <v>915</v>
      </c>
      <c r="E89" s="257">
        <v>1193</v>
      </c>
      <c r="F89" s="258">
        <f t="shared" si="6"/>
        <v>2226</v>
      </c>
      <c r="G89" s="259"/>
      <c r="H89" s="259"/>
      <c r="I89" s="259"/>
      <c r="J89" s="259"/>
      <c r="K89" s="259">
        <v>2226</v>
      </c>
      <c r="L89" s="259"/>
      <c r="M89" s="259"/>
      <c r="N89" s="259"/>
      <c r="O89" s="260"/>
    </row>
    <row r="90" spans="1:15" ht="12.75" customHeight="1">
      <c r="A90" s="231"/>
      <c r="B90" s="238"/>
      <c r="C90" s="251"/>
      <c r="D90" s="226" t="s">
        <v>741</v>
      </c>
      <c r="E90" s="257">
        <v>1193</v>
      </c>
      <c r="F90" s="258">
        <f t="shared" si="6"/>
        <v>3826</v>
      </c>
      <c r="G90" s="259"/>
      <c r="H90" s="259"/>
      <c r="I90" s="259"/>
      <c r="J90" s="259"/>
      <c r="K90" s="259">
        <v>3826</v>
      </c>
      <c r="L90" s="259"/>
      <c r="M90" s="259"/>
      <c r="N90" s="259"/>
      <c r="O90" s="260"/>
    </row>
    <row r="91" spans="1:15" ht="12.75" customHeight="1">
      <c r="A91" s="231" t="s">
        <v>17</v>
      </c>
      <c r="B91" s="238">
        <v>882113</v>
      </c>
      <c r="C91" s="251" t="s">
        <v>944</v>
      </c>
      <c r="D91" s="226" t="s">
        <v>915</v>
      </c>
      <c r="E91" s="257">
        <v>90</v>
      </c>
      <c r="F91" s="258">
        <f t="shared" si="6"/>
        <v>700</v>
      </c>
      <c r="G91" s="259"/>
      <c r="H91" s="259"/>
      <c r="I91" s="259"/>
      <c r="J91" s="259"/>
      <c r="K91" s="259">
        <v>700</v>
      </c>
      <c r="L91" s="259"/>
      <c r="M91" s="259"/>
      <c r="N91" s="259"/>
      <c r="O91" s="260"/>
    </row>
    <row r="92" spans="1:15" ht="12.75" customHeight="1">
      <c r="A92" s="231"/>
      <c r="B92" s="238"/>
      <c r="C92" s="251"/>
      <c r="D92" s="226" t="s">
        <v>741</v>
      </c>
      <c r="E92" s="257">
        <v>90</v>
      </c>
      <c r="F92" s="258">
        <f t="shared" si="6"/>
        <v>820</v>
      </c>
      <c r="G92" s="259"/>
      <c r="H92" s="259"/>
      <c r="I92" s="259"/>
      <c r="J92" s="259"/>
      <c r="K92" s="259">
        <v>820</v>
      </c>
      <c r="L92" s="259"/>
      <c r="M92" s="259"/>
      <c r="N92" s="259"/>
      <c r="O92" s="260"/>
    </row>
    <row r="93" spans="1:15" ht="12.75" customHeight="1">
      <c r="A93" s="231" t="s">
        <v>17</v>
      </c>
      <c r="B93" s="238">
        <v>882115</v>
      </c>
      <c r="C93" s="251" t="s">
        <v>975</v>
      </c>
      <c r="D93" s="226" t="s">
        <v>915</v>
      </c>
      <c r="E93" s="257">
        <v>1350</v>
      </c>
      <c r="F93" s="258">
        <f t="shared" si="6"/>
        <v>0</v>
      </c>
      <c r="G93" s="259"/>
      <c r="H93" s="259"/>
      <c r="I93" s="259"/>
      <c r="J93" s="259"/>
      <c r="K93" s="259">
        <v>0</v>
      </c>
      <c r="L93" s="259"/>
      <c r="M93" s="259"/>
      <c r="N93" s="259"/>
      <c r="O93" s="260"/>
    </row>
    <row r="94" spans="1:15" ht="12.75" customHeight="1">
      <c r="A94" s="586"/>
      <c r="B94" s="1030"/>
      <c r="C94" s="688"/>
      <c r="D94" s="226" t="s">
        <v>741</v>
      </c>
      <c r="E94" s="257">
        <v>1350</v>
      </c>
      <c r="F94" s="258">
        <f t="shared" si="6"/>
        <v>0</v>
      </c>
      <c r="G94" s="259"/>
      <c r="H94" s="259"/>
      <c r="I94" s="259"/>
      <c r="J94" s="259"/>
      <c r="K94" s="259"/>
      <c r="L94" s="259"/>
      <c r="M94" s="259"/>
      <c r="N94" s="259"/>
      <c r="O94" s="260"/>
    </row>
    <row r="95" spans="1:15" ht="12.75" customHeight="1">
      <c r="A95" s="586" t="s">
        <v>17</v>
      </c>
      <c r="B95" s="1030">
        <v>841907</v>
      </c>
      <c r="C95" s="615" t="s">
        <v>53</v>
      </c>
      <c r="D95" s="226" t="s">
        <v>915</v>
      </c>
      <c r="E95" s="257">
        <v>6823</v>
      </c>
      <c r="F95" s="258">
        <f t="shared" si="6"/>
        <v>0</v>
      </c>
      <c r="G95" s="259"/>
      <c r="H95" s="259"/>
      <c r="I95" s="259"/>
      <c r="J95" s="259"/>
      <c r="K95" s="259"/>
      <c r="L95" s="259"/>
      <c r="M95" s="259"/>
      <c r="N95" s="259"/>
      <c r="O95" s="260"/>
    </row>
    <row r="96" spans="1:15" ht="12.75" customHeight="1">
      <c r="A96" s="586"/>
      <c r="B96" s="1030"/>
      <c r="C96" s="615"/>
      <c r="D96" s="226" t="s">
        <v>741</v>
      </c>
      <c r="E96" s="257">
        <v>6851</v>
      </c>
      <c r="F96" s="258">
        <f t="shared" si="6"/>
        <v>0</v>
      </c>
      <c r="G96" s="259"/>
      <c r="H96" s="259"/>
      <c r="I96" s="259"/>
      <c r="J96" s="259"/>
      <c r="K96" s="259"/>
      <c r="L96" s="259"/>
      <c r="M96" s="259"/>
      <c r="N96" s="259"/>
      <c r="O96" s="260"/>
    </row>
    <row r="97" spans="1:15" ht="12.75" customHeight="1">
      <c r="A97" s="1309" t="s">
        <v>166</v>
      </c>
      <c r="B97" s="1310"/>
      <c r="C97" s="1311"/>
      <c r="D97" s="861" t="s">
        <v>915</v>
      </c>
      <c r="E97" s="257">
        <f>SUM(E87+E89+E91+E93+E95)</f>
        <v>23006</v>
      </c>
      <c r="F97" s="258">
        <f t="shared" si="6"/>
        <v>23006</v>
      </c>
      <c r="G97" s="257">
        <f aca="true" t="shared" si="7" ref="G97:O97">SUM(G87+G89+G91+G93+G95)</f>
        <v>12612</v>
      </c>
      <c r="H97" s="257">
        <f t="shared" si="7"/>
        <v>3293</v>
      </c>
      <c r="I97" s="257">
        <f t="shared" si="7"/>
        <v>4175</v>
      </c>
      <c r="J97" s="257">
        <f t="shared" si="7"/>
        <v>0</v>
      </c>
      <c r="K97" s="257">
        <f t="shared" si="7"/>
        <v>2926</v>
      </c>
      <c r="L97" s="257">
        <f t="shared" si="7"/>
        <v>0</v>
      </c>
      <c r="M97" s="257">
        <f t="shared" si="7"/>
        <v>0</v>
      </c>
      <c r="N97" s="257">
        <f t="shared" si="7"/>
        <v>0</v>
      </c>
      <c r="O97" s="317">
        <f t="shared" si="7"/>
        <v>0</v>
      </c>
    </row>
    <row r="98" spans="1:15" ht="12.75" customHeight="1">
      <c r="A98" s="634"/>
      <c r="B98" s="635"/>
      <c r="C98" s="636"/>
      <c r="D98" s="861" t="s">
        <v>741</v>
      </c>
      <c r="E98" s="257">
        <f>SUM(E88+E90+E92+E94+E96)</f>
        <v>22540</v>
      </c>
      <c r="F98" s="257">
        <f aca="true" t="shared" si="8" ref="F98:O98">SUM(F88+F90+F92+F94+F96)</f>
        <v>22540</v>
      </c>
      <c r="G98" s="257">
        <f t="shared" si="8"/>
        <v>12203</v>
      </c>
      <c r="H98" s="257">
        <f t="shared" si="8"/>
        <v>3236</v>
      </c>
      <c r="I98" s="257">
        <f t="shared" si="8"/>
        <v>2455</v>
      </c>
      <c r="J98" s="257">
        <f t="shared" si="8"/>
        <v>0</v>
      </c>
      <c r="K98" s="257">
        <f t="shared" si="8"/>
        <v>4646</v>
      </c>
      <c r="L98" s="257">
        <f t="shared" si="8"/>
        <v>0</v>
      </c>
      <c r="M98" s="257">
        <f t="shared" si="8"/>
        <v>0</v>
      </c>
      <c r="N98" s="257">
        <f t="shared" si="8"/>
        <v>0</v>
      </c>
      <c r="O98" s="317">
        <f t="shared" si="8"/>
        <v>0</v>
      </c>
    </row>
    <row r="99" spans="1:15" ht="12.75" customHeight="1">
      <c r="A99" s="1313"/>
      <c r="B99" s="1314"/>
      <c r="C99" s="1315"/>
      <c r="D99" s="234"/>
      <c r="E99" s="257"/>
      <c r="F99" s="258"/>
      <c r="G99" s="259"/>
      <c r="H99" s="259"/>
      <c r="I99" s="259"/>
      <c r="J99" s="259"/>
      <c r="K99" s="259"/>
      <c r="L99" s="259"/>
      <c r="M99" s="259"/>
      <c r="N99" s="259"/>
      <c r="O99" s="260"/>
    </row>
    <row r="100" spans="1:15" ht="12.75" customHeight="1">
      <c r="A100" s="1309" t="s">
        <v>167</v>
      </c>
      <c r="B100" s="1310"/>
      <c r="C100" s="1311"/>
      <c r="D100" s="234"/>
      <c r="E100" s="257"/>
      <c r="F100" s="258"/>
      <c r="G100" s="259"/>
      <c r="H100" s="259"/>
      <c r="I100" s="259"/>
      <c r="J100" s="259"/>
      <c r="K100" s="259"/>
      <c r="L100" s="259"/>
      <c r="M100" s="259"/>
      <c r="N100" s="259"/>
      <c r="O100" s="260"/>
    </row>
    <row r="101" spans="1:15" ht="12.75" customHeight="1">
      <c r="A101" s="586" t="s">
        <v>17</v>
      </c>
      <c r="B101" s="1030">
        <v>841126</v>
      </c>
      <c r="C101" s="686" t="s">
        <v>158</v>
      </c>
      <c r="D101" s="226" t="s">
        <v>915</v>
      </c>
      <c r="E101" s="257">
        <v>4169</v>
      </c>
      <c r="F101" s="258">
        <f aca="true" t="shared" si="9" ref="F101:F108">SUM(G101:O101)</f>
        <v>6304</v>
      </c>
      <c r="G101" s="259">
        <v>3962</v>
      </c>
      <c r="H101" s="259">
        <v>1000</v>
      </c>
      <c r="I101" s="259">
        <v>1342</v>
      </c>
      <c r="J101" s="259"/>
      <c r="K101" s="259"/>
      <c r="L101" s="259"/>
      <c r="M101" s="259"/>
      <c r="N101" s="259"/>
      <c r="O101" s="260"/>
    </row>
    <row r="102" spans="1:15" ht="12.75" customHeight="1">
      <c r="A102" s="586"/>
      <c r="B102" s="1030"/>
      <c r="C102" s="686"/>
      <c r="D102" s="226" t="s">
        <v>741</v>
      </c>
      <c r="E102" s="257">
        <v>4169</v>
      </c>
      <c r="F102" s="258">
        <f t="shared" si="9"/>
        <v>6345</v>
      </c>
      <c r="G102" s="259">
        <v>3794</v>
      </c>
      <c r="H102" s="259">
        <v>959</v>
      </c>
      <c r="I102" s="259">
        <v>1592</v>
      </c>
      <c r="J102" s="259"/>
      <c r="K102" s="259"/>
      <c r="L102" s="259"/>
      <c r="M102" s="259"/>
      <c r="N102" s="259"/>
      <c r="O102" s="260"/>
    </row>
    <row r="103" spans="1:15" ht="12.75" customHeight="1">
      <c r="A103" s="586" t="s">
        <v>17</v>
      </c>
      <c r="B103" s="1030">
        <v>882111</v>
      </c>
      <c r="C103" s="686" t="s">
        <v>159</v>
      </c>
      <c r="D103" s="226" t="s">
        <v>915</v>
      </c>
      <c r="E103" s="257">
        <v>185</v>
      </c>
      <c r="F103" s="258">
        <f t="shared" si="9"/>
        <v>73</v>
      </c>
      <c r="G103" s="259"/>
      <c r="H103" s="259"/>
      <c r="I103" s="259"/>
      <c r="J103" s="259"/>
      <c r="K103" s="259">
        <v>73</v>
      </c>
      <c r="L103" s="259"/>
      <c r="M103" s="259"/>
      <c r="N103" s="259"/>
      <c r="O103" s="260"/>
    </row>
    <row r="104" spans="1:15" ht="12.75" customHeight="1">
      <c r="A104" s="586"/>
      <c r="B104" s="1030"/>
      <c r="C104" s="686"/>
      <c r="D104" s="226" t="s">
        <v>741</v>
      </c>
      <c r="E104" s="257">
        <v>185</v>
      </c>
      <c r="F104" s="258">
        <f t="shared" si="9"/>
        <v>73</v>
      </c>
      <c r="G104" s="259"/>
      <c r="H104" s="259"/>
      <c r="I104" s="259"/>
      <c r="J104" s="259"/>
      <c r="K104" s="259">
        <v>73</v>
      </c>
      <c r="L104" s="259"/>
      <c r="M104" s="259"/>
      <c r="N104" s="259"/>
      <c r="O104" s="260"/>
    </row>
    <row r="105" spans="1:15" ht="12.75" customHeight="1">
      <c r="A105" s="586" t="s">
        <v>17</v>
      </c>
      <c r="B105" s="1030">
        <v>882113</v>
      </c>
      <c r="C105" s="686" t="s">
        <v>944</v>
      </c>
      <c r="D105" s="226" t="s">
        <v>915</v>
      </c>
      <c r="E105" s="257">
        <v>11</v>
      </c>
      <c r="F105" s="258">
        <f t="shared" si="9"/>
        <v>0</v>
      </c>
      <c r="G105" s="259"/>
      <c r="H105" s="259"/>
      <c r="I105" s="259"/>
      <c r="J105" s="259"/>
      <c r="K105" s="259">
        <v>0</v>
      </c>
      <c r="L105" s="259"/>
      <c r="M105" s="259"/>
      <c r="N105" s="259"/>
      <c r="O105" s="260"/>
    </row>
    <row r="106" spans="1:15" ht="12.75" customHeight="1">
      <c r="A106" s="586"/>
      <c r="B106" s="1030"/>
      <c r="C106" s="686"/>
      <c r="D106" s="226" t="s">
        <v>741</v>
      </c>
      <c r="E106" s="257">
        <v>11</v>
      </c>
      <c r="F106" s="258">
        <f t="shared" si="9"/>
        <v>0</v>
      </c>
      <c r="G106" s="259"/>
      <c r="H106" s="259"/>
      <c r="I106" s="259"/>
      <c r="J106" s="259"/>
      <c r="K106" s="259"/>
      <c r="L106" s="259"/>
      <c r="M106" s="259"/>
      <c r="N106" s="259"/>
      <c r="O106" s="260"/>
    </row>
    <row r="107" spans="1:15" ht="12.75" customHeight="1">
      <c r="A107" s="586" t="s">
        <v>17</v>
      </c>
      <c r="B107" s="1030">
        <v>847907</v>
      </c>
      <c r="C107" s="615" t="s">
        <v>53</v>
      </c>
      <c r="D107" s="226" t="s">
        <v>915</v>
      </c>
      <c r="E107" s="257">
        <v>2012</v>
      </c>
      <c r="F107" s="258">
        <f t="shared" si="9"/>
        <v>0</v>
      </c>
      <c r="G107" s="259"/>
      <c r="H107" s="259"/>
      <c r="I107" s="259"/>
      <c r="J107" s="259"/>
      <c r="K107" s="259"/>
      <c r="L107" s="259"/>
      <c r="M107" s="259"/>
      <c r="N107" s="259"/>
      <c r="O107" s="260"/>
    </row>
    <row r="108" spans="1:15" ht="12.75" customHeight="1">
      <c r="A108" s="586"/>
      <c r="B108" s="1030"/>
      <c r="C108" s="615"/>
      <c r="D108" s="226" t="s">
        <v>741</v>
      </c>
      <c r="E108" s="257">
        <v>2053</v>
      </c>
      <c r="F108" s="258">
        <f t="shared" si="9"/>
        <v>0</v>
      </c>
      <c r="G108" s="259"/>
      <c r="H108" s="259"/>
      <c r="I108" s="259"/>
      <c r="J108" s="259"/>
      <c r="K108" s="259"/>
      <c r="L108" s="259"/>
      <c r="M108" s="259"/>
      <c r="N108" s="259"/>
      <c r="O108" s="260"/>
    </row>
    <row r="109" spans="1:15" ht="12.75" customHeight="1">
      <c r="A109" s="1309" t="s">
        <v>168</v>
      </c>
      <c r="B109" s="1310"/>
      <c r="C109" s="1311"/>
      <c r="D109" s="861" t="s">
        <v>915</v>
      </c>
      <c r="E109" s="257">
        <f>SUM(E101+E103+E105+E107)</f>
        <v>6377</v>
      </c>
      <c r="F109" s="258">
        <f>SUM(G109:O109)</f>
        <v>6377</v>
      </c>
      <c r="G109" s="257">
        <f aca="true" t="shared" si="10" ref="G109:O109">SUM(G101+G103+G105+G107)</f>
        <v>3962</v>
      </c>
      <c r="H109" s="257">
        <f t="shared" si="10"/>
        <v>1000</v>
      </c>
      <c r="I109" s="257">
        <f t="shared" si="10"/>
        <v>1342</v>
      </c>
      <c r="J109" s="257">
        <f t="shared" si="10"/>
        <v>0</v>
      </c>
      <c r="K109" s="257">
        <f t="shared" si="10"/>
        <v>73</v>
      </c>
      <c r="L109" s="257">
        <f t="shared" si="10"/>
        <v>0</v>
      </c>
      <c r="M109" s="257">
        <f t="shared" si="10"/>
        <v>0</v>
      </c>
      <c r="N109" s="257">
        <f t="shared" si="10"/>
        <v>0</v>
      </c>
      <c r="O109" s="317">
        <f t="shared" si="10"/>
        <v>0</v>
      </c>
    </row>
    <row r="110" spans="1:15" ht="12.75" customHeight="1">
      <c r="A110" s="634"/>
      <c r="B110" s="635"/>
      <c r="C110" s="636"/>
      <c r="D110" s="861" t="s">
        <v>741</v>
      </c>
      <c r="E110" s="257">
        <f>SUM(E102+E104+E106+E108)</f>
        <v>6418</v>
      </c>
      <c r="F110" s="257">
        <f aca="true" t="shared" si="11" ref="F110:O110">SUM(F102+F104+F106+F108)</f>
        <v>6418</v>
      </c>
      <c r="G110" s="257">
        <f t="shared" si="11"/>
        <v>3794</v>
      </c>
      <c r="H110" s="257">
        <f t="shared" si="11"/>
        <v>959</v>
      </c>
      <c r="I110" s="257">
        <f t="shared" si="11"/>
        <v>1592</v>
      </c>
      <c r="J110" s="257">
        <f t="shared" si="11"/>
        <v>0</v>
      </c>
      <c r="K110" s="257">
        <f t="shared" si="11"/>
        <v>73</v>
      </c>
      <c r="L110" s="257">
        <f t="shared" si="11"/>
        <v>0</v>
      </c>
      <c r="M110" s="257">
        <f t="shared" si="11"/>
        <v>0</v>
      </c>
      <c r="N110" s="257">
        <f t="shared" si="11"/>
        <v>0</v>
      </c>
      <c r="O110" s="317">
        <f t="shared" si="11"/>
        <v>0</v>
      </c>
    </row>
    <row r="111" spans="1:15" ht="12.75" customHeight="1">
      <c r="A111" s="823"/>
      <c r="B111" s="824"/>
      <c r="C111" s="825"/>
      <c r="D111" s="254"/>
      <c r="E111" s="257"/>
      <c r="F111" s="257"/>
      <c r="G111" s="257"/>
      <c r="H111" s="257"/>
      <c r="I111" s="899"/>
      <c r="J111" s="257"/>
      <c r="K111" s="257"/>
      <c r="L111" s="259"/>
      <c r="M111" s="259"/>
      <c r="N111" s="259"/>
      <c r="O111" s="260"/>
    </row>
    <row r="112" spans="1:15" ht="12.75" customHeight="1">
      <c r="A112" s="1309" t="s">
        <v>472</v>
      </c>
      <c r="B112" s="1310"/>
      <c r="C112" s="1311"/>
      <c r="D112" s="256" t="s">
        <v>539</v>
      </c>
      <c r="E112" s="257">
        <v>0</v>
      </c>
      <c r="F112" s="257">
        <v>0</v>
      </c>
      <c r="G112" s="258">
        <v>0</v>
      </c>
      <c r="H112" s="258">
        <v>0</v>
      </c>
      <c r="I112" s="789">
        <v>0</v>
      </c>
      <c r="J112" s="258">
        <v>0</v>
      </c>
      <c r="K112" s="258">
        <v>0</v>
      </c>
      <c r="L112" s="258">
        <v>0</v>
      </c>
      <c r="M112" s="258">
        <v>0</v>
      </c>
      <c r="N112" s="258">
        <v>0</v>
      </c>
      <c r="O112" s="313">
        <v>0</v>
      </c>
    </row>
    <row r="113" spans="1:15" ht="12.75" customHeight="1">
      <c r="A113" s="637"/>
      <c r="B113" s="638"/>
      <c r="C113" s="639"/>
      <c r="D113" s="861" t="s">
        <v>915</v>
      </c>
      <c r="E113" s="257">
        <f aca="true" t="shared" si="12" ref="E113:O113">SUM(E83+E97+E109)</f>
        <v>53342</v>
      </c>
      <c r="F113" s="257">
        <f t="shared" si="12"/>
        <v>53342</v>
      </c>
      <c r="G113" s="257">
        <f t="shared" si="12"/>
        <v>30957</v>
      </c>
      <c r="H113" s="257">
        <f t="shared" si="12"/>
        <v>8010</v>
      </c>
      <c r="I113" s="257">
        <f t="shared" si="12"/>
        <v>7755</v>
      </c>
      <c r="J113" s="257">
        <f t="shared" si="12"/>
        <v>0</v>
      </c>
      <c r="K113" s="257">
        <f t="shared" si="12"/>
        <v>6620</v>
      </c>
      <c r="L113" s="257">
        <f t="shared" si="12"/>
        <v>0</v>
      </c>
      <c r="M113" s="257">
        <f t="shared" si="12"/>
        <v>0</v>
      </c>
      <c r="N113" s="257">
        <f t="shared" si="12"/>
        <v>0</v>
      </c>
      <c r="O113" s="317">
        <f t="shared" si="12"/>
        <v>0</v>
      </c>
    </row>
    <row r="114" spans="1:15" ht="12.75" customHeight="1">
      <c r="A114" s="637"/>
      <c r="B114" s="638"/>
      <c r="C114" s="639"/>
      <c r="D114" s="861" t="s">
        <v>741</v>
      </c>
      <c r="E114" s="257">
        <f>SUM(E84+E98+E110)</f>
        <v>52945</v>
      </c>
      <c r="F114" s="257">
        <f aca="true" t="shared" si="13" ref="F114:O114">SUM(F84+F98+F110)</f>
        <v>52945</v>
      </c>
      <c r="G114" s="257">
        <f t="shared" si="13"/>
        <v>30402</v>
      </c>
      <c r="H114" s="257">
        <f t="shared" si="13"/>
        <v>7834</v>
      </c>
      <c r="I114" s="257">
        <f t="shared" si="13"/>
        <v>6285</v>
      </c>
      <c r="J114" s="257">
        <f t="shared" si="13"/>
        <v>0</v>
      </c>
      <c r="K114" s="257">
        <f t="shared" si="13"/>
        <v>8424</v>
      </c>
      <c r="L114" s="257">
        <f t="shared" si="13"/>
        <v>0</v>
      </c>
      <c r="M114" s="257">
        <f t="shared" si="13"/>
        <v>0</v>
      </c>
      <c r="N114" s="257">
        <f t="shared" si="13"/>
        <v>0</v>
      </c>
      <c r="O114" s="317">
        <f t="shared" si="13"/>
        <v>0</v>
      </c>
    </row>
    <row r="115" spans="1:15" ht="12.75" customHeight="1">
      <c r="A115" s="637"/>
      <c r="B115" s="638"/>
      <c r="C115" s="639"/>
      <c r="D115" s="253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317"/>
    </row>
    <row r="116" spans="1:15" ht="12.75" customHeight="1">
      <c r="A116" s="1309" t="s">
        <v>689</v>
      </c>
      <c r="B116" s="1310"/>
      <c r="C116" s="1311"/>
      <c r="D116" s="474" t="s">
        <v>539</v>
      </c>
      <c r="E116" s="257">
        <f>SUM(E65)</f>
        <v>0</v>
      </c>
      <c r="F116" s="257">
        <f>SUM(F65)</f>
        <v>0</v>
      </c>
      <c r="G116" s="257">
        <f aca="true" t="shared" si="14" ref="G116:O116">SUM(G65)</f>
        <v>0</v>
      </c>
      <c r="H116" s="257">
        <f t="shared" si="14"/>
        <v>0</v>
      </c>
      <c r="I116" s="257">
        <f t="shared" si="14"/>
        <v>0</v>
      </c>
      <c r="J116" s="257">
        <f t="shared" si="14"/>
        <v>0</v>
      </c>
      <c r="K116" s="257">
        <f t="shared" si="14"/>
        <v>0</v>
      </c>
      <c r="L116" s="257">
        <f t="shared" si="14"/>
        <v>0</v>
      </c>
      <c r="M116" s="257">
        <f t="shared" si="14"/>
        <v>0</v>
      </c>
      <c r="N116" s="257">
        <f t="shared" si="14"/>
        <v>0</v>
      </c>
      <c r="O116" s="317">
        <f t="shared" si="14"/>
        <v>0</v>
      </c>
    </row>
    <row r="117" spans="1:15" ht="12.75" customHeight="1">
      <c r="A117" s="634"/>
      <c r="B117" s="635"/>
      <c r="C117" s="636"/>
      <c r="D117" s="861" t="s">
        <v>915</v>
      </c>
      <c r="E117" s="257">
        <f>SUM(E121+E125+E129)</f>
        <v>564362</v>
      </c>
      <c r="F117" s="257">
        <f aca="true" t="shared" si="15" ref="F117:O117">SUM(F121+F125+F129)</f>
        <v>564362</v>
      </c>
      <c r="G117" s="257">
        <f t="shared" si="15"/>
        <v>266170</v>
      </c>
      <c r="H117" s="257">
        <f t="shared" si="15"/>
        <v>66535</v>
      </c>
      <c r="I117" s="257">
        <f t="shared" si="15"/>
        <v>122477</v>
      </c>
      <c r="J117" s="257">
        <f t="shared" si="15"/>
        <v>7769</v>
      </c>
      <c r="K117" s="257">
        <f t="shared" si="15"/>
        <v>94601</v>
      </c>
      <c r="L117" s="257">
        <f t="shared" si="15"/>
        <v>0</v>
      </c>
      <c r="M117" s="257">
        <f t="shared" si="15"/>
        <v>5610</v>
      </c>
      <c r="N117" s="257">
        <f t="shared" si="15"/>
        <v>1200</v>
      </c>
      <c r="O117" s="317">
        <f t="shared" si="15"/>
        <v>0</v>
      </c>
    </row>
    <row r="118" spans="1:15" ht="12.75" customHeight="1">
      <c r="A118" s="634"/>
      <c r="B118" s="635"/>
      <c r="C118" s="636"/>
      <c r="D118" s="1028" t="s">
        <v>741</v>
      </c>
      <c r="E118" s="257">
        <f>SUM(E122+E126+E130)</f>
        <v>572695</v>
      </c>
      <c r="F118" s="257">
        <f aca="true" t="shared" si="16" ref="F118:O118">SUM(F122+F126+F130)</f>
        <v>572695</v>
      </c>
      <c r="G118" s="257">
        <f t="shared" si="16"/>
        <v>265684</v>
      </c>
      <c r="H118" s="257">
        <f t="shared" si="16"/>
        <v>66377</v>
      </c>
      <c r="I118" s="257">
        <f t="shared" si="16"/>
        <v>120759</v>
      </c>
      <c r="J118" s="257">
        <f t="shared" si="16"/>
        <v>7769</v>
      </c>
      <c r="K118" s="257">
        <f t="shared" si="16"/>
        <v>104396</v>
      </c>
      <c r="L118" s="257">
        <f t="shared" si="16"/>
        <v>0</v>
      </c>
      <c r="M118" s="257">
        <f t="shared" si="16"/>
        <v>6510</v>
      </c>
      <c r="N118" s="257">
        <f t="shared" si="16"/>
        <v>1200</v>
      </c>
      <c r="O118" s="317">
        <f t="shared" si="16"/>
        <v>0</v>
      </c>
    </row>
    <row r="119" spans="1:15" ht="12.75" customHeight="1">
      <c r="A119" s="634"/>
      <c r="B119" s="635"/>
      <c r="C119" s="636"/>
      <c r="D119" s="256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318"/>
    </row>
    <row r="120" spans="1:15" ht="12.75" customHeight="1">
      <c r="A120" s="1312" t="s">
        <v>149</v>
      </c>
      <c r="B120" s="1220"/>
      <c r="C120" s="1210"/>
      <c r="D120" s="255" t="s">
        <v>540</v>
      </c>
      <c r="E120" s="257">
        <f>SUM(E8+E38+E44+E47+E50+E53+E56)</f>
        <v>0</v>
      </c>
      <c r="F120" s="257">
        <f aca="true" t="shared" si="17" ref="F120:O120">SUM(F8+F38+F44+F47+F50+F53+F56)</f>
        <v>0</v>
      </c>
      <c r="G120" s="257">
        <f t="shared" si="17"/>
        <v>0</v>
      </c>
      <c r="H120" s="257">
        <f t="shared" si="17"/>
        <v>0</v>
      </c>
      <c r="I120" s="257">
        <f t="shared" si="17"/>
        <v>0</v>
      </c>
      <c r="J120" s="257">
        <f t="shared" si="17"/>
        <v>0</v>
      </c>
      <c r="K120" s="257">
        <f t="shared" si="17"/>
        <v>0</v>
      </c>
      <c r="L120" s="257">
        <f t="shared" si="17"/>
        <v>0</v>
      </c>
      <c r="M120" s="257">
        <f t="shared" si="17"/>
        <v>0</v>
      </c>
      <c r="N120" s="257">
        <f t="shared" si="17"/>
        <v>0</v>
      </c>
      <c r="O120" s="317">
        <f t="shared" si="17"/>
        <v>0</v>
      </c>
    </row>
    <row r="121" spans="1:15" ht="12.75" customHeight="1">
      <c r="A121" s="637"/>
      <c r="B121" s="638"/>
      <c r="C121" s="639"/>
      <c r="D121" s="861" t="s">
        <v>915</v>
      </c>
      <c r="E121" s="257">
        <f>SUM(E9+E39+E45+E48+E51+E54+E57+E73+E75+E77+E79+E81+E87+E89+E91+E93+E95+E101+E103+E105+E107)</f>
        <v>53342</v>
      </c>
      <c r="F121" s="257">
        <f aca="true" t="shared" si="18" ref="F121:O121">SUM(F9+F39+F45+F48+F51+F54+F57+F73+F75+F77+F79+F81+F87+F89+F91+F93+F95+F101+F103+F105+F107)</f>
        <v>133512</v>
      </c>
      <c r="G121" s="257">
        <f t="shared" si="18"/>
        <v>30957</v>
      </c>
      <c r="H121" s="257">
        <f t="shared" si="18"/>
        <v>8010</v>
      </c>
      <c r="I121" s="257">
        <f t="shared" si="18"/>
        <v>7755</v>
      </c>
      <c r="J121" s="257">
        <f t="shared" si="18"/>
        <v>0</v>
      </c>
      <c r="K121" s="257">
        <f t="shared" si="18"/>
        <v>86790</v>
      </c>
      <c r="L121" s="257">
        <f t="shared" si="18"/>
        <v>0</v>
      </c>
      <c r="M121" s="257">
        <f t="shared" si="18"/>
        <v>0</v>
      </c>
      <c r="N121" s="257">
        <f t="shared" si="18"/>
        <v>0</v>
      </c>
      <c r="O121" s="317">
        <f t="shared" si="18"/>
        <v>0</v>
      </c>
    </row>
    <row r="122" spans="1:15" ht="12.75" customHeight="1">
      <c r="A122" s="637"/>
      <c r="B122" s="638"/>
      <c r="C122" s="639"/>
      <c r="D122" s="1028" t="s">
        <v>741</v>
      </c>
      <c r="E122" s="257">
        <f>SUM(E10+E40+E46+E49+E52+E55+E58+E74+E76+E78+E80+E82+E88+E90+E92+E94+E96+E102+E104+E106+E108)</f>
        <v>52945</v>
      </c>
      <c r="F122" s="257">
        <f aca="true" t="shared" si="19" ref="F122:O122">SUM(F10+F40+F46+F49+F52+F55+F58+F74+F76+F78+F80+F82+F88+F90+F92+F94+F96+F102+F104+F106+F108)</f>
        <v>142971</v>
      </c>
      <c r="G122" s="257">
        <f t="shared" si="19"/>
        <v>30402</v>
      </c>
      <c r="H122" s="257">
        <f t="shared" si="19"/>
        <v>7834</v>
      </c>
      <c r="I122" s="257">
        <f t="shared" si="19"/>
        <v>6285</v>
      </c>
      <c r="J122" s="257">
        <f t="shared" si="19"/>
        <v>0</v>
      </c>
      <c r="K122" s="257">
        <f t="shared" si="19"/>
        <v>98450</v>
      </c>
      <c r="L122" s="257">
        <f t="shared" si="19"/>
        <v>0</v>
      </c>
      <c r="M122" s="257">
        <f t="shared" si="19"/>
        <v>0</v>
      </c>
      <c r="N122" s="257">
        <f t="shared" si="19"/>
        <v>0</v>
      </c>
      <c r="O122" s="317">
        <f t="shared" si="19"/>
        <v>0</v>
      </c>
    </row>
    <row r="123" spans="1:15" ht="12.75" customHeight="1">
      <c r="A123" s="637"/>
      <c r="B123" s="638"/>
      <c r="C123" s="639"/>
      <c r="D123" s="256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317"/>
    </row>
    <row r="124" spans="1:15" ht="12.75" customHeight="1">
      <c r="A124" s="1312" t="s">
        <v>134</v>
      </c>
      <c r="B124" s="1220"/>
      <c r="C124" s="1210"/>
      <c r="D124" s="255" t="s">
        <v>540</v>
      </c>
      <c r="E124" s="257">
        <f>SUM(E11+E32+E35+E41)</f>
        <v>0</v>
      </c>
      <c r="F124" s="257">
        <f aca="true" t="shared" si="20" ref="F124:O124">SUM(F11+F32+F35+F41)</f>
        <v>0</v>
      </c>
      <c r="G124" s="257">
        <f t="shared" si="20"/>
        <v>0</v>
      </c>
      <c r="H124" s="257">
        <f t="shared" si="20"/>
        <v>0</v>
      </c>
      <c r="I124" s="257">
        <f t="shared" si="20"/>
        <v>0</v>
      </c>
      <c r="J124" s="257">
        <f t="shared" si="20"/>
        <v>0</v>
      </c>
      <c r="K124" s="257">
        <f t="shared" si="20"/>
        <v>0</v>
      </c>
      <c r="L124" s="257">
        <f t="shared" si="20"/>
        <v>0</v>
      </c>
      <c r="M124" s="257">
        <f t="shared" si="20"/>
        <v>0</v>
      </c>
      <c r="N124" s="257">
        <f t="shared" si="20"/>
        <v>0</v>
      </c>
      <c r="O124" s="317">
        <f t="shared" si="20"/>
        <v>0</v>
      </c>
    </row>
    <row r="125" spans="1:15" ht="12.75" customHeight="1">
      <c r="A125" s="637"/>
      <c r="B125" s="638"/>
      <c r="C125" s="639"/>
      <c r="D125" s="861" t="s">
        <v>915</v>
      </c>
      <c r="E125" s="257">
        <f aca="true" t="shared" si="21" ref="E125:O126">SUM(E12+E33+E36+E42)</f>
        <v>3916</v>
      </c>
      <c r="F125" s="257">
        <f t="shared" si="21"/>
        <v>5847</v>
      </c>
      <c r="G125" s="257">
        <f t="shared" si="21"/>
        <v>0</v>
      </c>
      <c r="H125" s="257">
        <f t="shared" si="21"/>
        <v>87</v>
      </c>
      <c r="I125" s="257">
        <f t="shared" si="21"/>
        <v>4224</v>
      </c>
      <c r="J125" s="257">
        <f t="shared" si="21"/>
        <v>0</v>
      </c>
      <c r="K125" s="257">
        <f t="shared" si="21"/>
        <v>336</v>
      </c>
      <c r="L125" s="257">
        <f t="shared" si="21"/>
        <v>0</v>
      </c>
      <c r="M125" s="257">
        <f t="shared" si="21"/>
        <v>0</v>
      </c>
      <c r="N125" s="257">
        <f t="shared" si="21"/>
        <v>1200</v>
      </c>
      <c r="O125" s="317">
        <f t="shared" si="21"/>
        <v>0</v>
      </c>
    </row>
    <row r="126" spans="1:15" ht="12.75" customHeight="1">
      <c r="A126" s="637"/>
      <c r="B126" s="638"/>
      <c r="C126" s="639"/>
      <c r="D126" s="256" t="s">
        <v>741</v>
      </c>
      <c r="E126" s="257">
        <f t="shared" si="21"/>
        <v>3916</v>
      </c>
      <c r="F126" s="257">
        <f t="shared" si="21"/>
        <v>5547</v>
      </c>
      <c r="G126" s="257">
        <f t="shared" si="21"/>
        <v>0</v>
      </c>
      <c r="H126" s="257">
        <f t="shared" si="21"/>
        <v>87</v>
      </c>
      <c r="I126" s="257">
        <f t="shared" si="21"/>
        <v>4224</v>
      </c>
      <c r="J126" s="257">
        <f t="shared" si="21"/>
        <v>0</v>
      </c>
      <c r="K126" s="257">
        <f t="shared" si="21"/>
        <v>36</v>
      </c>
      <c r="L126" s="257">
        <f t="shared" si="21"/>
        <v>0</v>
      </c>
      <c r="M126" s="257">
        <f t="shared" si="21"/>
        <v>0</v>
      </c>
      <c r="N126" s="257">
        <f t="shared" si="21"/>
        <v>1200</v>
      </c>
      <c r="O126" s="317">
        <f t="shared" si="21"/>
        <v>0</v>
      </c>
    </row>
    <row r="127" spans="1:15" ht="12.75" customHeight="1">
      <c r="A127" s="637"/>
      <c r="B127" s="638"/>
      <c r="C127" s="639"/>
      <c r="D127" s="256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317"/>
    </row>
    <row r="128" spans="1:15" ht="12.75" customHeight="1">
      <c r="A128" s="1309" t="s">
        <v>135</v>
      </c>
      <c r="B128" s="1310"/>
      <c r="C128" s="1311"/>
      <c r="D128" s="255" t="s">
        <v>540</v>
      </c>
      <c r="E128" s="257">
        <f>SUM(E14+E17+E20+E23+E26+E29+E59+E62)</f>
        <v>0</v>
      </c>
      <c r="F128" s="257">
        <f aca="true" t="shared" si="22" ref="F128:O128">SUM(F14+F17+F20+F23+F26+F29+F59+F62)</f>
        <v>0</v>
      </c>
      <c r="G128" s="257">
        <f t="shared" si="22"/>
        <v>0</v>
      </c>
      <c r="H128" s="257">
        <f t="shared" si="22"/>
        <v>0</v>
      </c>
      <c r="I128" s="257">
        <f t="shared" si="22"/>
        <v>0</v>
      </c>
      <c r="J128" s="257">
        <f t="shared" si="22"/>
        <v>0</v>
      </c>
      <c r="K128" s="257">
        <f t="shared" si="22"/>
        <v>0</v>
      </c>
      <c r="L128" s="257">
        <f t="shared" si="22"/>
        <v>0</v>
      </c>
      <c r="M128" s="257">
        <f t="shared" si="22"/>
        <v>0</v>
      </c>
      <c r="N128" s="257">
        <f t="shared" si="22"/>
        <v>0</v>
      </c>
      <c r="O128" s="317">
        <f t="shared" si="22"/>
        <v>0</v>
      </c>
    </row>
    <row r="129" spans="1:15" ht="12.75">
      <c r="A129" s="829"/>
      <c r="B129" s="832"/>
      <c r="C129" s="831"/>
      <c r="D129" s="1032" t="s">
        <v>915</v>
      </c>
      <c r="E129" s="261">
        <f>SUM(E15+E18+E21+E24+E27+E30+E60+E63)</f>
        <v>507104</v>
      </c>
      <c r="F129" s="261">
        <f aca="true" t="shared" si="23" ref="F129:O129">SUM(F15+F18+F21+F24+F27+F30+F60+F63)</f>
        <v>425003</v>
      </c>
      <c r="G129" s="261">
        <f t="shared" si="23"/>
        <v>235213</v>
      </c>
      <c r="H129" s="261">
        <f t="shared" si="23"/>
        <v>58438</v>
      </c>
      <c r="I129" s="261">
        <f t="shared" si="23"/>
        <v>110498</v>
      </c>
      <c r="J129" s="261">
        <f t="shared" si="23"/>
        <v>7769</v>
      </c>
      <c r="K129" s="261">
        <f t="shared" si="23"/>
        <v>7475</v>
      </c>
      <c r="L129" s="261">
        <f t="shared" si="23"/>
        <v>0</v>
      </c>
      <c r="M129" s="261">
        <f t="shared" si="23"/>
        <v>5610</v>
      </c>
      <c r="N129" s="261">
        <f t="shared" si="23"/>
        <v>0</v>
      </c>
      <c r="O129" s="312">
        <f t="shared" si="23"/>
        <v>0</v>
      </c>
    </row>
    <row r="130" spans="1:15" ht="13.5" thickBot="1">
      <c r="A130" s="830"/>
      <c r="B130" s="833"/>
      <c r="C130" s="847"/>
      <c r="D130" s="860" t="s">
        <v>741</v>
      </c>
      <c r="E130" s="734">
        <f>SUM(E16+E19+E22+E25+E28+E31+E61+E64)</f>
        <v>515834</v>
      </c>
      <c r="F130" s="734">
        <f aca="true" t="shared" si="24" ref="F130:O130">SUM(F16+F19+F22+F25+F28+F31+F61+F64)</f>
        <v>424177</v>
      </c>
      <c r="G130" s="734">
        <f t="shared" si="24"/>
        <v>235282</v>
      </c>
      <c r="H130" s="734">
        <f t="shared" si="24"/>
        <v>58456</v>
      </c>
      <c r="I130" s="734">
        <f t="shared" si="24"/>
        <v>110250</v>
      </c>
      <c r="J130" s="734">
        <f t="shared" si="24"/>
        <v>7769</v>
      </c>
      <c r="K130" s="734">
        <f t="shared" si="24"/>
        <v>5910</v>
      </c>
      <c r="L130" s="734">
        <f t="shared" si="24"/>
        <v>0</v>
      </c>
      <c r="M130" s="734">
        <f t="shared" si="24"/>
        <v>6510</v>
      </c>
      <c r="N130" s="734">
        <f t="shared" si="24"/>
        <v>0</v>
      </c>
      <c r="O130" s="1067">
        <f t="shared" si="24"/>
        <v>0</v>
      </c>
    </row>
    <row r="131" spans="7:15" ht="12.75">
      <c r="G131" s="213"/>
      <c r="H131" s="213"/>
      <c r="I131" s="213"/>
      <c r="J131" s="213"/>
      <c r="K131" s="213"/>
      <c r="L131" s="213"/>
      <c r="M131" s="213"/>
      <c r="N131" s="216"/>
      <c r="O131" s="213"/>
    </row>
    <row r="132" spans="1:15" ht="12.75">
      <c r="A132" s="1411" t="s">
        <v>231</v>
      </c>
      <c r="G132" s="213"/>
      <c r="H132" s="213"/>
      <c r="I132" s="213"/>
      <c r="J132" s="213"/>
      <c r="K132" s="213"/>
      <c r="L132" s="213"/>
      <c r="M132" s="213"/>
      <c r="N132" s="216"/>
      <c r="O132" s="213"/>
    </row>
    <row r="133" spans="1:15" ht="12.75">
      <c r="A133" s="8" t="s">
        <v>232</v>
      </c>
      <c r="G133" s="213"/>
      <c r="H133" s="213"/>
      <c r="I133" s="213"/>
      <c r="J133" s="213"/>
      <c r="K133" s="213"/>
      <c r="L133" s="213"/>
      <c r="M133" s="213"/>
      <c r="N133" s="216"/>
      <c r="O133" s="213"/>
    </row>
    <row r="134" spans="1:15" ht="12.75">
      <c r="A134" s="8" t="s">
        <v>233</v>
      </c>
      <c r="G134" s="213"/>
      <c r="H134" s="213"/>
      <c r="I134" s="213"/>
      <c r="J134" s="213"/>
      <c r="K134" s="213"/>
      <c r="L134" s="213"/>
      <c r="M134" s="213"/>
      <c r="N134" s="216"/>
      <c r="O134" s="213"/>
    </row>
    <row r="135" spans="1:15" ht="12.75">
      <c r="A135" s="8" t="s">
        <v>234</v>
      </c>
      <c r="G135" s="213"/>
      <c r="H135" s="213"/>
      <c r="I135" s="213"/>
      <c r="J135" s="213"/>
      <c r="K135" s="213"/>
      <c r="L135" s="213"/>
      <c r="M135" s="213"/>
      <c r="N135" s="216"/>
      <c r="O135" s="213"/>
    </row>
    <row r="136" spans="1:15" ht="12.75">
      <c r="A136" s="8" t="s">
        <v>235</v>
      </c>
      <c r="G136" s="213"/>
      <c r="H136" s="213"/>
      <c r="I136" s="213"/>
      <c r="J136" s="213"/>
      <c r="K136" s="213"/>
      <c r="L136" s="213"/>
      <c r="M136" s="213"/>
      <c r="N136" s="216"/>
      <c r="O136" s="213"/>
    </row>
    <row r="137" spans="7:15" ht="12.75">
      <c r="G137" s="213"/>
      <c r="H137" s="213"/>
      <c r="I137" s="213"/>
      <c r="J137" s="213"/>
      <c r="K137" s="213"/>
      <c r="L137" s="213"/>
      <c r="M137" s="213"/>
      <c r="N137" s="216"/>
      <c r="O137" s="213"/>
    </row>
    <row r="138" spans="7:15" ht="12.75">
      <c r="G138" s="213"/>
      <c r="H138" s="213"/>
      <c r="I138" s="213"/>
      <c r="J138" s="213"/>
      <c r="K138" s="213"/>
      <c r="L138" s="213"/>
      <c r="M138" s="213"/>
      <c r="N138" s="216"/>
      <c r="O138" s="213"/>
    </row>
    <row r="139" spans="7:15" ht="12.75">
      <c r="G139" s="213"/>
      <c r="H139" s="213"/>
      <c r="I139" s="213"/>
      <c r="J139" s="213"/>
      <c r="K139" s="213"/>
      <c r="L139" s="213"/>
      <c r="M139" s="213"/>
      <c r="N139" s="216"/>
      <c r="O139" s="213"/>
    </row>
    <row r="140" spans="7:15" ht="12.75">
      <c r="G140" s="213"/>
      <c r="H140" s="213"/>
      <c r="I140" s="213"/>
      <c r="J140" s="213"/>
      <c r="K140" s="213"/>
      <c r="L140" s="213"/>
      <c r="M140" s="213"/>
      <c r="N140" s="216"/>
      <c r="O140" s="213"/>
    </row>
    <row r="141" spans="7:15" ht="12.75">
      <c r="G141" s="213"/>
      <c r="H141" s="213"/>
      <c r="I141" s="213"/>
      <c r="J141" s="213"/>
      <c r="K141" s="213"/>
      <c r="L141" s="213"/>
      <c r="M141" s="213"/>
      <c r="N141" s="216"/>
      <c r="O141" s="213"/>
    </row>
    <row r="142" spans="7:15" ht="12.75">
      <c r="G142" s="213"/>
      <c r="H142" s="213"/>
      <c r="I142" s="213"/>
      <c r="J142" s="213"/>
      <c r="K142" s="213"/>
      <c r="L142" s="213"/>
      <c r="M142" s="213"/>
      <c r="N142" s="216"/>
      <c r="O142" s="213"/>
    </row>
    <row r="143" spans="7:15" ht="12.75">
      <c r="G143" s="213"/>
      <c r="H143" s="213"/>
      <c r="I143" s="213"/>
      <c r="J143" s="213"/>
      <c r="K143" s="213"/>
      <c r="L143" s="213"/>
      <c r="M143" s="213"/>
      <c r="N143" s="216"/>
      <c r="O143" s="213"/>
    </row>
  </sheetData>
  <mergeCells count="46">
    <mergeCell ref="A112:C112"/>
    <mergeCell ref="N69:N71"/>
    <mergeCell ref="O69:O71"/>
    <mergeCell ref="G70:G71"/>
    <mergeCell ref="H70:H71"/>
    <mergeCell ref="I70:I71"/>
    <mergeCell ref="J70:J71"/>
    <mergeCell ref="K70:K71"/>
    <mergeCell ref="L70:L71"/>
    <mergeCell ref="M70:M71"/>
    <mergeCell ref="E69:E71"/>
    <mergeCell ref="F69:F71"/>
    <mergeCell ref="G69:K69"/>
    <mergeCell ref="L69:M69"/>
    <mergeCell ref="L4:M4"/>
    <mergeCell ref="N4:N6"/>
    <mergeCell ref="O4:O6"/>
    <mergeCell ref="A2:O2"/>
    <mergeCell ref="B4:D6"/>
    <mergeCell ref="E4:E6"/>
    <mergeCell ref="F4:F6"/>
    <mergeCell ref="G4:K4"/>
    <mergeCell ref="A7:D7"/>
    <mergeCell ref="A83:C83"/>
    <mergeCell ref="A4:A6"/>
    <mergeCell ref="M5:M6"/>
    <mergeCell ref="K5:K6"/>
    <mergeCell ref="L5:L6"/>
    <mergeCell ref="G5:G6"/>
    <mergeCell ref="H5:H6"/>
    <mergeCell ref="I5:I6"/>
    <mergeCell ref="J5:J6"/>
    <mergeCell ref="A86:C86"/>
    <mergeCell ref="A97:C97"/>
    <mergeCell ref="A65:C65"/>
    <mergeCell ref="A85:C85"/>
    <mergeCell ref="A128:C128"/>
    <mergeCell ref="A69:A71"/>
    <mergeCell ref="B69:D71"/>
    <mergeCell ref="A100:C100"/>
    <mergeCell ref="A109:C109"/>
    <mergeCell ref="A116:C116"/>
    <mergeCell ref="A124:C124"/>
    <mergeCell ref="A120:C120"/>
    <mergeCell ref="A99:C99"/>
    <mergeCell ref="A72:C72"/>
  </mergeCells>
  <printOptions horizontalCentered="1"/>
  <pageMargins left="0.3937007874015748" right="0.3937007874015748" top="0.38" bottom="0.4724409448818898" header="0.22" footer="0.4724409448818898"/>
  <pageSetup horizontalDpi="600" verticalDpi="600" orientation="landscape" paperSize="9" scale="61" r:id="rId1"/>
  <headerFooter alignWithMargins="0">
    <oddHeader>&amp;L&amp;8 5. melléklet a 2/2014.(II.27.) önkormányzati rendelethez
"5. melléklet az 1/2013.(II.01.) önkormányzati rendelethez"</oddHeader>
  </headerFooter>
  <rowBreaks count="1" manualBreakCount="1">
    <brk id="6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208"/>
  <sheetViews>
    <sheetView view="pageBreakPreview" zoomScaleNormal="85" zoomScaleSheetLayoutView="100" workbookViewId="0" topLeftCell="A1">
      <selection activeCell="AD192" sqref="AD192"/>
    </sheetView>
  </sheetViews>
  <sheetFormatPr defaultColWidth="9.00390625" defaultRowHeight="12.75"/>
  <cols>
    <col min="1" max="1" width="26.375" style="1114" customWidth="1"/>
    <col min="2" max="2" width="14.00390625" style="1114" customWidth="1"/>
    <col min="3" max="3" width="11.625" style="1114" customWidth="1"/>
    <col min="4" max="6" width="9.125" style="1114" customWidth="1"/>
    <col min="7" max="7" width="7.125" style="1114" hidden="1" customWidth="1"/>
    <col min="8" max="8" width="9.875" style="1114" customWidth="1"/>
    <col min="9" max="9" width="10.875" style="1114" customWidth="1"/>
    <col min="10" max="10" width="9.875" style="1114" customWidth="1"/>
    <col min="11" max="11" width="10.75390625" style="1114" customWidth="1"/>
    <col min="12" max="12" width="13.75390625" style="1114" customWidth="1"/>
    <col min="13" max="13" width="12.75390625" style="1114" customWidth="1"/>
    <col min="14" max="14" width="11.125" style="1114" customWidth="1"/>
    <col min="15" max="15" width="9.125" style="1114" customWidth="1"/>
    <col min="16" max="16" width="11.875" style="1114" customWidth="1"/>
    <col min="17" max="17" width="9.00390625" style="1114" customWidth="1"/>
    <col min="18" max="18" width="12.75390625" style="1114" customWidth="1"/>
    <col min="19" max="19" width="24.375" style="1114" customWidth="1"/>
    <col min="20" max="20" width="14.25390625" style="1114" customWidth="1"/>
    <col min="21" max="21" width="11.625" style="1114" customWidth="1"/>
    <col min="22" max="22" width="10.125" style="1114" customWidth="1"/>
    <col min="23" max="23" width="10.00390625" style="1114" bestFit="1" customWidth="1"/>
    <col min="24" max="24" width="9.125" style="1114" customWidth="1"/>
    <col min="25" max="25" width="16.625" style="1114" customWidth="1"/>
    <col min="26" max="26" width="8.25390625" style="1114" hidden="1" customWidth="1"/>
    <col min="27" max="30" width="9.125" style="1114" customWidth="1"/>
    <col min="31" max="31" width="0" style="1114" hidden="1" customWidth="1"/>
    <col min="32" max="32" width="14.375" style="1114" customWidth="1"/>
    <col min="33" max="34" width="9.125" style="1114" hidden="1" customWidth="1"/>
    <col min="35" max="16384" width="9.125" style="1114" customWidth="1"/>
  </cols>
  <sheetData>
    <row r="1" spans="1:32" ht="12" customHeight="1">
      <c r="A1" s="1325" t="s">
        <v>842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1325"/>
      <c r="O1" s="1325"/>
      <c r="P1" s="1325"/>
      <c r="Q1" s="1325"/>
      <c r="R1" s="1137"/>
      <c r="S1" s="1325" t="s">
        <v>843</v>
      </c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</row>
    <row r="2" spans="1:32" ht="12" customHeight="1" thickBot="1">
      <c r="A2" s="1137"/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  <c r="Y2" s="1137"/>
      <c r="Z2" s="1137"/>
      <c r="AA2" s="1137"/>
      <c r="AB2" s="1137"/>
      <c r="AC2" s="1137"/>
      <c r="AD2" s="1137"/>
      <c r="AE2" s="1137"/>
      <c r="AF2" s="1137"/>
    </row>
    <row r="3" spans="1:32" ht="12.75" customHeight="1">
      <c r="A3" s="1425" t="s">
        <v>844</v>
      </c>
      <c r="B3" s="1326" t="s">
        <v>845</v>
      </c>
      <c r="C3" s="1326"/>
      <c r="D3" s="1326" t="s">
        <v>846</v>
      </c>
      <c r="E3" s="1326" t="s">
        <v>847</v>
      </c>
      <c r="F3" s="1326" t="s">
        <v>719</v>
      </c>
      <c r="G3" s="1326" t="s">
        <v>720</v>
      </c>
      <c r="H3" s="1326" t="s">
        <v>721</v>
      </c>
      <c r="I3" s="1326"/>
      <c r="J3" s="1326" t="s">
        <v>722</v>
      </c>
      <c r="K3" s="1326"/>
      <c r="L3" s="1426"/>
      <c r="M3" s="1326" t="s">
        <v>848</v>
      </c>
      <c r="N3" s="1326" t="s">
        <v>724</v>
      </c>
      <c r="O3" s="1326"/>
      <c r="P3" s="1326" t="s">
        <v>849</v>
      </c>
      <c r="Q3" s="1326" t="s">
        <v>725</v>
      </c>
      <c r="R3" s="1328" t="s">
        <v>756</v>
      </c>
      <c r="S3" s="1425" t="s">
        <v>844</v>
      </c>
      <c r="T3" s="1330" t="s">
        <v>726</v>
      </c>
      <c r="U3" s="1330"/>
      <c r="V3" s="1330"/>
      <c r="W3" s="1330"/>
      <c r="X3" s="1330"/>
      <c r="Y3" s="1330"/>
      <c r="Z3" s="1330"/>
      <c r="AA3" s="1330"/>
      <c r="AB3" s="1138"/>
      <c r="AC3" s="1330" t="s">
        <v>727</v>
      </c>
      <c r="AD3" s="1330"/>
      <c r="AE3" s="1138"/>
      <c r="AF3" s="1328" t="s">
        <v>728</v>
      </c>
    </row>
    <row r="4" spans="1:34" ht="75.75" customHeight="1">
      <c r="A4" s="1414"/>
      <c r="B4" s="1327"/>
      <c r="C4" s="1327"/>
      <c r="D4" s="1327"/>
      <c r="E4" s="1327"/>
      <c r="F4" s="1327"/>
      <c r="G4" s="1327"/>
      <c r="H4" s="1139" t="s">
        <v>729</v>
      </c>
      <c r="I4" s="1139" t="s">
        <v>730</v>
      </c>
      <c r="J4" s="1139" t="s">
        <v>729</v>
      </c>
      <c r="K4" s="1139" t="s">
        <v>730</v>
      </c>
      <c r="L4" s="1139" t="s">
        <v>850</v>
      </c>
      <c r="M4" s="1327"/>
      <c r="N4" s="1139" t="s">
        <v>731</v>
      </c>
      <c r="O4" s="1139" t="s">
        <v>732</v>
      </c>
      <c r="P4" s="1327"/>
      <c r="Q4" s="1327"/>
      <c r="R4" s="1329"/>
      <c r="S4" s="1414"/>
      <c r="T4" s="1327" t="s">
        <v>845</v>
      </c>
      <c r="U4" s="1327"/>
      <c r="V4" s="1139" t="s">
        <v>667</v>
      </c>
      <c r="W4" s="1139" t="s">
        <v>733</v>
      </c>
      <c r="X4" s="1139" t="s">
        <v>851</v>
      </c>
      <c r="Y4" s="1139" t="s">
        <v>852</v>
      </c>
      <c r="Z4" s="1139" t="s">
        <v>853</v>
      </c>
      <c r="AA4" s="1139" t="s">
        <v>854</v>
      </c>
      <c r="AB4" s="1139" t="s">
        <v>855</v>
      </c>
      <c r="AC4" s="1139" t="s">
        <v>856</v>
      </c>
      <c r="AD4" s="1139" t="s">
        <v>857</v>
      </c>
      <c r="AE4" s="1139" t="s">
        <v>858</v>
      </c>
      <c r="AF4" s="1329"/>
      <c r="AH4" s="1140" t="s">
        <v>859</v>
      </c>
    </row>
    <row r="5" spans="1:34" ht="12" customHeight="1">
      <c r="A5" s="1331" t="s">
        <v>734</v>
      </c>
      <c r="B5" s="1069" t="s">
        <v>860</v>
      </c>
      <c r="C5" s="1070" t="s">
        <v>539</v>
      </c>
      <c r="D5" s="1071">
        <v>8319</v>
      </c>
      <c r="E5" s="1071">
        <v>5824</v>
      </c>
      <c r="F5" s="1071">
        <v>2246</v>
      </c>
      <c r="G5" s="1071">
        <v>0</v>
      </c>
      <c r="H5" s="1071">
        <v>0</v>
      </c>
      <c r="I5" s="1071">
        <v>0</v>
      </c>
      <c r="J5" s="1071">
        <v>0</v>
      </c>
      <c r="K5" s="1071">
        <v>0</v>
      </c>
      <c r="L5" s="1071"/>
      <c r="M5" s="1071">
        <v>0</v>
      </c>
      <c r="N5" s="1071">
        <v>0</v>
      </c>
      <c r="O5" s="1071">
        <v>0</v>
      </c>
      <c r="P5" s="1071">
        <v>54555</v>
      </c>
      <c r="Q5" s="1071">
        <v>10565</v>
      </c>
      <c r="R5" s="1072">
        <v>65120</v>
      </c>
      <c r="S5" s="1331" t="s">
        <v>734</v>
      </c>
      <c r="T5" s="1069" t="s">
        <v>860</v>
      </c>
      <c r="U5" s="1070" t="s">
        <v>539</v>
      </c>
      <c r="V5" s="1073">
        <v>38239</v>
      </c>
      <c r="W5" s="1073">
        <v>10181</v>
      </c>
      <c r="X5" s="1073">
        <v>16700</v>
      </c>
      <c r="Y5" s="1073">
        <v>7068</v>
      </c>
      <c r="Z5" s="1073"/>
      <c r="AA5" s="1073">
        <v>0</v>
      </c>
      <c r="AB5" s="1073"/>
      <c r="AC5" s="1073">
        <v>0</v>
      </c>
      <c r="AD5" s="1073">
        <v>0</v>
      </c>
      <c r="AE5" s="1073"/>
      <c r="AF5" s="1072">
        <v>65120</v>
      </c>
      <c r="AH5" s="1115">
        <v>65120</v>
      </c>
    </row>
    <row r="6" spans="1:34" ht="12.75" customHeight="1" hidden="1">
      <c r="A6" s="1331"/>
      <c r="B6" s="1069" t="s">
        <v>860</v>
      </c>
      <c r="C6" s="1070" t="s">
        <v>539</v>
      </c>
      <c r="D6" s="1071">
        <v>0</v>
      </c>
      <c r="E6" s="1071">
        <v>0</v>
      </c>
      <c r="F6" s="1071">
        <v>0</v>
      </c>
      <c r="G6" s="1071">
        <v>0</v>
      </c>
      <c r="H6" s="1071">
        <v>0</v>
      </c>
      <c r="I6" s="1071">
        <v>0</v>
      </c>
      <c r="J6" s="1071">
        <v>0</v>
      </c>
      <c r="K6" s="1071">
        <v>0</v>
      </c>
      <c r="L6" s="1071"/>
      <c r="M6" s="1071">
        <v>0</v>
      </c>
      <c r="N6" s="1071">
        <v>0</v>
      </c>
      <c r="O6" s="1071">
        <v>0</v>
      </c>
      <c r="P6" s="1071">
        <v>0</v>
      </c>
      <c r="Q6" s="1071">
        <v>0</v>
      </c>
      <c r="R6" s="1072">
        <v>0</v>
      </c>
      <c r="S6" s="1331"/>
      <c r="T6" s="1069" t="s">
        <v>860</v>
      </c>
      <c r="U6" s="1070" t="s">
        <v>539</v>
      </c>
      <c r="V6" s="1073">
        <v>0</v>
      </c>
      <c r="W6" s="1073">
        <v>0</v>
      </c>
      <c r="X6" s="1073">
        <v>0</v>
      </c>
      <c r="Y6" s="1073">
        <v>0</v>
      </c>
      <c r="Z6" s="1073"/>
      <c r="AA6" s="1073">
        <v>0</v>
      </c>
      <c r="AB6" s="1073"/>
      <c r="AC6" s="1073">
        <v>0</v>
      </c>
      <c r="AD6" s="1073">
        <v>0</v>
      </c>
      <c r="AE6" s="1073"/>
      <c r="AF6" s="1072">
        <v>0</v>
      </c>
      <c r="AH6" s="1115">
        <v>0</v>
      </c>
    </row>
    <row r="7" spans="1:34" ht="12.75" customHeight="1">
      <c r="A7" s="1331"/>
      <c r="B7" s="1069" t="s">
        <v>860</v>
      </c>
      <c r="C7" s="1070" t="s">
        <v>861</v>
      </c>
      <c r="D7" s="1071">
        <v>8319</v>
      </c>
      <c r="E7" s="1071">
        <v>5824</v>
      </c>
      <c r="F7" s="1071">
        <v>2246</v>
      </c>
      <c r="G7" s="1071">
        <v>0</v>
      </c>
      <c r="H7" s="1071">
        <v>0</v>
      </c>
      <c r="I7" s="1071">
        <v>0</v>
      </c>
      <c r="J7" s="1071">
        <v>0</v>
      </c>
      <c r="K7" s="1071">
        <v>0</v>
      </c>
      <c r="L7" s="1071"/>
      <c r="M7" s="1071">
        <v>0</v>
      </c>
      <c r="N7" s="1071">
        <v>0</v>
      </c>
      <c r="O7" s="1071">
        <v>0</v>
      </c>
      <c r="P7" s="1071">
        <v>54555</v>
      </c>
      <c r="Q7" s="1071">
        <v>10565</v>
      </c>
      <c r="R7" s="1072">
        <v>65120</v>
      </c>
      <c r="S7" s="1331"/>
      <c r="T7" s="1069" t="s">
        <v>860</v>
      </c>
      <c r="U7" s="1070" t="s">
        <v>861</v>
      </c>
      <c r="V7" s="1073">
        <v>38239</v>
      </c>
      <c r="W7" s="1073">
        <v>10181</v>
      </c>
      <c r="X7" s="1073">
        <v>16700</v>
      </c>
      <c r="Y7" s="1073">
        <v>7068</v>
      </c>
      <c r="Z7" s="1073"/>
      <c r="AA7" s="1073">
        <v>0</v>
      </c>
      <c r="AB7" s="1073"/>
      <c r="AC7" s="1073">
        <v>0</v>
      </c>
      <c r="AD7" s="1073">
        <v>0</v>
      </c>
      <c r="AE7" s="1073"/>
      <c r="AF7" s="1072">
        <v>65120</v>
      </c>
      <c r="AH7" s="1115">
        <v>65120</v>
      </c>
    </row>
    <row r="8" spans="1:34" ht="12.75" customHeight="1">
      <c r="A8" s="1331"/>
      <c r="B8" s="1069" t="s">
        <v>860</v>
      </c>
      <c r="C8" s="1070" t="s">
        <v>862</v>
      </c>
      <c r="D8" s="1071">
        <v>8319</v>
      </c>
      <c r="E8" s="1071">
        <v>5824</v>
      </c>
      <c r="F8" s="1071">
        <v>2246</v>
      </c>
      <c r="G8" s="1071">
        <v>0</v>
      </c>
      <c r="H8" s="1071">
        <v>0</v>
      </c>
      <c r="I8" s="1071">
        <v>0</v>
      </c>
      <c r="J8" s="1071">
        <v>0</v>
      </c>
      <c r="K8" s="1071">
        <v>0</v>
      </c>
      <c r="L8" s="1071">
        <v>528</v>
      </c>
      <c r="M8" s="1071">
        <v>0</v>
      </c>
      <c r="N8" s="1071">
        <v>137</v>
      </c>
      <c r="O8" s="1071">
        <v>0</v>
      </c>
      <c r="P8" s="1071">
        <v>55191</v>
      </c>
      <c r="Q8" s="1071">
        <v>11230</v>
      </c>
      <c r="R8" s="1072">
        <v>66421</v>
      </c>
      <c r="S8" s="1331"/>
      <c r="T8" s="1069" t="s">
        <v>860</v>
      </c>
      <c r="U8" s="1070" t="s">
        <v>862</v>
      </c>
      <c r="V8" s="1073">
        <v>38905</v>
      </c>
      <c r="W8" s="1073">
        <v>10368</v>
      </c>
      <c r="X8" s="1073">
        <v>17148</v>
      </c>
      <c r="Y8" s="1073">
        <v>7068</v>
      </c>
      <c r="Z8" s="1073"/>
      <c r="AA8" s="1073">
        <v>0</v>
      </c>
      <c r="AB8" s="1073"/>
      <c r="AC8" s="1073">
        <v>0</v>
      </c>
      <c r="AD8" s="1073">
        <v>0</v>
      </c>
      <c r="AE8" s="1073"/>
      <c r="AF8" s="1072">
        <v>66421</v>
      </c>
      <c r="AH8" s="1115">
        <v>65120</v>
      </c>
    </row>
    <row r="9" spans="1:34" ht="12.75" customHeight="1">
      <c r="A9" s="1331"/>
      <c r="B9" s="1069" t="s">
        <v>860</v>
      </c>
      <c r="C9" s="1070" t="s">
        <v>863</v>
      </c>
      <c r="D9" s="1071">
        <v>8319</v>
      </c>
      <c r="E9" s="1071">
        <v>5824</v>
      </c>
      <c r="F9" s="1071">
        <v>2246</v>
      </c>
      <c r="G9" s="1071">
        <v>0</v>
      </c>
      <c r="H9" s="1071">
        <v>0</v>
      </c>
      <c r="I9" s="1071">
        <v>0</v>
      </c>
      <c r="J9" s="1071">
        <v>0</v>
      </c>
      <c r="K9" s="1071">
        <v>0</v>
      </c>
      <c r="L9" s="1071">
        <v>528</v>
      </c>
      <c r="M9" s="1071">
        <v>0</v>
      </c>
      <c r="N9" s="1071">
        <v>137</v>
      </c>
      <c r="O9" s="1071">
        <v>0</v>
      </c>
      <c r="P9" s="1071">
        <v>55839</v>
      </c>
      <c r="Q9" s="1071">
        <v>11230</v>
      </c>
      <c r="R9" s="1072">
        <v>67069</v>
      </c>
      <c r="S9" s="1331"/>
      <c r="T9" s="1069" t="s">
        <v>860</v>
      </c>
      <c r="U9" s="1070" t="s">
        <v>863</v>
      </c>
      <c r="V9" s="1073">
        <v>39415</v>
      </c>
      <c r="W9" s="1073">
        <v>10506</v>
      </c>
      <c r="X9" s="1073">
        <v>17148</v>
      </c>
      <c r="Y9" s="1073">
        <v>7068</v>
      </c>
      <c r="Z9" s="1073"/>
      <c r="AA9" s="1073">
        <v>0</v>
      </c>
      <c r="AB9" s="1073"/>
      <c r="AC9" s="1073">
        <v>0</v>
      </c>
      <c r="AD9" s="1073">
        <v>0</v>
      </c>
      <c r="AE9" s="1073"/>
      <c r="AF9" s="1072">
        <v>67069</v>
      </c>
      <c r="AH9" s="1115"/>
    </row>
    <row r="10" spans="1:34" ht="12.75" customHeight="1">
      <c r="A10" s="1331"/>
      <c r="B10" s="1069" t="s">
        <v>860</v>
      </c>
      <c r="C10" s="1070" t="s">
        <v>864</v>
      </c>
      <c r="D10" s="1071">
        <v>8319</v>
      </c>
      <c r="E10" s="1071">
        <v>5824</v>
      </c>
      <c r="F10" s="1071">
        <v>2246</v>
      </c>
      <c r="G10" s="1071">
        <v>0</v>
      </c>
      <c r="H10" s="1071">
        <v>0</v>
      </c>
      <c r="I10" s="1071">
        <v>0</v>
      </c>
      <c r="J10" s="1071">
        <v>0</v>
      </c>
      <c r="K10" s="1071">
        <v>0</v>
      </c>
      <c r="L10" s="1071">
        <v>528</v>
      </c>
      <c r="M10" s="1071">
        <v>0</v>
      </c>
      <c r="N10" s="1071">
        <v>137</v>
      </c>
      <c r="O10" s="1071">
        <v>0</v>
      </c>
      <c r="P10" s="1071">
        <v>61843</v>
      </c>
      <c r="Q10" s="1071">
        <v>11230</v>
      </c>
      <c r="R10" s="1072">
        <v>73073</v>
      </c>
      <c r="S10" s="1331"/>
      <c r="T10" s="1069" t="s">
        <v>860</v>
      </c>
      <c r="U10" s="1070" t="s">
        <v>864</v>
      </c>
      <c r="V10" s="1073">
        <v>44143</v>
      </c>
      <c r="W10" s="1074">
        <v>11782</v>
      </c>
      <c r="X10" s="1073">
        <v>17022</v>
      </c>
      <c r="Y10" s="1073">
        <v>7068</v>
      </c>
      <c r="Z10" s="1073"/>
      <c r="AA10" s="1073">
        <v>0</v>
      </c>
      <c r="AB10" s="1073"/>
      <c r="AC10" s="1073">
        <v>126</v>
      </c>
      <c r="AD10" s="1073">
        <v>0</v>
      </c>
      <c r="AE10" s="1073"/>
      <c r="AF10" s="1072">
        <v>73073</v>
      </c>
      <c r="AH10" s="1115"/>
    </row>
    <row r="11" spans="1:34" ht="11.25" customHeight="1">
      <c r="A11" s="1331"/>
      <c r="B11" s="1069" t="s">
        <v>860</v>
      </c>
      <c r="C11" s="1070" t="s">
        <v>865</v>
      </c>
      <c r="D11" s="1073">
        <v>8319</v>
      </c>
      <c r="E11" s="1073">
        <v>5824</v>
      </c>
      <c r="F11" s="1073">
        <v>2246</v>
      </c>
      <c r="G11" s="1073">
        <v>0</v>
      </c>
      <c r="H11" s="1073">
        <v>0</v>
      </c>
      <c r="I11" s="1073">
        <v>0</v>
      </c>
      <c r="J11" s="1073">
        <v>0</v>
      </c>
      <c r="K11" s="1073">
        <v>0</v>
      </c>
      <c r="L11" s="1073">
        <v>528</v>
      </c>
      <c r="M11" s="1073">
        <v>0</v>
      </c>
      <c r="N11" s="1071">
        <v>137</v>
      </c>
      <c r="O11" s="1071">
        <v>0</v>
      </c>
      <c r="P11" s="1071">
        <v>62192</v>
      </c>
      <c r="Q11" s="1071">
        <v>11230</v>
      </c>
      <c r="R11" s="1072">
        <v>73422</v>
      </c>
      <c r="S11" s="1331"/>
      <c r="T11" s="1069" t="s">
        <v>860</v>
      </c>
      <c r="U11" s="1070" t="s">
        <v>865</v>
      </c>
      <c r="V11" s="1073">
        <v>44418</v>
      </c>
      <c r="W11" s="1074">
        <v>11856</v>
      </c>
      <c r="X11" s="1073">
        <v>17022</v>
      </c>
      <c r="Y11" s="1073">
        <v>7068</v>
      </c>
      <c r="Z11" s="1073"/>
      <c r="AA11" s="1073">
        <v>0</v>
      </c>
      <c r="AB11" s="1073"/>
      <c r="AC11" s="1073">
        <v>126</v>
      </c>
      <c r="AD11" s="1073">
        <v>0</v>
      </c>
      <c r="AE11" s="1073"/>
      <c r="AF11" s="1072">
        <v>73422</v>
      </c>
      <c r="AH11" s="1115"/>
    </row>
    <row r="12" spans="1:34" ht="12.75">
      <c r="A12" s="1331" t="s">
        <v>735</v>
      </c>
      <c r="B12" s="1069" t="s">
        <v>860</v>
      </c>
      <c r="C12" s="1070" t="s">
        <v>539</v>
      </c>
      <c r="D12" s="1073">
        <v>1855</v>
      </c>
      <c r="E12" s="1073">
        <v>1650</v>
      </c>
      <c r="F12" s="1073">
        <v>501</v>
      </c>
      <c r="G12" s="1073">
        <v>0</v>
      </c>
      <c r="H12" s="1073">
        <v>0</v>
      </c>
      <c r="I12" s="1073">
        <v>0</v>
      </c>
      <c r="J12" s="1073">
        <v>0</v>
      </c>
      <c r="K12" s="1073">
        <v>0</v>
      </c>
      <c r="L12" s="1073"/>
      <c r="M12" s="1073">
        <v>0</v>
      </c>
      <c r="N12" s="1071">
        <v>0</v>
      </c>
      <c r="O12" s="1071">
        <v>0</v>
      </c>
      <c r="P12" s="1071">
        <v>23410</v>
      </c>
      <c r="Q12" s="1071">
        <v>2356</v>
      </c>
      <c r="R12" s="1072">
        <v>25766</v>
      </c>
      <c r="S12" s="1331" t="s">
        <v>735</v>
      </c>
      <c r="T12" s="1069" t="s">
        <v>860</v>
      </c>
      <c r="U12" s="1070" t="s">
        <v>539</v>
      </c>
      <c r="V12" s="1073">
        <v>14552</v>
      </c>
      <c r="W12" s="1073">
        <v>3866</v>
      </c>
      <c r="X12" s="1073">
        <v>7348</v>
      </c>
      <c r="Y12" s="1073">
        <v>3051</v>
      </c>
      <c r="Z12" s="1073"/>
      <c r="AA12" s="1073">
        <v>0</v>
      </c>
      <c r="AB12" s="1073"/>
      <c r="AC12" s="1073">
        <v>0</v>
      </c>
      <c r="AD12" s="1073">
        <v>0</v>
      </c>
      <c r="AE12" s="1073"/>
      <c r="AF12" s="1072">
        <v>25766</v>
      </c>
      <c r="AH12" s="1115">
        <v>25766</v>
      </c>
    </row>
    <row r="13" spans="1:34" ht="12.75" customHeight="1" hidden="1">
      <c r="A13" s="1331"/>
      <c r="B13" s="1069" t="s">
        <v>860</v>
      </c>
      <c r="C13" s="1070" t="s">
        <v>539</v>
      </c>
      <c r="D13" s="1073">
        <v>0</v>
      </c>
      <c r="E13" s="1073">
        <v>0</v>
      </c>
      <c r="F13" s="1073">
        <v>0</v>
      </c>
      <c r="G13" s="1073">
        <v>0</v>
      </c>
      <c r="H13" s="1073">
        <v>0</v>
      </c>
      <c r="I13" s="1073">
        <v>0</v>
      </c>
      <c r="J13" s="1073">
        <v>0</v>
      </c>
      <c r="K13" s="1073">
        <v>0</v>
      </c>
      <c r="L13" s="1073"/>
      <c r="M13" s="1073">
        <v>0</v>
      </c>
      <c r="N13" s="1071">
        <v>0</v>
      </c>
      <c r="O13" s="1071">
        <v>0</v>
      </c>
      <c r="P13" s="1071">
        <v>0</v>
      </c>
      <c r="Q13" s="1071">
        <v>0</v>
      </c>
      <c r="R13" s="1072">
        <v>0</v>
      </c>
      <c r="S13" s="1331"/>
      <c r="T13" s="1069" t="s">
        <v>860</v>
      </c>
      <c r="U13" s="1070" t="s">
        <v>539</v>
      </c>
      <c r="V13" s="1073">
        <v>0</v>
      </c>
      <c r="W13" s="1073">
        <v>0</v>
      </c>
      <c r="X13" s="1073">
        <v>0</v>
      </c>
      <c r="Y13" s="1073">
        <v>0</v>
      </c>
      <c r="Z13" s="1073"/>
      <c r="AA13" s="1073">
        <v>0</v>
      </c>
      <c r="AB13" s="1073"/>
      <c r="AC13" s="1073">
        <v>0</v>
      </c>
      <c r="AD13" s="1073">
        <v>0</v>
      </c>
      <c r="AE13" s="1073"/>
      <c r="AF13" s="1072">
        <v>0</v>
      </c>
      <c r="AH13" s="1115">
        <v>0</v>
      </c>
    </row>
    <row r="14" spans="1:34" ht="12.75" customHeight="1">
      <c r="A14" s="1331"/>
      <c r="B14" s="1069" t="s">
        <v>860</v>
      </c>
      <c r="C14" s="1070" t="s">
        <v>861</v>
      </c>
      <c r="D14" s="1073">
        <v>1855</v>
      </c>
      <c r="E14" s="1073">
        <v>1650</v>
      </c>
      <c r="F14" s="1073">
        <v>501</v>
      </c>
      <c r="G14" s="1073">
        <v>0</v>
      </c>
      <c r="H14" s="1073">
        <v>0</v>
      </c>
      <c r="I14" s="1073">
        <v>0</v>
      </c>
      <c r="J14" s="1073">
        <v>0</v>
      </c>
      <c r="K14" s="1073">
        <v>0</v>
      </c>
      <c r="L14" s="1073"/>
      <c r="M14" s="1073">
        <v>0</v>
      </c>
      <c r="N14" s="1071">
        <v>0</v>
      </c>
      <c r="O14" s="1071">
        <v>0</v>
      </c>
      <c r="P14" s="1071">
        <v>23410</v>
      </c>
      <c r="Q14" s="1071">
        <v>2356</v>
      </c>
      <c r="R14" s="1072">
        <v>25766</v>
      </c>
      <c r="S14" s="1331"/>
      <c r="T14" s="1069" t="s">
        <v>860</v>
      </c>
      <c r="U14" s="1070" t="s">
        <v>861</v>
      </c>
      <c r="V14" s="1073">
        <v>14552</v>
      </c>
      <c r="W14" s="1073">
        <v>3866</v>
      </c>
      <c r="X14" s="1073">
        <v>7348</v>
      </c>
      <c r="Y14" s="1073">
        <v>3051</v>
      </c>
      <c r="Z14" s="1073"/>
      <c r="AA14" s="1073">
        <v>0</v>
      </c>
      <c r="AB14" s="1073"/>
      <c r="AC14" s="1073">
        <v>0</v>
      </c>
      <c r="AD14" s="1073">
        <v>0</v>
      </c>
      <c r="AE14" s="1073"/>
      <c r="AF14" s="1072">
        <v>25766</v>
      </c>
      <c r="AH14" s="1115">
        <v>25766</v>
      </c>
    </row>
    <row r="15" spans="1:34" ht="12.75" customHeight="1">
      <c r="A15" s="1331"/>
      <c r="B15" s="1069" t="s">
        <v>860</v>
      </c>
      <c r="C15" s="1070" t="s">
        <v>862</v>
      </c>
      <c r="D15" s="1073">
        <v>1855</v>
      </c>
      <c r="E15" s="1073">
        <v>1650</v>
      </c>
      <c r="F15" s="1073">
        <v>501</v>
      </c>
      <c r="G15" s="1073">
        <v>0</v>
      </c>
      <c r="H15" s="1073">
        <v>0</v>
      </c>
      <c r="I15" s="1073">
        <v>0</v>
      </c>
      <c r="J15" s="1073">
        <v>0</v>
      </c>
      <c r="K15" s="1073">
        <v>0</v>
      </c>
      <c r="L15" s="1073">
        <v>282</v>
      </c>
      <c r="M15" s="1073">
        <v>0</v>
      </c>
      <c r="N15" s="1071">
        <v>48</v>
      </c>
      <c r="O15" s="1071">
        <v>0</v>
      </c>
      <c r="P15" s="1071">
        <v>23575</v>
      </c>
      <c r="Q15" s="1071">
        <v>2686</v>
      </c>
      <c r="R15" s="1072">
        <v>26261</v>
      </c>
      <c r="S15" s="1331"/>
      <c r="T15" s="1069" t="s">
        <v>860</v>
      </c>
      <c r="U15" s="1070" t="s">
        <v>862</v>
      </c>
      <c r="V15" s="1073">
        <v>14897</v>
      </c>
      <c r="W15" s="1073">
        <v>3960</v>
      </c>
      <c r="X15" s="1073">
        <v>7404</v>
      </c>
      <c r="Y15" s="1073">
        <v>3051</v>
      </c>
      <c r="Z15" s="1073"/>
      <c r="AA15" s="1073">
        <v>0</v>
      </c>
      <c r="AB15" s="1073"/>
      <c r="AC15" s="1073">
        <v>0</v>
      </c>
      <c r="AD15" s="1073">
        <v>0</v>
      </c>
      <c r="AE15" s="1073"/>
      <c r="AF15" s="1072">
        <v>26261</v>
      </c>
      <c r="AH15" s="1115">
        <v>25766</v>
      </c>
    </row>
    <row r="16" spans="1:34" ht="12.75" customHeight="1">
      <c r="A16" s="1331"/>
      <c r="B16" s="1069" t="s">
        <v>860</v>
      </c>
      <c r="C16" s="1070" t="s">
        <v>863</v>
      </c>
      <c r="D16" s="1073">
        <v>1855</v>
      </c>
      <c r="E16" s="1073">
        <v>1650</v>
      </c>
      <c r="F16" s="1073">
        <v>501</v>
      </c>
      <c r="G16" s="1073">
        <v>0</v>
      </c>
      <c r="H16" s="1073">
        <v>0</v>
      </c>
      <c r="I16" s="1073">
        <v>0</v>
      </c>
      <c r="J16" s="1073">
        <v>0</v>
      </c>
      <c r="K16" s="1073">
        <v>0</v>
      </c>
      <c r="L16" s="1073">
        <v>282</v>
      </c>
      <c r="M16" s="1073">
        <v>0</v>
      </c>
      <c r="N16" s="1071">
        <v>48</v>
      </c>
      <c r="O16" s="1071">
        <v>0</v>
      </c>
      <c r="P16" s="1071">
        <v>23728</v>
      </c>
      <c r="Q16" s="1071">
        <v>2686</v>
      </c>
      <c r="R16" s="1072">
        <v>26414</v>
      </c>
      <c r="S16" s="1331"/>
      <c r="T16" s="1069" t="s">
        <v>860</v>
      </c>
      <c r="U16" s="1070" t="s">
        <v>863</v>
      </c>
      <c r="V16" s="1073">
        <v>15017</v>
      </c>
      <c r="W16" s="1073">
        <v>3993</v>
      </c>
      <c r="X16" s="1073">
        <v>7404</v>
      </c>
      <c r="Y16" s="1073">
        <v>3051</v>
      </c>
      <c r="Z16" s="1073"/>
      <c r="AA16" s="1073">
        <v>0</v>
      </c>
      <c r="AB16" s="1073"/>
      <c r="AC16" s="1073">
        <v>0</v>
      </c>
      <c r="AD16" s="1073">
        <v>0</v>
      </c>
      <c r="AE16" s="1073"/>
      <c r="AF16" s="1072">
        <v>26414</v>
      </c>
      <c r="AH16" s="1115"/>
    </row>
    <row r="17" spans="1:34" ht="12.75" customHeight="1">
      <c r="A17" s="1331"/>
      <c r="B17" s="1069" t="s">
        <v>860</v>
      </c>
      <c r="C17" s="1070" t="s">
        <v>864</v>
      </c>
      <c r="D17" s="1073">
        <v>1855</v>
      </c>
      <c r="E17" s="1073">
        <v>1650</v>
      </c>
      <c r="F17" s="1073">
        <v>501</v>
      </c>
      <c r="G17" s="1073">
        <v>0</v>
      </c>
      <c r="H17" s="1073">
        <v>0</v>
      </c>
      <c r="I17" s="1073">
        <v>0</v>
      </c>
      <c r="J17" s="1073">
        <v>0</v>
      </c>
      <c r="K17" s="1073">
        <v>0</v>
      </c>
      <c r="L17" s="1073">
        <v>282</v>
      </c>
      <c r="M17" s="1073">
        <v>0</v>
      </c>
      <c r="N17" s="1071">
        <v>48</v>
      </c>
      <c r="O17" s="1071">
        <v>0</v>
      </c>
      <c r="P17" s="1071">
        <v>25019</v>
      </c>
      <c r="Q17" s="1071">
        <v>2686</v>
      </c>
      <c r="R17" s="1072">
        <v>27705</v>
      </c>
      <c r="S17" s="1331"/>
      <c r="T17" s="1069" t="s">
        <v>860</v>
      </c>
      <c r="U17" s="1070" t="s">
        <v>864</v>
      </c>
      <c r="V17" s="1073">
        <v>16033</v>
      </c>
      <c r="W17" s="1073">
        <v>4268</v>
      </c>
      <c r="X17" s="1073">
        <v>7404</v>
      </c>
      <c r="Y17" s="1073">
        <v>3051</v>
      </c>
      <c r="Z17" s="1073"/>
      <c r="AA17" s="1073">
        <v>0</v>
      </c>
      <c r="AB17" s="1073"/>
      <c r="AC17" s="1073">
        <v>0</v>
      </c>
      <c r="AD17" s="1073">
        <v>0</v>
      </c>
      <c r="AE17" s="1073"/>
      <c r="AF17" s="1072">
        <v>27705</v>
      </c>
      <c r="AH17" s="1115"/>
    </row>
    <row r="18" spans="1:34" ht="11.25" customHeight="1">
      <c r="A18" s="1331"/>
      <c r="B18" s="1069" t="s">
        <v>860</v>
      </c>
      <c r="C18" s="1070" t="s">
        <v>865</v>
      </c>
      <c r="D18" s="1073">
        <v>1855</v>
      </c>
      <c r="E18" s="1073">
        <v>1650</v>
      </c>
      <c r="F18" s="1073">
        <v>501</v>
      </c>
      <c r="G18" s="1073">
        <v>0</v>
      </c>
      <c r="H18" s="1073">
        <v>0</v>
      </c>
      <c r="I18" s="1073">
        <v>0</v>
      </c>
      <c r="J18" s="1073">
        <v>0</v>
      </c>
      <c r="K18" s="1073">
        <v>0</v>
      </c>
      <c r="L18" s="1073">
        <v>282</v>
      </c>
      <c r="M18" s="1073">
        <v>0</v>
      </c>
      <c r="N18" s="1071">
        <v>48</v>
      </c>
      <c r="O18" s="1071">
        <v>0</v>
      </c>
      <c r="P18" s="1071">
        <v>25024</v>
      </c>
      <c r="Q18" s="1071">
        <v>2686</v>
      </c>
      <c r="R18" s="1072">
        <v>27710</v>
      </c>
      <c r="S18" s="1331"/>
      <c r="T18" s="1069" t="s">
        <v>860</v>
      </c>
      <c r="U18" s="1070" t="s">
        <v>865</v>
      </c>
      <c r="V18" s="1073">
        <v>16037</v>
      </c>
      <c r="W18" s="1073">
        <v>4269</v>
      </c>
      <c r="X18" s="1073">
        <v>7404</v>
      </c>
      <c r="Y18" s="1073">
        <v>3051</v>
      </c>
      <c r="Z18" s="1073"/>
      <c r="AA18" s="1073">
        <v>0</v>
      </c>
      <c r="AB18" s="1073"/>
      <c r="AC18" s="1073">
        <v>0</v>
      </c>
      <c r="AD18" s="1073">
        <v>0</v>
      </c>
      <c r="AE18" s="1073"/>
      <c r="AF18" s="1072">
        <v>27710</v>
      </c>
      <c r="AH18" s="1115"/>
    </row>
    <row r="19" spans="1:34" ht="11.25" customHeight="1">
      <c r="A19" s="1331" t="s">
        <v>736</v>
      </c>
      <c r="B19" s="1069" t="s">
        <v>860</v>
      </c>
      <c r="C19" s="1070" t="s">
        <v>539</v>
      </c>
      <c r="D19" s="1073">
        <v>5082</v>
      </c>
      <c r="E19" s="1073">
        <v>4604</v>
      </c>
      <c r="F19" s="1073">
        <v>1372</v>
      </c>
      <c r="G19" s="1073">
        <v>0</v>
      </c>
      <c r="H19" s="1073">
        <v>0</v>
      </c>
      <c r="I19" s="1073">
        <v>0</v>
      </c>
      <c r="J19" s="1073">
        <v>0</v>
      </c>
      <c r="K19" s="1073">
        <v>0</v>
      </c>
      <c r="L19" s="1073"/>
      <c r="M19" s="1073">
        <v>0</v>
      </c>
      <c r="N19" s="1071">
        <v>0</v>
      </c>
      <c r="O19" s="1071">
        <v>0</v>
      </c>
      <c r="P19" s="1071">
        <v>45576</v>
      </c>
      <c r="Q19" s="1071">
        <v>6454</v>
      </c>
      <c r="R19" s="1072">
        <v>52030</v>
      </c>
      <c r="S19" s="1331" t="s">
        <v>736</v>
      </c>
      <c r="T19" s="1069" t="s">
        <v>860</v>
      </c>
      <c r="U19" s="1070" t="s">
        <v>539</v>
      </c>
      <c r="V19" s="1073">
        <v>31321</v>
      </c>
      <c r="W19" s="1073">
        <v>8331</v>
      </c>
      <c r="X19" s="1073">
        <v>12378</v>
      </c>
      <c r="Y19" s="1073">
        <v>5656</v>
      </c>
      <c r="Z19" s="1073"/>
      <c r="AA19" s="1073">
        <v>0</v>
      </c>
      <c r="AB19" s="1073"/>
      <c r="AC19" s="1073">
        <v>0</v>
      </c>
      <c r="AD19" s="1073">
        <v>0</v>
      </c>
      <c r="AE19" s="1073"/>
      <c r="AF19" s="1072">
        <v>52030</v>
      </c>
      <c r="AH19" s="1115">
        <v>52030</v>
      </c>
    </row>
    <row r="20" spans="1:34" ht="12" customHeight="1">
      <c r="A20" s="1331"/>
      <c r="B20" s="1069" t="s">
        <v>860</v>
      </c>
      <c r="C20" s="1070" t="s">
        <v>861</v>
      </c>
      <c r="D20" s="1073">
        <v>5082</v>
      </c>
      <c r="E20" s="1073">
        <v>4604</v>
      </c>
      <c r="F20" s="1073">
        <v>1372</v>
      </c>
      <c r="G20" s="1073">
        <v>0</v>
      </c>
      <c r="H20" s="1073">
        <v>0</v>
      </c>
      <c r="I20" s="1073">
        <v>0</v>
      </c>
      <c r="J20" s="1073">
        <v>0</v>
      </c>
      <c r="K20" s="1073">
        <v>0</v>
      </c>
      <c r="L20" s="1073"/>
      <c r="M20" s="1073">
        <v>0</v>
      </c>
      <c r="N20" s="1071">
        <v>0</v>
      </c>
      <c r="O20" s="1071">
        <v>0</v>
      </c>
      <c r="P20" s="1071">
        <v>45576</v>
      </c>
      <c r="Q20" s="1071">
        <v>6454</v>
      </c>
      <c r="R20" s="1072">
        <v>52030</v>
      </c>
      <c r="S20" s="1331"/>
      <c r="T20" s="1069" t="s">
        <v>860</v>
      </c>
      <c r="U20" s="1070" t="s">
        <v>861</v>
      </c>
      <c r="V20" s="1073">
        <v>31321</v>
      </c>
      <c r="W20" s="1073">
        <v>8331</v>
      </c>
      <c r="X20" s="1073">
        <v>12378</v>
      </c>
      <c r="Y20" s="1073">
        <v>5656</v>
      </c>
      <c r="Z20" s="1073"/>
      <c r="AA20" s="1073">
        <v>0</v>
      </c>
      <c r="AB20" s="1073"/>
      <c r="AC20" s="1073">
        <v>0</v>
      </c>
      <c r="AD20" s="1073">
        <v>0</v>
      </c>
      <c r="AE20" s="1073"/>
      <c r="AF20" s="1072">
        <v>52030</v>
      </c>
      <c r="AH20" s="1115">
        <v>52030</v>
      </c>
    </row>
    <row r="21" spans="1:34" ht="12.75" customHeight="1">
      <c r="A21" s="1331"/>
      <c r="B21" s="1069" t="s">
        <v>860</v>
      </c>
      <c r="C21" s="1070" t="s">
        <v>862</v>
      </c>
      <c r="D21" s="1073">
        <v>5082</v>
      </c>
      <c r="E21" s="1073">
        <v>4604</v>
      </c>
      <c r="F21" s="1073">
        <v>1372</v>
      </c>
      <c r="G21" s="1073">
        <v>0</v>
      </c>
      <c r="H21" s="1073">
        <v>0</v>
      </c>
      <c r="I21" s="1073">
        <v>0</v>
      </c>
      <c r="J21" s="1073">
        <v>0</v>
      </c>
      <c r="K21" s="1073">
        <v>0</v>
      </c>
      <c r="L21" s="1073">
        <v>948</v>
      </c>
      <c r="M21" s="1073">
        <v>0</v>
      </c>
      <c r="N21" s="1071">
        <v>231</v>
      </c>
      <c r="O21" s="1071">
        <v>0</v>
      </c>
      <c r="P21" s="1071">
        <v>46104</v>
      </c>
      <c r="Q21" s="1071">
        <v>7633</v>
      </c>
      <c r="R21" s="1072">
        <v>53737</v>
      </c>
      <c r="S21" s="1331"/>
      <c r="T21" s="1069" t="s">
        <v>860</v>
      </c>
      <c r="U21" s="1070" t="s">
        <v>862</v>
      </c>
      <c r="V21" s="1073">
        <v>32227</v>
      </c>
      <c r="W21" s="1073">
        <v>8575</v>
      </c>
      <c r="X21" s="1073">
        <v>12935</v>
      </c>
      <c r="Y21" s="1073">
        <v>5656</v>
      </c>
      <c r="Z21" s="1073"/>
      <c r="AA21" s="1073">
        <v>0</v>
      </c>
      <c r="AB21" s="1073"/>
      <c r="AC21" s="1073">
        <v>0</v>
      </c>
      <c r="AD21" s="1073">
        <v>0</v>
      </c>
      <c r="AE21" s="1073"/>
      <c r="AF21" s="1072">
        <v>53737</v>
      </c>
      <c r="AH21" s="1115">
        <v>52030</v>
      </c>
    </row>
    <row r="22" spans="1:34" ht="12" customHeight="1">
      <c r="A22" s="1331"/>
      <c r="B22" s="1069" t="s">
        <v>860</v>
      </c>
      <c r="C22" s="1070" t="s">
        <v>863</v>
      </c>
      <c r="D22" s="1073">
        <v>5082</v>
      </c>
      <c r="E22" s="1073">
        <v>4604</v>
      </c>
      <c r="F22" s="1073">
        <v>1372</v>
      </c>
      <c r="G22" s="1073">
        <v>0</v>
      </c>
      <c r="H22" s="1073">
        <v>0</v>
      </c>
      <c r="I22" s="1073">
        <v>0</v>
      </c>
      <c r="J22" s="1073">
        <v>0</v>
      </c>
      <c r="K22" s="1073">
        <v>0</v>
      </c>
      <c r="L22" s="1073">
        <v>948</v>
      </c>
      <c r="M22" s="1073">
        <v>0</v>
      </c>
      <c r="N22" s="1071">
        <v>231</v>
      </c>
      <c r="O22" s="1071">
        <v>0</v>
      </c>
      <c r="P22" s="1071">
        <v>46634</v>
      </c>
      <c r="Q22" s="1071">
        <v>7633</v>
      </c>
      <c r="R22" s="1072">
        <v>54267</v>
      </c>
      <c r="S22" s="1331"/>
      <c r="T22" s="1069" t="s">
        <v>860</v>
      </c>
      <c r="U22" s="1070" t="s">
        <v>863</v>
      </c>
      <c r="V22" s="1073">
        <v>32644</v>
      </c>
      <c r="W22" s="1073">
        <v>8688</v>
      </c>
      <c r="X22" s="1073">
        <v>12935</v>
      </c>
      <c r="Y22" s="1073">
        <v>5656</v>
      </c>
      <c r="Z22" s="1073"/>
      <c r="AA22" s="1073">
        <v>0</v>
      </c>
      <c r="AB22" s="1073"/>
      <c r="AC22" s="1073">
        <v>0</v>
      </c>
      <c r="AD22" s="1073">
        <v>0</v>
      </c>
      <c r="AE22" s="1073"/>
      <c r="AF22" s="1072">
        <v>54267</v>
      </c>
      <c r="AH22" s="1115"/>
    </row>
    <row r="23" spans="1:34" ht="12" customHeight="1">
      <c r="A23" s="1331"/>
      <c r="B23" s="1069" t="s">
        <v>860</v>
      </c>
      <c r="C23" s="1070" t="s">
        <v>864</v>
      </c>
      <c r="D23" s="1073">
        <v>5082</v>
      </c>
      <c r="E23" s="1073">
        <v>4604</v>
      </c>
      <c r="F23" s="1073">
        <v>1372</v>
      </c>
      <c r="G23" s="1073">
        <v>0</v>
      </c>
      <c r="H23" s="1073">
        <v>0</v>
      </c>
      <c r="I23" s="1073">
        <v>0</v>
      </c>
      <c r="J23" s="1073">
        <v>0</v>
      </c>
      <c r="K23" s="1073">
        <v>0</v>
      </c>
      <c r="L23" s="1073">
        <v>948</v>
      </c>
      <c r="M23" s="1073">
        <v>0</v>
      </c>
      <c r="N23" s="1071">
        <v>231</v>
      </c>
      <c r="O23" s="1071">
        <v>0</v>
      </c>
      <c r="P23" s="1071">
        <v>51024</v>
      </c>
      <c r="Q23" s="1071">
        <v>7633</v>
      </c>
      <c r="R23" s="1072">
        <v>58657</v>
      </c>
      <c r="S23" s="1331"/>
      <c r="T23" s="1069" t="s">
        <v>860</v>
      </c>
      <c r="U23" s="1070" t="s">
        <v>864</v>
      </c>
      <c r="V23" s="1073">
        <v>36100</v>
      </c>
      <c r="W23" s="1073">
        <v>9622</v>
      </c>
      <c r="X23" s="1073">
        <v>12935</v>
      </c>
      <c r="Y23" s="1073">
        <v>5656</v>
      </c>
      <c r="Z23" s="1073"/>
      <c r="AA23" s="1073">
        <v>0</v>
      </c>
      <c r="AB23" s="1073"/>
      <c r="AC23" s="1073">
        <v>0</v>
      </c>
      <c r="AD23" s="1073">
        <v>0</v>
      </c>
      <c r="AE23" s="1073"/>
      <c r="AF23" s="1072">
        <v>58657</v>
      </c>
      <c r="AH23" s="1115"/>
    </row>
    <row r="24" spans="1:34" ht="11.25" customHeight="1">
      <c r="A24" s="1331"/>
      <c r="B24" s="1069" t="s">
        <v>860</v>
      </c>
      <c r="C24" s="1070" t="s">
        <v>865</v>
      </c>
      <c r="D24" s="1073">
        <v>5082</v>
      </c>
      <c r="E24" s="1073">
        <v>4604</v>
      </c>
      <c r="F24" s="1073">
        <v>1372</v>
      </c>
      <c r="G24" s="1073">
        <v>0</v>
      </c>
      <c r="H24" s="1073">
        <v>0</v>
      </c>
      <c r="I24" s="1073">
        <v>0</v>
      </c>
      <c r="J24" s="1073">
        <v>0</v>
      </c>
      <c r="K24" s="1073">
        <v>0</v>
      </c>
      <c r="L24" s="1073">
        <v>948</v>
      </c>
      <c r="M24" s="1073">
        <v>0</v>
      </c>
      <c r="N24" s="1071">
        <v>231</v>
      </c>
      <c r="O24" s="1071">
        <v>0</v>
      </c>
      <c r="P24" s="1071">
        <v>51108</v>
      </c>
      <c r="Q24" s="1071">
        <v>7633</v>
      </c>
      <c r="R24" s="1072">
        <v>58741</v>
      </c>
      <c r="S24" s="1331"/>
      <c r="T24" s="1069" t="s">
        <v>860</v>
      </c>
      <c r="U24" s="1070" t="s">
        <v>865</v>
      </c>
      <c r="V24" s="1073">
        <v>36166</v>
      </c>
      <c r="W24" s="1073">
        <v>9640</v>
      </c>
      <c r="X24" s="1073">
        <v>12935</v>
      </c>
      <c r="Y24" s="1073">
        <v>5656</v>
      </c>
      <c r="Z24" s="1073"/>
      <c r="AA24" s="1073">
        <v>0</v>
      </c>
      <c r="AB24" s="1073"/>
      <c r="AC24" s="1073">
        <v>0</v>
      </c>
      <c r="AD24" s="1073">
        <v>0</v>
      </c>
      <c r="AE24" s="1073"/>
      <c r="AF24" s="1072">
        <v>58741</v>
      </c>
      <c r="AH24" s="1115"/>
    </row>
    <row r="25" spans="1:34" ht="12.75">
      <c r="A25" s="1331" t="s">
        <v>866</v>
      </c>
      <c r="B25" s="1069" t="s">
        <v>860</v>
      </c>
      <c r="C25" s="1070" t="s">
        <v>539</v>
      </c>
      <c r="D25" s="1073">
        <v>8809</v>
      </c>
      <c r="E25" s="1073">
        <v>5142</v>
      </c>
      <c r="F25" s="1073">
        <v>2378</v>
      </c>
      <c r="G25" s="1073">
        <v>0</v>
      </c>
      <c r="H25" s="1073">
        <v>0</v>
      </c>
      <c r="I25" s="1073">
        <v>0</v>
      </c>
      <c r="J25" s="1073">
        <v>0</v>
      </c>
      <c r="K25" s="1073">
        <v>0</v>
      </c>
      <c r="L25" s="1073"/>
      <c r="M25" s="1073">
        <v>0</v>
      </c>
      <c r="N25" s="1071">
        <v>0</v>
      </c>
      <c r="O25" s="1071">
        <v>0</v>
      </c>
      <c r="P25" s="1071">
        <v>64369</v>
      </c>
      <c r="Q25" s="1071">
        <v>11187</v>
      </c>
      <c r="R25" s="1072">
        <v>75556</v>
      </c>
      <c r="S25" s="1331" t="s">
        <v>866</v>
      </c>
      <c r="T25" s="1069" t="s">
        <v>860</v>
      </c>
      <c r="U25" s="1070" t="s">
        <v>539</v>
      </c>
      <c r="V25" s="1073">
        <v>40858</v>
      </c>
      <c r="W25" s="1073">
        <v>10791</v>
      </c>
      <c r="X25" s="1073">
        <v>23907</v>
      </c>
      <c r="Y25" s="1073">
        <v>7301</v>
      </c>
      <c r="Z25" s="1073"/>
      <c r="AA25" s="1073">
        <v>0</v>
      </c>
      <c r="AB25" s="1073"/>
      <c r="AC25" s="1073">
        <v>0</v>
      </c>
      <c r="AD25" s="1073">
        <v>0</v>
      </c>
      <c r="AE25" s="1073"/>
      <c r="AF25" s="1072">
        <v>75556</v>
      </c>
      <c r="AH25" s="1115">
        <v>75556</v>
      </c>
    </row>
    <row r="26" spans="1:34" ht="12.75" customHeight="1">
      <c r="A26" s="1331"/>
      <c r="B26" s="1069" t="s">
        <v>860</v>
      </c>
      <c r="C26" s="1070" t="s">
        <v>861</v>
      </c>
      <c r="D26" s="1073">
        <v>8809</v>
      </c>
      <c r="E26" s="1073">
        <v>5142</v>
      </c>
      <c r="F26" s="1073">
        <v>2378</v>
      </c>
      <c r="G26" s="1073">
        <v>0</v>
      </c>
      <c r="H26" s="1073">
        <v>0</v>
      </c>
      <c r="I26" s="1073">
        <v>0</v>
      </c>
      <c r="J26" s="1073">
        <v>0</v>
      </c>
      <c r="K26" s="1073">
        <v>0</v>
      </c>
      <c r="L26" s="1073"/>
      <c r="M26" s="1073">
        <v>0</v>
      </c>
      <c r="N26" s="1071">
        <v>0</v>
      </c>
      <c r="O26" s="1071">
        <v>0</v>
      </c>
      <c r="P26" s="1071">
        <v>64369</v>
      </c>
      <c r="Q26" s="1071">
        <v>11187</v>
      </c>
      <c r="R26" s="1072">
        <v>75556</v>
      </c>
      <c r="S26" s="1331"/>
      <c r="T26" s="1069" t="s">
        <v>860</v>
      </c>
      <c r="U26" s="1070" t="s">
        <v>861</v>
      </c>
      <c r="V26" s="1073">
        <v>40858</v>
      </c>
      <c r="W26" s="1073">
        <v>10791</v>
      </c>
      <c r="X26" s="1073">
        <v>23907</v>
      </c>
      <c r="Y26" s="1073">
        <v>7301</v>
      </c>
      <c r="Z26" s="1073"/>
      <c r="AA26" s="1073">
        <v>0</v>
      </c>
      <c r="AB26" s="1073"/>
      <c r="AC26" s="1073">
        <v>0</v>
      </c>
      <c r="AD26" s="1073">
        <v>0</v>
      </c>
      <c r="AE26" s="1073"/>
      <c r="AF26" s="1072">
        <v>75556</v>
      </c>
      <c r="AH26" s="1115">
        <v>75556</v>
      </c>
    </row>
    <row r="27" spans="1:34" ht="12.75" customHeight="1">
      <c r="A27" s="1331"/>
      <c r="B27" s="1069" t="s">
        <v>860</v>
      </c>
      <c r="C27" s="1070" t="s">
        <v>862</v>
      </c>
      <c r="D27" s="1073">
        <v>8809</v>
      </c>
      <c r="E27" s="1073">
        <v>5142</v>
      </c>
      <c r="F27" s="1073">
        <v>2378</v>
      </c>
      <c r="G27" s="1073">
        <v>0</v>
      </c>
      <c r="H27" s="1073">
        <v>0</v>
      </c>
      <c r="I27" s="1073">
        <v>0</v>
      </c>
      <c r="J27" s="1073">
        <v>0</v>
      </c>
      <c r="K27" s="1073">
        <v>0</v>
      </c>
      <c r="L27" s="1073">
        <v>506</v>
      </c>
      <c r="M27" s="1073">
        <v>0</v>
      </c>
      <c r="N27" s="1071">
        <v>249</v>
      </c>
      <c r="O27" s="1071">
        <v>0</v>
      </c>
      <c r="P27" s="1071">
        <v>64792</v>
      </c>
      <c r="Q27" s="1071">
        <v>11942</v>
      </c>
      <c r="R27" s="1072">
        <v>76734</v>
      </c>
      <c r="S27" s="1331"/>
      <c r="T27" s="1069" t="s">
        <v>860</v>
      </c>
      <c r="U27" s="1070" t="s">
        <v>862</v>
      </c>
      <c r="V27" s="1073">
        <v>41192</v>
      </c>
      <c r="W27" s="1073">
        <v>10880</v>
      </c>
      <c r="X27" s="1073">
        <v>24662</v>
      </c>
      <c r="Y27" s="1073">
        <v>7301</v>
      </c>
      <c r="Z27" s="1073"/>
      <c r="AA27" s="1073">
        <v>0</v>
      </c>
      <c r="AB27" s="1073"/>
      <c r="AC27" s="1073">
        <v>0</v>
      </c>
      <c r="AD27" s="1073">
        <v>0</v>
      </c>
      <c r="AE27" s="1073"/>
      <c r="AF27" s="1072">
        <v>76734</v>
      </c>
      <c r="AH27" s="1115">
        <v>75556</v>
      </c>
    </row>
    <row r="28" spans="1:34" ht="12.75" customHeight="1">
      <c r="A28" s="1331"/>
      <c r="B28" s="1069" t="s">
        <v>860</v>
      </c>
      <c r="C28" s="1070" t="s">
        <v>863</v>
      </c>
      <c r="D28" s="1073">
        <v>8888</v>
      </c>
      <c r="E28" s="1073">
        <v>5142</v>
      </c>
      <c r="F28" s="1073">
        <v>2399</v>
      </c>
      <c r="G28" s="1073">
        <v>0</v>
      </c>
      <c r="H28" s="1073">
        <v>0</v>
      </c>
      <c r="I28" s="1073">
        <v>0</v>
      </c>
      <c r="J28" s="1073">
        <v>0</v>
      </c>
      <c r="K28" s="1073">
        <v>0</v>
      </c>
      <c r="L28" s="1073">
        <v>506</v>
      </c>
      <c r="M28" s="1073">
        <v>0</v>
      </c>
      <c r="N28" s="1071">
        <v>249</v>
      </c>
      <c r="O28" s="1071">
        <v>0</v>
      </c>
      <c r="P28" s="1071">
        <v>65164</v>
      </c>
      <c r="Q28" s="1071">
        <v>12042</v>
      </c>
      <c r="R28" s="1072">
        <v>77206</v>
      </c>
      <c r="S28" s="1331"/>
      <c r="T28" s="1069" t="s">
        <v>860</v>
      </c>
      <c r="U28" s="1070" t="s">
        <v>863</v>
      </c>
      <c r="V28" s="1073">
        <v>41486</v>
      </c>
      <c r="W28" s="1073">
        <v>10958</v>
      </c>
      <c r="X28" s="1073">
        <v>24762</v>
      </c>
      <c r="Y28" s="1073">
        <v>7301</v>
      </c>
      <c r="Z28" s="1073"/>
      <c r="AA28" s="1073">
        <v>0</v>
      </c>
      <c r="AB28" s="1073"/>
      <c r="AC28" s="1073">
        <v>0</v>
      </c>
      <c r="AD28" s="1073">
        <v>0</v>
      </c>
      <c r="AE28" s="1073"/>
      <c r="AF28" s="1072">
        <v>77206</v>
      </c>
      <c r="AH28" s="1115"/>
    </row>
    <row r="29" spans="1:34" ht="12.75" customHeight="1">
      <c r="A29" s="1331"/>
      <c r="B29" s="1069" t="s">
        <v>860</v>
      </c>
      <c r="C29" s="1070" t="s">
        <v>864</v>
      </c>
      <c r="D29" s="1073">
        <v>10523</v>
      </c>
      <c r="E29" s="1073">
        <v>5142</v>
      </c>
      <c r="F29" s="1073">
        <v>2840</v>
      </c>
      <c r="G29" s="1073">
        <v>0</v>
      </c>
      <c r="H29" s="1073">
        <v>0</v>
      </c>
      <c r="I29" s="1073">
        <v>0</v>
      </c>
      <c r="J29" s="1073">
        <v>0</v>
      </c>
      <c r="K29" s="1073">
        <v>0</v>
      </c>
      <c r="L29" s="1073">
        <v>506</v>
      </c>
      <c r="M29" s="1073">
        <v>0</v>
      </c>
      <c r="N29" s="1071">
        <v>249</v>
      </c>
      <c r="O29" s="1071">
        <v>0</v>
      </c>
      <c r="P29" s="1071">
        <v>71330</v>
      </c>
      <c r="Q29" s="1071">
        <v>14118</v>
      </c>
      <c r="R29" s="1072">
        <v>85448</v>
      </c>
      <c r="S29" s="1331"/>
      <c r="T29" s="1069" t="s">
        <v>860</v>
      </c>
      <c r="U29" s="1070" t="s">
        <v>864</v>
      </c>
      <c r="V29" s="1073">
        <v>45881</v>
      </c>
      <c r="W29" s="1073">
        <v>12145</v>
      </c>
      <c r="X29" s="1073">
        <v>27422</v>
      </c>
      <c r="Y29" s="1073">
        <v>7301</v>
      </c>
      <c r="Z29" s="1073"/>
      <c r="AA29" s="1073">
        <v>0</v>
      </c>
      <c r="AB29" s="1073"/>
      <c r="AC29" s="1073">
        <v>0</v>
      </c>
      <c r="AD29" s="1073">
        <v>0</v>
      </c>
      <c r="AE29" s="1073"/>
      <c r="AF29" s="1072">
        <v>85448</v>
      </c>
      <c r="AH29" s="1115"/>
    </row>
    <row r="30" spans="1:34" ht="11.25" customHeight="1">
      <c r="A30" s="1331"/>
      <c r="B30" s="1069" t="s">
        <v>860</v>
      </c>
      <c r="C30" s="1070" t="s">
        <v>865</v>
      </c>
      <c r="D30" s="1073">
        <v>11416</v>
      </c>
      <c r="E30" s="1073">
        <v>5142</v>
      </c>
      <c r="F30" s="1073">
        <v>3082</v>
      </c>
      <c r="G30" s="1073">
        <v>0</v>
      </c>
      <c r="H30" s="1073">
        <v>0</v>
      </c>
      <c r="I30" s="1073">
        <v>0</v>
      </c>
      <c r="J30" s="1073">
        <v>0</v>
      </c>
      <c r="K30" s="1073">
        <v>0</v>
      </c>
      <c r="L30" s="1073">
        <v>506</v>
      </c>
      <c r="M30" s="1073">
        <v>0</v>
      </c>
      <c r="N30" s="1071">
        <v>249</v>
      </c>
      <c r="O30" s="1071">
        <v>0</v>
      </c>
      <c r="P30" s="1071">
        <v>71369</v>
      </c>
      <c r="Q30" s="1071">
        <v>15253</v>
      </c>
      <c r="R30" s="1072">
        <v>86622</v>
      </c>
      <c r="S30" s="1331"/>
      <c r="T30" s="1069" t="s">
        <v>860</v>
      </c>
      <c r="U30" s="1070" t="s">
        <v>865</v>
      </c>
      <c r="V30" s="1073">
        <v>45912</v>
      </c>
      <c r="W30" s="1073">
        <v>12153</v>
      </c>
      <c r="X30" s="1073">
        <v>28420</v>
      </c>
      <c r="Y30" s="1073">
        <v>7301</v>
      </c>
      <c r="Z30" s="1073"/>
      <c r="AA30" s="1073">
        <v>0</v>
      </c>
      <c r="AB30" s="1073"/>
      <c r="AC30" s="1073">
        <v>137</v>
      </c>
      <c r="AD30" s="1073">
        <v>0</v>
      </c>
      <c r="AE30" s="1073"/>
      <c r="AF30" s="1072">
        <v>86622</v>
      </c>
      <c r="AH30" s="1115"/>
    </row>
    <row r="31" spans="1:34" ht="12.75">
      <c r="A31" s="1331" t="s">
        <v>737</v>
      </c>
      <c r="B31" s="1069" t="s">
        <v>860</v>
      </c>
      <c r="C31" s="1070" t="s">
        <v>539</v>
      </c>
      <c r="D31" s="1073">
        <v>14948</v>
      </c>
      <c r="E31" s="1073">
        <v>3206</v>
      </c>
      <c r="F31" s="1073">
        <v>4036</v>
      </c>
      <c r="G31" s="1073">
        <v>0</v>
      </c>
      <c r="H31" s="1073">
        <v>0</v>
      </c>
      <c r="I31" s="1073">
        <v>0</v>
      </c>
      <c r="J31" s="1073">
        <v>0</v>
      </c>
      <c r="K31" s="1073">
        <v>0</v>
      </c>
      <c r="L31" s="1073"/>
      <c r="M31" s="1073">
        <v>0</v>
      </c>
      <c r="N31" s="1071">
        <v>0</v>
      </c>
      <c r="O31" s="1071">
        <v>0</v>
      </c>
      <c r="P31" s="1071">
        <v>35843</v>
      </c>
      <c r="Q31" s="1071">
        <v>18984</v>
      </c>
      <c r="R31" s="1072">
        <v>54827</v>
      </c>
      <c r="S31" s="1331" t="s">
        <v>737</v>
      </c>
      <c r="T31" s="1069" t="s">
        <v>860</v>
      </c>
      <c r="U31" s="1070" t="s">
        <v>539</v>
      </c>
      <c r="V31" s="1073">
        <v>27788</v>
      </c>
      <c r="W31" s="1073">
        <v>7355</v>
      </c>
      <c r="X31" s="1073">
        <v>19684</v>
      </c>
      <c r="Y31" s="1073">
        <v>3783</v>
      </c>
      <c r="Z31" s="1073"/>
      <c r="AA31" s="1073">
        <v>0</v>
      </c>
      <c r="AB31" s="1073"/>
      <c r="AC31" s="1073">
        <v>0</v>
      </c>
      <c r="AD31" s="1073">
        <v>0</v>
      </c>
      <c r="AE31" s="1073"/>
      <c r="AF31" s="1072">
        <v>54827</v>
      </c>
      <c r="AH31" s="1115">
        <v>54827</v>
      </c>
    </row>
    <row r="32" spans="1:34" ht="12.75" customHeight="1">
      <c r="A32" s="1331"/>
      <c r="B32" s="1069" t="s">
        <v>860</v>
      </c>
      <c r="C32" s="1070" t="s">
        <v>861</v>
      </c>
      <c r="D32" s="1073">
        <v>14948</v>
      </c>
      <c r="E32" s="1073">
        <v>3206</v>
      </c>
      <c r="F32" s="1073">
        <v>4036</v>
      </c>
      <c r="G32" s="1073">
        <v>0</v>
      </c>
      <c r="H32" s="1073">
        <v>0</v>
      </c>
      <c r="I32" s="1073">
        <v>0</v>
      </c>
      <c r="J32" s="1073">
        <v>0</v>
      </c>
      <c r="K32" s="1073">
        <v>0</v>
      </c>
      <c r="L32" s="1073"/>
      <c r="M32" s="1073">
        <v>0</v>
      </c>
      <c r="N32" s="1071">
        <v>0</v>
      </c>
      <c r="O32" s="1071">
        <v>0</v>
      </c>
      <c r="P32" s="1071">
        <v>35843</v>
      </c>
      <c r="Q32" s="1071">
        <v>18984</v>
      </c>
      <c r="R32" s="1072">
        <v>54827</v>
      </c>
      <c r="S32" s="1331"/>
      <c r="T32" s="1069" t="s">
        <v>860</v>
      </c>
      <c r="U32" s="1070" t="s">
        <v>861</v>
      </c>
      <c r="V32" s="1073">
        <v>27788</v>
      </c>
      <c r="W32" s="1073">
        <v>7355</v>
      </c>
      <c r="X32" s="1073">
        <v>19684</v>
      </c>
      <c r="Y32" s="1073">
        <v>3783</v>
      </c>
      <c r="Z32" s="1073"/>
      <c r="AA32" s="1073">
        <v>0</v>
      </c>
      <c r="AB32" s="1073"/>
      <c r="AC32" s="1073">
        <v>0</v>
      </c>
      <c r="AD32" s="1073">
        <v>0</v>
      </c>
      <c r="AE32" s="1073"/>
      <c r="AF32" s="1072">
        <v>54827</v>
      </c>
      <c r="AH32" s="1115">
        <v>54827</v>
      </c>
    </row>
    <row r="33" spans="1:34" ht="12.75" customHeight="1">
      <c r="A33" s="1331"/>
      <c r="B33" s="1069" t="s">
        <v>860</v>
      </c>
      <c r="C33" s="1070" t="s">
        <v>862</v>
      </c>
      <c r="D33" s="1073">
        <v>14948</v>
      </c>
      <c r="E33" s="1073">
        <v>3206</v>
      </c>
      <c r="F33" s="1073">
        <v>4036</v>
      </c>
      <c r="G33" s="1073">
        <v>0</v>
      </c>
      <c r="H33" s="1073">
        <v>0</v>
      </c>
      <c r="I33" s="1073">
        <v>0</v>
      </c>
      <c r="J33" s="1073">
        <v>0</v>
      </c>
      <c r="K33" s="1073">
        <v>0</v>
      </c>
      <c r="L33" s="1073">
        <v>682</v>
      </c>
      <c r="M33" s="1073">
        <v>0</v>
      </c>
      <c r="N33" s="1071">
        <v>88</v>
      </c>
      <c r="O33" s="1071">
        <v>0</v>
      </c>
      <c r="P33" s="1071">
        <v>36225</v>
      </c>
      <c r="Q33" s="1071">
        <v>19754</v>
      </c>
      <c r="R33" s="1072">
        <v>55979</v>
      </c>
      <c r="S33" s="1331"/>
      <c r="T33" s="1069" t="s">
        <v>860</v>
      </c>
      <c r="U33" s="1070" t="s">
        <v>862</v>
      </c>
      <c r="V33" s="1073">
        <v>28089</v>
      </c>
      <c r="W33" s="1073">
        <v>7436</v>
      </c>
      <c r="X33" s="1073">
        <v>20454</v>
      </c>
      <c r="Y33" s="1073">
        <v>3783</v>
      </c>
      <c r="Z33" s="1073"/>
      <c r="AA33" s="1073">
        <v>0</v>
      </c>
      <c r="AB33" s="1073"/>
      <c r="AC33" s="1073">
        <v>0</v>
      </c>
      <c r="AD33" s="1073">
        <v>0</v>
      </c>
      <c r="AE33" s="1073"/>
      <c r="AF33" s="1072">
        <v>55979</v>
      </c>
      <c r="AH33" s="1115">
        <v>54827</v>
      </c>
    </row>
    <row r="34" spans="1:34" ht="12.75" customHeight="1">
      <c r="A34" s="1331"/>
      <c r="B34" s="1069" t="s">
        <v>860</v>
      </c>
      <c r="C34" s="1070" t="s">
        <v>863</v>
      </c>
      <c r="D34" s="1073">
        <v>14948</v>
      </c>
      <c r="E34" s="1073">
        <v>3206</v>
      </c>
      <c r="F34" s="1073">
        <v>4036</v>
      </c>
      <c r="G34" s="1073">
        <v>0</v>
      </c>
      <c r="H34" s="1073">
        <v>0</v>
      </c>
      <c r="I34" s="1073">
        <v>0</v>
      </c>
      <c r="J34" s="1073">
        <v>0</v>
      </c>
      <c r="K34" s="1073">
        <v>0</v>
      </c>
      <c r="L34" s="1073">
        <v>682</v>
      </c>
      <c r="M34" s="1073">
        <v>0</v>
      </c>
      <c r="N34" s="1071">
        <v>88</v>
      </c>
      <c r="O34" s="1071">
        <v>0</v>
      </c>
      <c r="P34" s="1071">
        <v>36621</v>
      </c>
      <c r="Q34" s="1071">
        <v>19754</v>
      </c>
      <c r="R34" s="1072">
        <v>56375</v>
      </c>
      <c r="S34" s="1331"/>
      <c r="T34" s="1069" t="s">
        <v>860</v>
      </c>
      <c r="U34" s="1070" t="s">
        <v>863</v>
      </c>
      <c r="V34" s="1073">
        <v>28401</v>
      </c>
      <c r="W34" s="1073">
        <v>7520</v>
      </c>
      <c r="X34" s="1073">
        <v>20454</v>
      </c>
      <c r="Y34" s="1073">
        <v>3783</v>
      </c>
      <c r="Z34" s="1073"/>
      <c r="AA34" s="1073">
        <v>0</v>
      </c>
      <c r="AB34" s="1073"/>
      <c r="AC34" s="1073">
        <v>0</v>
      </c>
      <c r="AD34" s="1073">
        <v>0</v>
      </c>
      <c r="AE34" s="1073"/>
      <c r="AF34" s="1072">
        <v>56375</v>
      </c>
      <c r="AH34" s="1115"/>
    </row>
    <row r="35" spans="1:34" ht="12.75" customHeight="1">
      <c r="A35" s="1331"/>
      <c r="B35" s="1069" t="s">
        <v>860</v>
      </c>
      <c r="C35" s="1070" t="s">
        <v>864</v>
      </c>
      <c r="D35" s="1073">
        <v>15992</v>
      </c>
      <c r="E35" s="1073">
        <v>3206</v>
      </c>
      <c r="F35" s="1073">
        <v>4318</v>
      </c>
      <c r="G35" s="1073">
        <v>0</v>
      </c>
      <c r="H35" s="1073">
        <v>0</v>
      </c>
      <c r="I35" s="1073">
        <v>0</v>
      </c>
      <c r="J35" s="1073">
        <v>0</v>
      </c>
      <c r="K35" s="1073">
        <v>0</v>
      </c>
      <c r="L35" s="1073">
        <v>682</v>
      </c>
      <c r="M35" s="1073">
        <v>0</v>
      </c>
      <c r="N35" s="1071">
        <v>88</v>
      </c>
      <c r="O35" s="1071">
        <v>0</v>
      </c>
      <c r="P35" s="1071">
        <v>40825</v>
      </c>
      <c r="Q35" s="1071">
        <v>21080</v>
      </c>
      <c r="R35" s="1072">
        <v>61905</v>
      </c>
      <c r="S35" s="1331"/>
      <c r="T35" s="1069" t="s">
        <v>860</v>
      </c>
      <c r="U35" s="1070" t="s">
        <v>864</v>
      </c>
      <c r="V35" s="1073">
        <v>30806</v>
      </c>
      <c r="W35" s="1073">
        <v>8169</v>
      </c>
      <c r="X35" s="1073">
        <v>22930</v>
      </c>
      <c r="Y35" s="1073">
        <v>3783</v>
      </c>
      <c r="Z35" s="1073"/>
      <c r="AA35" s="1073">
        <v>0</v>
      </c>
      <c r="AB35" s="1073"/>
      <c r="AC35" s="1073">
        <v>0</v>
      </c>
      <c r="AD35" s="1073">
        <v>0</v>
      </c>
      <c r="AE35" s="1073"/>
      <c r="AF35" s="1072">
        <v>61905</v>
      </c>
      <c r="AH35" s="1115"/>
    </row>
    <row r="36" spans="1:34" ht="12.75" customHeight="1">
      <c r="A36" s="1331"/>
      <c r="B36" s="1069" t="s">
        <v>860</v>
      </c>
      <c r="C36" s="1070" t="s">
        <v>865</v>
      </c>
      <c r="D36" s="1073">
        <v>19453</v>
      </c>
      <c r="E36" s="1073">
        <v>3206</v>
      </c>
      <c r="F36" s="1073">
        <v>5252</v>
      </c>
      <c r="G36" s="1073">
        <v>0</v>
      </c>
      <c r="H36" s="1073">
        <v>0</v>
      </c>
      <c r="I36" s="1073">
        <v>0</v>
      </c>
      <c r="J36" s="1073">
        <v>0</v>
      </c>
      <c r="K36" s="1073">
        <v>0</v>
      </c>
      <c r="L36" s="1073">
        <v>682</v>
      </c>
      <c r="M36" s="1073">
        <v>0</v>
      </c>
      <c r="N36" s="1071">
        <v>88</v>
      </c>
      <c r="O36" s="1071">
        <v>0</v>
      </c>
      <c r="P36" s="1071">
        <v>40889</v>
      </c>
      <c r="Q36" s="1071">
        <v>25475</v>
      </c>
      <c r="R36" s="1072">
        <v>66364</v>
      </c>
      <c r="S36" s="1331"/>
      <c r="T36" s="1069" t="s">
        <v>860</v>
      </c>
      <c r="U36" s="1070" t="s">
        <v>865</v>
      </c>
      <c r="V36" s="1073">
        <v>30856</v>
      </c>
      <c r="W36" s="1073">
        <v>8183</v>
      </c>
      <c r="X36" s="1073">
        <v>27325</v>
      </c>
      <c r="Y36" s="1073">
        <v>3783</v>
      </c>
      <c r="Z36" s="1073"/>
      <c r="AA36" s="1073">
        <v>0</v>
      </c>
      <c r="AB36" s="1073"/>
      <c r="AC36" s="1073">
        <v>0</v>
      </c>
      <c r="AD36" s="1073">
        <v>0</v>
      </c>
      <c r="AE36" s="1073"/>
      <c r="AF36" s="1072">
        <v>66364</v>
      </c>
      <c r="AH36" s="1115"/>
    </row>
    <row r="37" spans="1:34" ht="12.75">
      <c r="A37" s="1331" t="s">
        <v>738</v>
      </c>
      <c r="B37" s="1069" t="s">
        <v>860</v>
      </c>
      <c r="C37" s="1070" t="s">
        <v>539</v>
      </c>
      <c r="D37" s="1073">
        <v>5037</v>
      </c>
      <c r="E37" s="1073">
        <v>4797</v>
      </c>
      <c r="F37" s="1073">
        <v>1360</v>
      </c>
      <c r="G37" s="1073">
        <v>0</v>
      </c>
      <c r="H37" s="1073">
        <v>0</v>
      </c>
      <c r="I37" s="1073">
        <v>0</v>
      </c>
      <c r="J37" s="1073">
        <v>0</v>
      </c>
      <c r="K37" s="1073">
        <v>0</v>
      </c>
      <c r="L37" s="1073"/>
      <c r="M37" s="1073">
        <v>0</v>
      </c>
      <c r="N37" s="1071">
        <v>0</v>
      </c>
      <c r="O37" s="1071">
        <v>0</v>
      </c>
      <c r="P37" s="1071">
        <v>43414</v>
      </c>
      <c r="Q37" s="1071">
        <v>6397</v>
      </c>
      <c r="R37" s="1072">
        <v>49811</v>
      </c>
      <c r="S37" s="1331" t="s">
        <v>738</v>
      </c>
      <c r="T37" s="1069" t="s">
        <v>860</v>
      </c>
      <c r="U37" s="1070" t="s">
        <v>539</v>
      </c>
      <c r="V37" s="1073">
        <v>29641</v>
      </c>
      <c r="W37" s="1073">
        <v>7879</v>
      </c>
      <c r="X37" s="1073">
        <v>12291</v>
      </c>
      <c r="Y37" s="1073">
        <v>6318</v>
      </c>
      <c r="Z37" s="1073"/>
      <c r="AA37" s="1073">
        <v>0</v>
      </c>
      <c r="AB37" s="1073"/>
      <c r="AC37" s="1073">
        <v>0</v>
      </c>
      <c r="AD37" s="1073">
        <v>0</v>
      </c>
      <c r="AE37" s="1073"/>
      <c r="AF37" s="1072">
        <v>49811</v>
      </c>
      <c r="AH37" s="1115">
        <v>49811</v>
      </c>
    </row>
    <row r="38" spans="1:34" ht="12.75" customHeight="1">
      <c r="A38" s="1331"/>
      <c r="B38" s="1069" t="s">
        <v>860</v>
      </c>
      <c r="C38" s="1070" t="s">
        <v>861</v>
      </c>
      <c r="D38" s="1073">
        <v>5037</v>
      </c>
      <c r="E38" s="1073">
        <v>4797</v>
      </c>
      <c r="F38" s="1073">
        <v>1360</v>
      </c>
      <c r="G38" s="1073">
        <v>0</v>
      </c>
      <c r="H38" s="1073">
        <v>0</v>
      </c>
      <c r="I38" s="1073">
        <v>0</v>
      </c>
      <c r="J38" s="1073">
        <v>0</v>
      </c>
      <c r="K38" s="1073">
        <v>0</v>
      </c>
      <c r="L38" s="1073"/>
      <c r="M38" s="1073">
        <v>0</v>
      </c>
      <c r="N38" s="1071">
        <v>0</v>
      </c>
      <c r="O38" s="1071">
        <v>0</v>
      </c>
      <c r="P38" s="1071">
        <v>43414</v>
      </c>
      <c r="Q38" s="1071">
        <v>6397</v>
      </c>
      <c r="R38" s="1072">
        <v>49811</v>
      </c>
      <c r="S38" s="1331"/>
      <c r="T38" s="1069" t="s">
        <v>860</v>
      </c>
      <c r="U38" s="1070" t="s">
        <v>861</v>
      </c>
      <c r="V38" s="1073">
        <v>29641</v>
      </c>
      <c r="W38" s="1073">
        <v>7879</v>
      </c>
      <c r="X38" s="1073">
        <v>12291</v>
      </c>
      <c r="Y38" s="1073">
        <v>6318</v>
      </c>
      <c r="Z38" s="1073"/>
      <c r="AA38" s="1073">
        <v>0</v>
      </c>
      <c r="AB38" s="1073"/>
      <c r="AC38" s="1073">
        <v>0</v>
      </c>
      <c r="AD38" s="1073">
        <v>0</v>
      </c>
      <c r="AE38" s="1073"/>
      <c r="AF38" s="1072">
        <v>49811</v>
      </c>
      <c r="AH38" s="1115">
        <v>49811</v>
      </c>
    </row>
    <row r="39" spans="1:34" ht="12.75" customHeight="1">
      <c r="A39" s="1331"/>
      <c r="B39" s="1069" t="s">
        <v>860</v>
      </c>
      <c r="C39" s="1070" t="s">
        <v>862</v>
      </c>
      <c r="D39" s="1073">
        <v>5037</v>
      </c>
      <c r="E39" s="1073">
        <v>4797</v>
      </c>
      <c r="F39" s="1073">
        <v>1360</v>
      </c>
      <c r="G39" s="1073">
        <v>0</v>
      </c>
      <c r="H39" s="1073">
        <v>0</v>
      </c>
      <c r="I39" s="1073">
        <v>0</v>
      </c>
      <c r="J39" s="1073">
        <v>1361</v>
      </c>
      <c r="K39" s="1073">
        <v>285</v>
      </c>
      <c r="L39" s="1073">
        <v>19</v>
      </c>
      <c r="M39" s="1073">
        <v>0</v>
      </c>
      <c r="N39" s="1071">
        <v>474</v>
      </c>
      <c r="O39" s="1071">
        <v>0</v>
      </c>
      <c r="P39" s="1071">
        <v>43991</v>
      </c>
      <c r="Q39" s="1071">
        <v>8536</v>
      </c>
      <c r="R39" s="1072">
        <v>52527</v>
      </c>
      <c r="S39" s="1331"/>
      <c r="T39" s="1069" t="s">
        <v>860</v>
      </c>
      <c r="U39" s="1070" t="s">
        <v>862</v>
      </c>
      <c r="V39" s="1073">
        <v>30947</v>
      </c>
      <c r="W39" s="1073">
        <v>8011</v>
      </c>
      <c r="X39" s="1073">
        <v>13284</v>
      </c>
      <c r="Y39" s="1073">
        <v>6318</v>
      </c>
      <c r="Z39" s="1073"/>
      <c r="AA39" s="1073">
        <v>0</v>
      </c>
      <c r="AB39" s="1073"/>
      <c r="AC39" s="1073">
        <v>285</v>
      </c>
      <c r="AD39" s="1073">
        <v>0</v>
      </c>
      <c r="AE39" s="1073"/>
      <c r="AF39" s="1072">
        <v>52527</v>
      </c>
      <c r="AH39" s="1115">
        <v>49811</v>
      </c>
    </row>
    <row r="40" spans="1:34" ht="12.75" customHeight="1">
      <c r="A40" s="1331"/>
      <c r="B40" s="1069" t="s">
        <v>860</v>
      </c>
      <c r="C40" s="1070" t="s">
        <v>863</v>
      </c>
      <c r="D40" s="1073">
        <v>5037</v>
      </c>
      <c r="E40" s="1073">
        <v>4797</v>
      </c>
      <c r="F40" s="1073">
        <v>1360</v>
      </c>
      <c r="G40" s="1073">
        <v>0</v>
      </c>
      <c r="H40" s="1073">
        <v>0</v>
      </c>
      <c r="I40" s="1073">
        <v>0</v>
      </c>
      <c r="J40" s="1073">
        <v>1361</v>
      </c>
      <c r="K40" s="1073">
        <v>285</v>
      </c>
      <c r="L40" s="1073">
        <v>19</v>
      </c>
      <c r="M40" s="1073">
        <v>0</v>
      </c>
      <c r="N40" s="1071">
        <v>474</v>
      </c>
      <c r="O40" s="1071">
        <v>0</v>
      </c>
      <c r="P40" s="1071">
        <v>44444</v>
      </c>
      <c r="Q40" s="1071">
        <v>8536</v>
      </c>
      <c r="R40" s="1072">
        <v>52980</v>
      </c>
      <c r="S40" s="1331"/>
      <c r="T40" s="1069" t="s">
        <v>860</v>
      </c>
      <c r="U40" s="1070" t="s">
        <v>863</v>
      </c>
      <c r="V40" s="1073">
        <v>31304</v>
      </c>
      <c r="W40" s="1073">
        <v>8107</v>
      </c>
      <c r="X40" s="1073">
        <v>13284</v>
      </c>
      <c r="Y40" s="1073">
        <v>6318</v>
      </c>
      <c r="Z40" s="1073"/>
      <c r="AA40" s="1073">
        <v>0</v>
      </c>
      <c r="AB40" s="1073"/>
      <c r="AC40" s="1073">
        <v>285</v>
      </c>
      <c r="AD40" s="1073">
        <v>0</v>
      </c>
      <c r="AE40" s="1073"/>
      <c r="AF40" s="1072">
        <v>52980</v>
      </c>
      <c r="AH40" s="1115"/>
    </row>
    <row r="41" spans="1:34" ht="12.75" customHeight="1">
      <c r="A41" s="1331"/>
      <c r="B41" s="1069" t="s">
        <v>860</v>
      </c>
      <c r="C41" s="1070" t="s">
        <v>864</v>
      </c>
      <c r="D41" s="1073">
        <v>5037</v>
      </c>
      <c r="E41" s="1073">
        <v>4797</v>
      </c>
      <c r="F41" s="1073">
        <v>1360</v>
      </c>
      <c r="G41" s="1073">
        <v>0</v>
      </c>
      <c r="H41" s="1073">
        <v>0</v>
      </c>
      <c r="I41" s="1073">
        <v>0</v>
      </c>
      <c r="J41" s="1073">
        <v>1361</v>
      </c>
      <c r="K41" s="1073">
        <v>285</v>
      </c>
      <c r="L41" s="1073">
        <v>19</v>
      </c>
      <c r="M41" s="1073">
        <v>0</v>
      </c>
      <c r="N41" s="1071">
        <v>474</v>
      </c>
      <c r="O41" s="1071">
        <v>0</v>
      </c>
      <c r="P41" s="1071">
        <v>48315</v>
      </c>
      <c r="Q41" s="1071">
        <v>8536</v>
      </c>
      <c r="R41" s="1072">
        <v>56851</v>
      </c>
      <c r="S41" s="1331"/>
      <c r="T41" s="1069" t="s">
        <v>860</v>
      </c>
      <c r="U41" s="1070" t="s">
        <v>864</v>
      </c>
      <c r="V41" s="1073">
        <v>33885</v>
      </c>
      <c r="W41" s="1073">
        <v>8929</v>
      </c>
      <c r="X41" s="1073">
        <v>13752</v>
      </c>
      <c r="Y41" s="1073">
        <v>6318</v>
      </c>
      <c r="Z41" s="1073"/>
      <c r="AA41" s="1073">
        <v>0</v>
      </c>
      <c r="AB41" s="1073"/>
      <c r="AC41" s="1073">
        <v>285</v>
      </c>
      <c r="AD41" s="1073">
        <v>0</v>
      </c>
      <c r="AE41" s="1073"/>
      <c r="AF41" s="1072">
        <v>56851</v>
      </c>
      <c r="AH41" s="1115"/>
    </row>
    <row r="42" spans="1:34" ht="11.25" customHeight="1">
      <c r="A42" s="1331"/>
      <c r="B42" s="1069" t="s">
        <v>860</v>
      </c>
      <c r="C42" s="1070" t="s">
        <v>865</v>
      </c>
      <c r="D42" s="1073">
        <v>5037</v>
      </c>
      <c r="E42" s="1073">
        <v>4797</v>
      </c>
      <c r="F42" s="1073">
        <v>1360</v>
      </c>
      <c r="G42" s="1073">
        <v>0</v>
      </c>
      <c r="H42" s="1073">
        <v>0</v>
      </c>
      <c r="I42" s="1073">
        <v>0</v>
      </c>
      <c r="J42" s="1073">
        <v>1361</v>
      </c>
      <c r="K42" s="1073">
        <v>285</v>
      </c>
      <c r="L42" s="1073">
        <v>19</v>
      </c>
      <c r="M42" s="1073">
        <v>0</v>
      </c>
      <c r="N42" s="1071">
        <v>474</v>
      </c>
      <c r="O42" s="1071">
        <v>0</v>
      </c>
      <c r="P42" s="1071">
        <v>48347</v>
      </c>
      <c r="Q42" s="1071">
        <v>8536</v>
      </c>
      <c r="R42" s="1072">
        <v>56883</v>
      </c>
      <c r="S42" s="1331"/>
      <c r="T42" s="1069" t="s">
        <v>860</v>
      </c>
      <c r="U42" s="1070" t="s">
        <v>865</v>
      </c>
      <c r="V42" s="1073">
        <v>33910</v>
      </c>
      <c r="W42" s="1073">
        <v>8936</v>
      </c>
      <c r="X42" s="1073">
        <v>13752</v>
      </c>
      <c r="Y42" s="1073">
        <v>6318</v>
      </c>
      <c r="Z42" s="1073"/>
      <c r="AA42" s="1073">
        <v>0</v>
      </c>
      <c r="AB42" s="1073"/>
      <c r="AC42" s="1073">
        <v>285</v>
      </c>
      <c r="AD42" s="1073">
        <v>0</v>
      </c>
      <c r="AE42" s="1073"/>
      <c r="AF42" s="1072">
        <v>56883</v>
      </c>
      <c r="AH42" s="1115"/>
    </row>
    <row r="43" spans="1:34" ht="12.75">
      <c r="A43" s="1331" t="s">
        <v>739</v>
      </c>
      <c r="B43" s="1069" t="s">
        <v>860</v>
      </c>
      <c r="C43" s="1070" t="s">
        <v>539</v>
      </c>
      <c r="D43" s="1073">
        <v>1187</v>
      </c>
      <c r="E43" s="1073">
        <v>1136</v>
      </c>
      <c r="F43" s="1073">
        <v>320</v>
      </c>
      <c r="G43" s="1073">
        <v>0</v>
      </c>
      <c r="H43" s="1073">
        <v>0</v>
      </c>
      <c r="I43" s="1073">
        <v>0</v>
      </c>
      <c r="J43" s="1073">
        <v>0</v>
      </c>
      <c r="K43" s="1073">
        <v>0</v>
      </c>
      <c r="L43" s="1073"/>
      <c r="M43" s="1073">
        <v>0</v>
      </c>
      <c r="N43" s="1071">
        <v>0</v>
      </c>
      <c r="O43" s="1071">
        <v>0</v>
      </c>
      <c r="P43" s="1071">
        <v>12216</v>
      </c>
      <c r="Q43" s="1071">
        <v>1507</v>
      </c>
      <c r="R43" s="1072">
        <v>13723</v>
      </c>
      <c r="S43" s="1331" t="s">
        <v>739</v>
      </c>
      <c r="T43" s="1069" t="s">
        <v>860</v>
      </c>
      <c r="U43" s="1070" t="s">
        <v>539</v>
      </c>
      <c r="V43" s="1073">
        <v>7980</v>
      </c>
      <c r="W43" s="1073">
        <v>2151</v>
      </c>
      <c r="X43" s="1073">
        <v>3592</v>
      </c>
      <c r="Y43" s="1073">
        <v>1344</v>
      </c>
      <c r="Z43" s="1073"/>
      <c r="AA43" s="1073">
        <v>0</v>
      </c>
      <c r="AB43" s="1073"/>
      <c r="AC43" s="1073">
        <v>0</v>
      </c>
      <c r="AD43" s="1073">
        <v>0</v>
      </c>
      <c r="AE43" s="1073"/>
      <c r="AF43" s="1072">
        <v>13723</v>
      </c>
      <c r="AH43" s="1115">
        <v>13723</v>
      </c>
    </row>
    <row r="44" spans="1:34" ht="12.75" customHeight="1">
      <c r="A44" s="1331"/>
      <c r="B44" s="1069" t="s">
        <v>860</v>
      </c>
      <c r="C44" s="1070" t="s">
        <v>861</v>
      </c>
      <c r="D44" s="1073">
        <v>1187</v>
      </c>
      <c r="E44" s="1073">
        <v>1136</v>
      </c>
      <c r="F44" s="1073">
        <v>320</v>
      </c>
      <c r="G44" s="1073">
        <v>0</v>
      </c>
      <c r="H44" s="1073">
        <v>0</v>
      </c>
      <c r="I44" s="1073">
        <v>0</v>
      </c>
      <c r="J44" s="1073">
        <v>0</v>
      </c>
      <c r="K44" s="1073">
        <v>0</v>
      </c>
      <c r="L44" s="1073"/>
      <c r="M44" s="1073">
        <v>0</v>
      </c>
      <c r="N44" s="1071">
        <v>0</v>
      </c>
      <c r="O44" s="1071">
        <v>0</v>
      </c>
      <c r="P44" s="1071">
        <v>12216</v>
      </c>
      <c r="Q44" s="1071">
        <v>1507</v>
      </c>
      <c r="R44" s="1072">
        <v>13723</v>
      </c>
      <c r="S44" s="1331"/>
      <c r="T44" s="1069" t="s">
        <v>860</v>
      </c>
      <c r="U44" s="1070" t="s">
        <v>861</v>
      </c>
      <c r="V44" s="1073">
        <v>7980</v>
      </c>
      <c r="W44" s="1073">
        <v>2151</v>
      </c>
      <c r="X44" s="1073">
        <v>3592</v>
      </c>
      <c r="Y44" s="1073">
        <v>1344</v>
      </c>
      <c r="Z44" s="1073"/>
      <c r="AA44" s="1073">
        <v>0</v>
      </c>
      <c r="AB44" s="1073"/>
      <c r="AC44" s="1073">
        <v>0</v>
      </c>
      <c r="AD44" s="1073">
        <v>0</v>
      </c>
      <c r="AE44" s="1073"/>
      <c r="AF44" s="1072">
        <v>13723</v>
      </c>
      <c r="AH44" s="1115">
        <v>13723</v>
      </c>
    </row>
    <row r="45" spans="1:34" ht="12.75" customHeight="1">
      <c r="A45" s="1331"/>
      <c r="B45" s="1069" t="s">
        <v>860</v>
      </c>
      <c r="C45" s="1070" t="s">
        <v>862</v>
      </c>
      <c r="D45" s="1073">
        <v>1187</v>
      </c>
      <c r="E45" s="1073">
        <v>1136</v>
      </c>
      <c r="F45" s="1073">
        <v>320</v>
      </c>
      <c r="G45" s="1073">
        <v>0</v>
      </c>
      <c r="H45" s="1073">
        <v>0</v>
      </c>
      <c r="I45" s="1073">
        <v>0</v>
      </c>
      <c r="J45" s="1073">
        <v>0</v>
      </c>
      <c r="K45" s="1073">
        <v>0</v>
      </c>
      <c r="L45" s="1073"/>
      <c r="M45" s="1073">
        <v>0</v>
      </c>
      <c r="N45" s="1071">
        <v>128</v>
      </c>
      <c r="O45" s="1071">
        <v>0</v>
      </c>
      <c r="P45" s="1071">
        <v>12295</v>
      </c>
      <c r="Q45" s="1071">
        <v>1635</v>
      </c>
      <c r="R45" s="1072">
        <v>13930</v>
      </c>
      <c r="S45" s="1331"/>
      <c r="T45" s="1069" t="s">
        <v>860</v>
      </c>
      <c r="U45" s="1070" t="s">
        <v>862</v>
      </c>
      <c r="V45" s="1073">
        <v>8042</v>
      </c>
      <c r="W45" s="1073">
        <v>2168</v>
      </c>
      <c r="X45" s="1073">
        <v>3720</v>
      </c>
      <c r="Y45" s="1073">
        <v>1344</v>
      </c>
      <c r="Z45" s="1073"/>
      <c r="AA45" s="1073">
        <v>0</v>
      </c>
      <c r="AB45" s="1073"/>
      <c r="AC45" s="1073">
        <v>0</v>
      </c>
      <c r="AD45" s="1073">
        <v>0</v>
      </c>
      <c r="AE45" s="1073"/>
      <c r="AF45" s="1072">
        <v>13930</v>
      </c>
      <c r="AH45" s="1115">
        <v>13723</v>
      </c>
    </row>
    <row r="46" spans="1:34" ht="12.75" customHeight="1">
      <c r="A46" s="1331"/>
      <c r="B46" s="1069" t="s">
        <v>860</v>
      </c>
      <c r="C46" s="1070" t="s">
        <v>863</v>
      </c>
      <c r="D46" s="1073">
        <v>1187</v>
      </c>
      <c r="E46" s="1073">
        <v>1136</v>
      </c>
      <c r="F46" s="1073">
        <v>320</v>
      </c>
      <c r="G46" s="1073">
        <v>0</v>
      </c>
      <c r="H46" s="1073">
        <v>0</v>
      </c>
      <c r="I46" s="1073">
        <v>0</v>
      </c>
      <c r="J46" s="1073">
        <v>0</v>
      </c>
      <c r="K46" s="1073">
        <v>0</v>
      </c>
      <c r="L46" s="1073"/>
      <c r="M46" s="1073">
        <v>0</v>
      </c>
      <c r="N46" s="1071">
        <v>128</v>
      </c>
      <c r="O46" s="1071">
        <v>0</v>
      </c>
      <c r="P46" s="1071">
        <v>12446</v>
      </c>
      <c r="Q46" s="1071">
        <v>1635</v>
      </c>
      <c r="R46" s="1072">
        <v>14081</v>
      </c>
      <c r="S46" s="1331"/>
      <c r="T46" s="1069" t="s">
        <v>860</v>
      </c>
      <c r="U46" s="1070" t="s">
        <v>863</v>
      </c>
      <c r="V46" s="1073">
        <v>8105</v>
      </c>
      <c r="W46" s="1073">
        <v>2186</v>
      </c>
      <c r="X46" s="1073">
        <v>3790</v>
      </c>
      <c r="Y46" s="1073">
        <v>1344</v>
      </c>
      <c r="Z46" s="1073"/>
      <c r="AA46" s="1073">
        <v>0</v>
      </c>
      <c r="AB46" s="1073"/>
      <c r="AC46" s="1073">
        <v>0</v>
      </c>
      <c r="AD46" s="1073">
        <v>0</v>
      </c>
      <c r="AE46" s="1073"/>
      <c r="AF46" s="1072">
        <v>14081</v>
      </c>
      <c r="AH46" s="1115"/>
    </row>
    <row r="47" spans="1:34" ht="12.75" customHeight="1">
      <c r="A47" s="1331"/>
      <c r="B47" s="1069" t="s">
        <v>860</v>
      </c>
      <c r="C47" s="1070" t="s">
        <v>864</v>
      </c>
      <c r="D47" s="1073">
        <v>1187</v>
      </c>
      <c r="E47" s="1073">
        <v>1136</v>
      </c>
      <c r="F47" s="1073">
        <v>320</v>
      </c>
      <c r="G47" s="1073">
        <v>0</v>
      </c>
      <c r="H47" s="1073">
        <v>0</v>
      </c>
      <c r="I47" s="1073">
        <v>0</v>
      </c>
      <c r="J47" s="1073">
        <v>0</v>
      </c>
      <c r="K47" s="1073">
        <v>0</v>
      </c>
      <c r="L47" s="1073"/>
      <c r="M47" s="1073">
        <v>0</v>
      </c>
      <c r="N47" s="1071">
        <v>128</v>
      </c>
      <c r="O47" s="1071">
        <v>0</v>
      </c>
      <c r="P47" s="1071">
        <v>13154</v>
      </c>
      <c r="Q47" s="1071">
        <v>1635</v>
      </c>
      <c r="R47" s="1072">
        <v>14789</v>
      </c>
      <c r="S47" s="1331"/>
      <c r="T47" s="1069" t="s">
        <v>860</v>
      </c>
      <c r="U47" s="1070" t="s">
        <v>864</v>
      </c>
      <c r="V47" s="1073">
        <v>8662</v>
      </c>
      <c r="W47" s="1073">
        <v>2337</v>
      </c>
      <c r="X47" s="1073">
        <v>3790</v>
      </c>
      <c r="Y47" s="1073">
        <v>1344</v>
      </c>
      <c r="Z47" s="1073"/>
      <c r="AA47" s="1073">
        <v>0</v>
      </c>
      <c r="AB47" s="1073"/>
      <c r="AC47" s="1073">
        <v>0</v>
      </c>
      <c r="AD47" s="1073">
        <v>0</v>
      </c>
      <c r="AE47" s="1073"/>
      <c r="AF47" s="1072">
        <v>14789</v>
      </c>
      <c r="AH47" s="1115"/>
    </row>
    <row r="48" spans="1:34" ht="12.75" customHeight="1">
      <c r="A48" s="1331"/>
      <c r="B48" s="1069" t="s">
        <v>860</v>
      </c>
      <c r="C48" s="1070" t="s">
        <v>865</v>
      </c>
      <c r="D48" s="1073">
        <v>1187</v>
      </c>
      <c r="E48" s="1073">
        <v>1136</v>
      </c>
      <c r="F48" s="1073">
        <v>320</v>
      </c>
      <c r="G48" s="1073">
        <v>0</v>
      </c>
      <c r="H48" s="1073">
        <v>0</v>
      </c>
      <c r="I48" s="1073">
        <v>0</v>
      </c>
      <c r="J48" s="1073">
        <v>0</v>
      </c>
      <c r="K48" s="1073">
        <v>0</v>
      </c>
      <c r="L48" s="1073"/>
      <c r="M48" s="1073">
        <v>0</v>
      </c>
      <c r="N48" s="1071">
        <v>128</v>
      </c>
      <c r="O48" s="1071">
        <v>0</v>
      </c>
      <c r="P48" s="1071">
        <v>13262</v>
      </c>
      <c r="Q48" s="1071">
        <v>1635</v>
      </c>
      <c r="R48" s="1072">
        <v>14897</v>
      </c>
      <c r="S48" s="1331"/>
      <c r="T48" s="1069" t="s">
        <v>860</v>
      </c>
      <c r="U48" s="1070" t="s">
        <v>865</v>
      </c>
      <c r="V48" s="1073">
        <v>8734</v>
      </c>
      <c r="W48" s="1073">
        <v>2373</v>
      </c>
      <c r="X48" s="1073">
        <v>3790</v>
      </c>
      <c r="Y48" s="1073">
        <v>1344</v>
      </c>
      <c r="Z48" s="1073"/>
      <c r="AA48" s="1073">
        <v>0</v>
      </c>
      <c r="AB48" s="1073"/>
      <c r="AC48" s="1073">
        <v>0</v>
      </c>
      <c r="AD48" s="1073">
        <v>0</v>
      </c>
      <c r="AE48" s="1073"/>
      <c r="AF48" s="1072">
        <v>14897</v>
      </c>
      <c r="AH48" s="1115"/>
    </row>
    <row r="49" spans="1:34" ht="12.75">
      <c r="A49" s="1331" t="s">
        <v>867</v>
      </c>
      <c r="B49" s="1069" t="s">
        <v>860</v>
      </c>
      <c r="C49" s="1070" t="s">
        <v>539</v>
      </c>
      <c r="D49" s="1073">
        <v>7597</v>
      </c>
      <c r="E49" s="1073">
        <v>4337</v>
      </c>
      <c r="F49" s="1073">
        <v>1511</v>
      </c>
      <c r="G49" s="1073">
        <v>0</v>
      </c>
      <c r="H49" s="1073">
        <v>0</v>
      </c>
      <c r="I49" s="1073">
        <v>0</v>
      </c>
      <c r="J49" s="1073">
        <v>0</v>
      </c>
      <c r="K49" s="1073">
        <v>0</v>
      </c>
      <c r="L49" s="1073">
        <v>0</v>
      </c>
      <c r="M49" s="1073">
        <v>0</v>
      </c>
      <c r="N49" s="1071">
        <v>0</v>
      </c>
      <c r="O49" s="1071">
        <v>0</v>
      </c>
      <c r="P49" s="1071">
        <v>73196</v>
      </c>
      <c r="Q49" s="1071">
        <v>9108</v>
      </c>
      <c r="R49" s="1072">
        <v>82304</v>
      </c>
      <c r="S49" s="1331" t="s">
        <v>867</v>
      </c>
      <c r="T49" s="1069" t="s">
        <v>860</v>
      </c>
      <c r="U49" s="1070" t="s">
        <v>539</v>
      </c>
      <c r="V49" s="1073">
        <v>48424</v>
      </c>
      <c r="W49" s="1073">
        <v>12831</v>
      </c>
      <c r="X49" s="1073">
        <v>21049</v>
      </c>
      <c r="Y49" s="1073">
        <v>5504</v>
      </c>
      <c r="Z49" s="1073"/>
      <c r="AA49" s="1073">
        <v>0</v>
      </c>
      <c r="AB49" s="1073"/>
      <c r="AC49" s="1073">
        <v>0</v>
      </c>
      <c r="AD49" s="1073">
        <v>0</v>
      </c>
      <c r="AE49" s="1073"/>
      <c r="AF49" s="1072">
        <v>82304</v>
      </c>
      <c r="AH49" s="1115">
        <v>82304</v>
      </c>
    </row>
    <row r="50" spans="1:34" ht="12.75" customHeight="1">
      <c r="A50" s="1331"/>
      <c r="B50" s="1069" t="s">
        <v>860</v>
      </c>
      <c r="C50" s="1070" t="s">
        <v>861</v>
      </c>
      <c r="D50" s="1073">
        <v>7597</v>
      </c>
      <c r="E50" s="1073">
        <v>4337</v>
      </c>
      <c r="F50" s="1073">
        <v>1511</v>
      </c>
      <c r="G50" s="1073">
        <v>0</v>
      </c>
      <c r="H50" s="1073">
        <v>0</v>
      </c>
      <c r="I50" s="1073">
        <v>0</v>
      </c>
      <c r="J50" s="1073">
        <v>0</v>
      </c>
      <c r="K50" s="1073">
        <v>0</v>
      </c>
      <c r="L50" s="1073"/>
      <c r="M50" s="1073">
        <v>0</v>
      </c>
      <c r="N50" s="1071">
        <v>0</v>
      </c>
      <c r="O50" s="1071">
        <v>0</v>
      </c>
      <c r="P50" s="1071">
        <v>73196</v>
      </c>
      <c r="Q50" s="1071">
        <v>9108</v>
      </c>
      <c r="R50" s="1072">
        <v>82304</v>
      </c>
      <c r="S50" s="1331"/>
      <c r="T50" s="1069" t="s">
        <v>860</v>
      </c>
      <c r="U50" s="1070" t="s">
        <v>861</v>
      </c>
      <c r="V50" s="1073">
        <v>48424</v>
      </c>
      <c r="W50" s="1073">
        <v>12831</v>
      </c>
      <c r="X50" s="1073">
        <v>21049</v>
      </c>
      <c r="Y50" s="1073">
        <v>5504</v>
      </c>
      <c r="Z50" s="1073"/>
      <c r="AA50" s="1073">
        <v>0</v>
      </c>
      <c r="AB50" s="1073"/>
      <c r="AC50" s="1073">
        <v>0</v>
      </c>
      <c r="AD50" s="1073">
        <v>0</v>
      </c>
      <c r="AE50" s="1073"/>
      <c r="AF50" s="1072">
        <v>82304</v>
      </c>
      <c r="AH50" s="1115">
        <v>82304</v>
      </c>
    </row>
    <row r="51" spans="1:34" ht="12.75" customHeight="1">
      <c r="A51" s="1331"/>
      <c r="B51" s="1069" t="s">
        <v>860</v>
      </c>
      <c r="C51" s="1070" t="s">
        <v>862</v>
      </c>
      <c r="D51" s="1073">
        <v>7597</v>
      </c>
      <c r="E51" s="1073">
        <v>4337</v>
      </c>
      <c r="F51" s="1073">
        <v>1511</v>
      </c>
      <c r="G51" s="1073">
        <v>0</v>
      </c>
      <c r="H51" s="1073">
        <v>0</v>
      </c>
      <c r="I51" s="1073">
        <v>0</v>
      </c>
      <c r="J51" s="1073">
        <v>0</v>
      </c>
      <c r="K51" s="1073">
        <v>0</v>
      </c>
      <c r="L51" s="1073">
        <v>1283</v>
      </c>
      <c r="M51" s="1073">
        <v>0</v>
      </c>
      <c r="N51" s="1071">
        <v>217</v>
      </c>
      <c r="O51" s="1071">
        <v>0</v>
      </c>
      <c r="P51" s="1071">
        <v>73985</v>
      </c>
      <c r="Q51" s="1071">
        <v>10608</v>
      </c>
      <c r="R51" s="1072">
        <v>84593</v>
      </c>
      <c r="S51" s="1331"/>
      <c r="T51" s="1069" t="s">
        <v>860</v>
      </c>
      <c r="U51" s="1070" t="s">
        <v>862</v>
      </c>
      <c r="V51" s="1073">
        <v>48977</v>
      </c>
      <c r="W51" s="1073">
        <v>12974</v>
      </c>
      <c r="X51" s="1073">
        <v>22642</v>
      </c>
      <c r="Y51" s="1073">
        <v>5504</v>
      </c>
      <c r="Z51" s="1073"/>
      <c r="AA51" s="1073">
        <v>0</v>
      </c>
      <c r="AB51" s="1073"/>
      <c r="AC51" s="1073">
        <v>0</v>
      </c>
      <c r="AD51" s="1073">
        <v>0</v>
      </c>
      <c r="AE51" s="1073"/>
      <c r="AF51" s="1075">
        <v>84593</v>
      </c>
      <c r="AH51" s="1115">
        <v>82304</v>
      </c>
    </row>
    <row r="52" spans="1:34" ht="12" customHeight="1">
      <c r="A52" s="1331"/>
      <c r="B52" s="1069" t="s">
        <v>860</v>
      </c>
      <c r="C52" s="1070" t="s">
        <v>863</v>
      </c>
      <c r="D52" s="1073">
        <v>9097</v>
      </c>
      <c r="E52" s="1073">
        <v>4337</v>
      </c>
      <c r="F52" s="1073">
        <v>1511</v>
      </c>
      <c r="G52" s="1073">
        <v>0</v>
      </c>
      <c r="H52" s="1073">
        <v>4</v>
      </c>
      <c r="I52" s="1073">
        <v>0</v>
      </c>
      <c r="J52" s="1073">
        <v>0</v>
      </c>
      <c r="K52" s="1073">
        <v>0</v>
      </c>
      <c r="L52" s="1073">
        <v>1283</v>
      </c>
      <c r="M52" s="1073">
        <v>0</v>
      </c>
      <c r="N52" s="1071">
        <v>217</v>
      </c>
      <c r="O52" s="1071">
        <v>0</v>
      </c>
      <c r="P52" s="1071">
        <v>74785</v>
      </c>
      <c r="Q52" s="1071">
        <v>12112</v>
      </c>
      <c r="R52" s="1072">
        <v>86897</v>
      </c>
      <c r="S52" s="1331"/>
      <c r="T52" s="1069" t="s">
        <v>860</v>
      </c>
      <c r="U52" s="1070" t="s">
        <v>863</v>
      </c>
      <c r="V52" s="1073">
        <v>49607</v>
      </c>
      <c r="W52" s="1073">
        <v>13144</v>
      </c>
      <c r="X52" s="1073">
        <v>22646</v>
      </c>
      <c r="Y52" s="1073">
        <v>5504</v>
      </c>
      <c r="Z52" s="1073"/>
      <c r="AA52" s="1073">
        <v>0</v>
      </c>
      <c r="AB52" s="1073"/>
      <c r="AC52" s="1073">
        <v>880</v>
      </c>
      <c r="AD52" s="1073">
        <v>620</v>
      </c>
      <c r="AE52" s="1073"/>
      <c r="AF52" s="1075">
        <v>86897</v>
      </c>
      <c r="AH52" s="1115"/>
    </row>
    <row r="53" spans="1:34" ht="12.75" customHeight="1">
      <c r="A53" s="1331"/>
      <c r="B53" s="1069" t="s">
        <v>860</v>
      </c>
      <c r="C53" s="1070" t="s">
        <v>864</v>
      </c>
      <c r="D53" s="1073">
        <v>16001</v>
      </c>
      <c r="E53" s="1073">
        <v>4337</v>
      </c>
      <c r="F53" s="1073">
        <v>3052</v>
      </c>
      <c r="G53" s="1073">
        <v>0</v>
      </c>
      <c r="H53" s="1073">
        <v>4</v>
      </c>
      <c r="I53" s="1073">
        <v>0</v>
      </c>
      <c r="J53" s="1073">
        <v>0</v>
      </c>
      <c r="K53" s="1073">
        <v>0</v>
      </c>
      <c r="L53" s="1073">
        <v>1283</v>
      </c>
      <c r="M53" s="1073">
        <v>0</v>
      </c>
      <c r="N53" s="1071">
        <v>217</v>
      </c>
      <c r="O53" s="1071">
        <v>0</v>
      </c>
      <c r="P53" s="1071">
        <v>76102</v>
      </c>
      <c r="Q53" s="1071">
        <v>20557</v>
      </c>
      <c r="R53" s="1072">
        <v>96659</v>
      </c>
      <c r="S53" s="1331"/>
      <c r="T53" s="1069" t="s">
        <v>860</v>
      </c>
      <c r="U53" s="1070" t="s">
        <v>864</v>
      </c>
      <c r="V53" s="1073">
        <v>50644</v>
      </c>
      <c r="W53" s="1073">
        <v>13424</v>
      </c>
      <c r="X53" s="1073">
        <v>32591</v>
      </c>
      <c r="Y53" s="1073">
        <v>5504</v>
      </c>
      <c r="Z53" s="1073"/>
      <c r="AA53" s="1073">
        <v>0</v>
      </c>
      <c r="AB53" s="1073"/>
      <c r="AC53" s="1073">
        <v>0</v>
      </c>
      <c r="AD53" s="1073">
        <v>0</v>
      </c>
      <c r="AE53" s="1073"/>
      <c r="AF53" s="1075">
        <v>96659</v>
      </c>
      <c r="AH53" s="1115"/>
    </row>
    <row r="54" spans="1:34" ht="12.75" customHeight="1">
      <c r="A54" s="1331"/>
      <c r="B54" s="1069" t="s">
        <v>860</v>
      </c>
      <c r="C54" s="1070" t="s">
        <v>865</v>
      </c>
      <c r="D54" s="1073">
        <v>18946</v>
      </c>
      <c r="E54" s="1073">
        <v>4337</v>
      </c>
      <c r="F54" s="1073">
        <v>3422</v>
      </c>
      <c r="G54" s="1073">
        <v>0</v>
      </c>
      <c r="H54" s="1073">
        <v>4</v>
      </c>
      <c r="I54" s="1073">
        <v>0</v>
      </c>
      <c r="J54" s="1073">
        <v>49</v>
      </c>
      <c r="K54" s="1073">
        <v>0</v>
      </c>
      <c r="L54" s="1073">
        <v>1283</v>
      </c>
      <c r="M54" s="1073">
        <v>0</v>
      </c>
      <c r="N54" s="1071">
        <v>217</v>
      </c>
      <c r="O54" s="1071">
        <v>0</v>
      </c>
      <c r="P54" s="1071">
        <v>76359</v>
      </c>
      <c r="Q54" s="1071">
        <v>23921</v>
      </c>
      <c r="R54" s="1072">
        <v>100280</v>
      </c>
      <c r="S54" s="1331"/>
      <c r="T54" s="1069" t="s">
        <v>860</v>
      </c>
      <c r="U54" s="1070" t="s">
        <v>865</v>
      </c>
      <c r="V54" s="1073">
        <v>50885</v>
      </c>
      <c r="W54" s="1073">
        <v>13489</v>
      </c>
      <c r="X54" s="1073">
        <v>35906</v>
      </c>
      <c r="Y54" s="1073">
        <v>5504</v>
      </c>
      <c r="Z54" s="1073"/>
      <c r="AA54" s="1073">
        <v>0</v>
      </c>
      <c r="AB54" s="1073"/>
      <c r="AC54" s="1073">
        <v>0</v>
      </c>
      <c r="AD54" s="1073">
        <v>0</v>
      </c>
      <c r="AE54" s="1073"/>
      <c r="AF54" s="1075">
        <v>100280</v>
      </c>
      <c r="AH54" s="1115"/>
    </row>
    <row r="55" spans="1:34" ht="12.75" customHeight="1">
      <c r="A55" s="1331" t="s">
        <v>868</v>
      </c>
      <c r="B55" s="1069" t="s">
        <v>860</v>
      </c>
      <c r="C55" s="1070" t="s">
        <v>539</v>
      </c>
      <c r="D55" s="1073">
        <v>15620</v>
      </c>
      <c r="E55" s="1073">
        <v>12242</v>
      </c>
      <c r="F55" s="1073">
        <v>4019</v>
      </c>
      <c r="G55" s="1073">
        <v>0</v>
      </c>
      <c r="H55" s="1073">
        <v>1240</v>
      </c>
      <c r="I55" s="1073">
        <v>0</v>
      </c>
      <c r="J55" s="1073">
        <v>0</v>
      </c>
      <c r="K55" s="1073">
        <v>0</v>
      </c>
      <c r="L55" s="1073"/>
      <c r="M55" s="1073">
        <v>0</v>
      </c>
      <c r="N55" s="1071">
        <v>0</v>
      </c>
      <c r="O55" s="1071">
        <v>0</v>
      </c>
      <c r="P55" s="1071">
        <v>67668</v>
      </c>
      <c r="Q55" s="1071">
        <v>20879</v>
      </c>
      <c r="R55" s="1072">
        <v>88547</v>
      </c>
      <c r="S55" s="1331" t="s">
        <v>868</v>
      </c>
      <c r="T55" s="1069" t="s">
        <v>860</v>
      </c>
      <c r="U55" s="1070" t="s">
        <v>539</v>
      </c>
      <c r="V55" s="1073">
        <v>1320</v>
      </c>
      <c r="W55" s="1073">
        <v>315</v>
      </c>
      <c r="X55" s="1073">
        <v>81912</v>
      </c>
      <c r="Y55" s="1073">
        <v>38035</v>
      </c>
      <c r="Z55" s="1073"/>
      <c r="AA55" s="1073">
        <v>0</v>
      </c>
      <c r="AB55" s="1073"/>
      <c r="AC55" s="1073">
        <v>0</v>
      </c>
      <c r="AD55" s="1073">
        <v>5000</v>
      </c>
      <c r="AE55" s="1073"/>
      <c r="AF55" s="1075">
        <v>88547</v>
      </c>
      <c r="AH55" s="1115">
        <v>88547</v>
      </c>
    </row>
    <row r="56" spans="1:34" ht="12.75" customHeight="1">
      <c r="A56" s="1331"/>
      <c r="B56" s="1069" t="s">
        <v>860</v>
      </c>
      <c r="C56" s="1070" t="s">
        <v>861</v>
      </c>
      <c r="D56" s="1073">
        <v>15620</v>
      </c>
      <c r="E56" s="1073">
        <v>12242</v>
      </c>
      <c r="F56" s="1073">
        <v>4019</v>
      </c>
      <c r="G56" s="1073">
        <v>0</v>
      </c>
      <c r="H56" s="1073">
        <v>1240</v>
      </c>
      <c r="I56" s="1073">
        <v>0</v>
      </c>
      <c r="J56" s="1073">
        <v>0</v>
      </c>
      <c r="K56" s="1073">
        <v>0</v>
      </c>
      <c r="L56" s="1073"/>
      <c r="M56" s="1073">
        <v>0</v>
      </c>
      <c r="N56" s="1071">
        <v>0</v>
      </c>
      <c r="O56" s="1071">
        <v>0</v>
      </c>
      <c r="P56" s="1071">
        <v>67668</v>
      </c>
      <c r="Q56" s="1071">
        <v>20879</v>
      </c>
      <c r="R56" s="1072">
        <v>88547</v>
      </c>
      <c r="S56" s="1331"/>
      <c r="T56" s="1069" t="s">
        <v>860</v>
      </c>
      <c r="U56" s="1070" t="s">
        <v>861</v>
      </c>
      <c r="V56" s="1073">
        <v>1320</v>
      </c>
      <c r="W56" s="1073">
        <v>315</v>
      </c>
      <c r="X56" s="1073">
        <v>81912</v>
      </c>
      <c r="Y56" s="1073">
        <v>38035</v>
      </c>
      <c r="Z56" s="1073"/>
      <c r="AA56" s="1073">
        <v>0</v>
      </c>
      <c r="AB56" s="1073"/>
      <c r="AC56" s="1073">
        <v>0</v>
      </c>
      <c r="AD56" s="1073">
        <v>5000</v>
      </c>
      <c r="AE56" s="1073"/>
      <c r="AF56" s="1075">
        <v>88547</v>
      </c>
      <c r="AH56" s="1115">
        <v>88547</v>
      </c>
    </row>
    <row r="57" spans="1:34" ht="12.75" customHeight="1">
      <c r="A57" s="1331"/>
      <c r="B57" s="1069" t="s">
        <v>860</v>
      </c>
      <c r="C57" s="1070" t="s">
        <v>862</v>
      </c>
      <c r="D57" s="1073">
        <v>15620</v>
      </c>
      <c r="E57" s="1073">
        <v>12242</v>
      </c>
      <c r="F57" s="1073">
        <v>4019</v>
      </c>
      <c r="G57" s="1073">
        <v>0</v>
      </c>
      <c r="H57" s="1073">
        <v>1240</v>
      </c>
      <c r="I57" s="1073">
        <v>0</v>
      </c>
      <c r="J57" s="1073">
        <v>0</v>
      </c>
      <c r="K57" s="1073">
        <v>0</v>
      </c>
      <c r="L57" s="1073">
        <v>3012</v>
      </c>
      <c r="M57" s="1073">
        <v>0</v>
      </c>
      <c r="N57" s="1071">
        <v>111</v>
      </c>
      <c r="O57" s="1071">
        <v>0</v>
      </c>
      <c r="P57" s="1071">
        <v>68068</v>
      </c>
      <c r="Q57" s="1071">
        <v>24002</v>
      </c>
      <c r="R57" s="1072">
        <v>92070</v>
      </c>
      <c r="S57" s="1331"/>
      <c r="T57" s="1069" t="s">
        <v>860</v>
      </c>
      <c r="U57" s="1070" t="s">
        <v>862</v>
      </c>
      <c r="V57" s="1073">
        <v>1832</v>
      </c>
      <c r="W57" s="1073">
        <v>460</v>
      </c>
      <c r="X57" s="1073">
        <v>84778</v>
      </c>
      <c r="Y57" s="1073">
        <v>38035</v>
      </c>
      <c r="Z57" s="1073"/>
      <c r="AA57" s="1073">
        <v>0</v>
      </c>
      <c r="AB57" s="1073"/>
      <c r="AC57" s="1073">
        <v>0</v>
      </c>
      <c r="AD57" s="1073">
        <v>5000</v>
      </c>
      <c r="AE57" s="1073"/>
      <c r="AF57" s="1075">
        <v>92070</v>
      </c>
      <c r="AH57" s="1115">
        <v>88547</v>
      </c>
    </row>
    <row r="58" spans="1:34" ht="12.75" customHeight="1">
      <c r="A58" s="1331"/>
      <c r="B58" s="1069" t="s">
        <v>860</v>
      </c>
      <c r="C58" s="1070" t="s">
        <v>863</v>
      </c>
      <c r="D58" s="1073">
        <v>15620</v>
      </c>
      <c r="E58" s="1073">
        <v>12242</v>
      </c>
      <c r="F58" s="1073">
        <v>4019</v>
      </c>
      <c r="G58" s="1073">
        <v>0</v>
      </c>
      <c r="H58" s="1073">
        <v>1240</v>
      </c>
      <c r="I58" s="1073">
        <v>0</v>
      </c>
      <c r="J58" s="1073">
        <v>0</v>
      </c>
      <c r="K58" s="1073">
        <v>0</v>
      </c>
      <c r="L58" s="1073">
        <v>3012</v>
      </c>
      <c r="M58" s="1073">
        <v>0</v>
      </c>
      <c r="N58" s="1071">
        <v>111</v>
      </c>
      <c r="O58" s="1071">
        <v>0</v>
      </c>
      <c r="P58" s="1071">
        <v>65512</v>
      </c>
      <c r="Q58" s="1071">
        <v>24002</v>
      </c>
      <c r="R58" s="1072">
        <v>89514</v>
      </c>
      <c r="S58" s="1331"/>
      <c r="T58" s="1069" t="s">
        <v>860</v>
      </c>
      <c r="U58" s="1070" t="s">
        <v>863</v>
      </c>
      <c r="V58" s="1073">
        <v>1562</v>
      </c>
      <c r="W58" s="1073">
        <v>374</v>
      </c>
      <c r="X58" s="1073">
        <v>82578</v>
      </c>
      <c r="Y58" s="1073">
        <v>38035</v>
      </c>
      <c r="Z58" s="1073"/>
      <c r="AA58" s="1073">
        <v>0</v>
      </c>
      <c r="AB58" s="1073"/>
      <c r="AC58" s="1073">
        <v>0</v>
      </c>
      <c r="AD58" s="1073">
        <v>5000</v>
      </c>
      <c r="AE58" s="1073"/>
      <c r="AF58" s="1075">
        <v>89514</v>
      </c>
      <c r="AH58" s="1115"/>
    </row>
    <row r="59" spans="1:34" ht="11.25" customHeight="1">
      <c r="A59" s="1331"/>
      <c r="B59" s="1069" t="s">
        <v>860</v>
      </c>
      <c r="C59" s="1070" t="s">
        <v>864</v>
      </c>
      <c r="D59" s="1073">
        <v>15620</v>
      </c>
      <c r="E59" s="1073">
        <v>12242</v>
      </c>
      <c r="F59" s="1073">
        <v>4019</v>
      </c>
      <c r="G59" s="1073">
        <v>0</v>
      </c>
      <c r="H59" s="1073">
        <v>959</v>
      </c>
      <c r="I59" s="1073">
        <v>0</v>
      </c>
      <c r="J59" s="1073">
        <v>0</v>
      </c>
      <c r="K59" s="1073">
        <v>0</v>
      </c>
      <c r="L59" s="1073">
        <v>3012</v>
      </c>
      <c r="M59" s="1073">
        <v>0</v>
      </c>
      <c r="N59" s="1071">
        <v>111</v>
      </c>
      <c r="O59" s="1071">
        <v>0</v>
      </c>
      <c r="P59" s="1071">
        <v>67412</v>
      </c>
      <c r="Q59" s="1071">
        <v>23721</v>
      </c>
      <c r="R59" s="1072">
        <v>91133</v>
      </c>
      <c r="S59" s="1331"/>
      <c r="T59" s="1069" t="s">
        <v>860</v>
      </c>
      <c r="U59" s="1070" t="s">
        <v>864</v>
      </c>
      <c r="V59" s="1073">
        <v>1562</v>
      </c>
      <c r="W59" s="1073">
        <v>374</v>
      </c>
      <c r="X59" s="1073">
        <v>84197</v>
      </c>
      <c r="Y59" s="1073">
        <v>38035</v>
      </c>
      <c r="Z59" s="1073"/>
      <c r="AA59" s="1073">
        <v>0</v>
      </c>
      <c r="AB59" s="1073"/>
      <c r="AC59" s="1073">
        <v>0</v>
      </c>
      <c r="AD59" s="1073">
        <v>5000</v>
      </c>
      <c r="AE59" s="1073"/>
      <c r="AF59" s="1075">
        <v>91133</v>
      </c>
      <c r="AH59" s="1115"/>
    </row>
    <row r="60" spans="1:34" ht="12" customHeight="1">
      <c r="A60" s="1331"/>
      <c r="B60" s="1069" t="s">
        <v>860</v>
      </c>
      <c r="C60" s="1070" t="s">
        <v>865</v>
      </c>
      <c r="D60" s="1073">
        <v>15620</v>
      </c>
      <c r="E60" s="1073">
        <v>12242</v>
      </c>
      <c r="F60" s="1073">
        <v>4019</v>
      </c>
      <c r="G60" s="1073">
        <v>0</v>
      </c>
      <c r="H60" s="1073">
        <v>959</v>
      </c>
      <c r="I60" s="1073">
        <v>0</v>
      </c>
      <c r="J60" s="1073">
        <v>0</v>
      </c>
      <c r="K60" s="1073">
        <v>0</v>
      </c>
      <c r="L60" s="1073">
        <v>3012</v>
      </c>
      <c r="M60" s="1073">
        <v>0</v>
      </c>
      <c r="N60" s="1071">
        <v>111</v>
      </c>
      <c r="O60" s="1071">
        <v>0</v>
      </c>
      <c r="P60" s="1071">
        <v>67067</v>
      </c>
      <c r="Q60" s="1071">
        <v>23721</v>
      </c>
      <c r="R60" s="1072">
        <v>90788</v>
      </c>
      <c r="S60" s="1331"/>
      <c r="T60" s="1069" t="s">
        <v>860</v>
      </c>
      <c r="U60" s="1070" t="s">
        <v>865</v>
      </c>
      <c r="V60" s="1073">
        <v>1562</v>
      </c>
      <c r="W60" s="1073">
        <v>374</v>
      </c>
      <c r="X60" s="1073">
        <v>82789</v>
      </c>
      <c r="Y60" s="1073">
        <v>38035</v>
      </c>
      <c r="Z60" s="1073"/>
      <c r="AA60" s="1073">
        <v>0</v>
      </c>
      <c r="AB60" s="1073"/>
      <c r="AC60" s="1073">
        <v>0</v>
      </c>
      <c r="AD60" s="1073">
        <v>6063</v>
      </c>
      <c r="AE60" s="1073"/>
      <c r="AF60" s="1075">
        <v>90788</v>
      </c>
      <c r="AH60" s="1115"/>
    </row>
    <row r="61" spans="1:34" ht="12" customHeight="1">
      <c r="A61" s="1331" t="s">
        <v>869</v>
      </c>
      <c r="B61" s="1069" t="s">
        <v>860</v>
      </c>
      <c r="C61" s="1070" t="s">
        <v>539</v>
      </c>
      <c r="D61" s="1073">
        <v>0</v>
      </c>
      <c r="E61" s="1073">
        <v>0</v>
      </c>
      <c r="F61" s="1073">
        <v>0</v>
      </c>
      <c r="G61" s="1073">
        <v>0</v>
      </c>
      <c r="H61" s="1073">
        <v>0</v>
      </c>
      <c r="I61" s="1073">
        <v>0</v>
      </c>
      <c r="J61" s="1073">
        <v>0</v>
      </c>
      <c r="K61" s="1073">
        <v>0</v>
      </c>
      <c r="L61" s="1073"/>
      <c r="M61" s="1073">
        <v>0</v>
      </c>
      <c r="N61" s="1071">
        <v>0</v>
      </c>
      <c r="O61" s="1071">
        <v>0</v>
      </c>
      <c r="P61" s="1071">
        <v>2220</v>
      </c>
      <c r="Q61" s="1071">
        <v>0</v>
      </c>
      <c r="R61" s="1072">
        <v>2220</v>
      </c>
      <c r="S61" s="1331" t="s">
        <v>869</v>
      </c>
      <c r="T61" s="1069" t="s">
        <v>860</v>
      </c>
      <c r="U61" s="1070" t="s">
        <v>539</v>
      </c>
      <c r="V61" s="1073">
        <v>0</v>
      </c>
      <c r="W61" s="1073">
        <v>0</v>
      </c>
      <c r="X61" s="1073">
        <v>2220</v>
      </c>
      <c r="Y61" s="1073">
        <v>0</v>
      </c>
      <c r="Z61" s="1073"/>
      <c r="AA61" s="1073">
        <v>0</v>
      </c>
      <c r="AB61" s="1073"/>
      <c r="AC61" s="1073">
        <v>0</v>
      </c>
      <c r="AD61" s="1073">
        <v>0</v>
      </c>
      <c r="AE61" s="1073"/>
      <c r="AF61" s="1075">
        <v>2220</v>
      </c>
      <c r="AH61" s="1115">
        <v>2220</v>
      </c>
    </row>
    <row r="62" spans="1:34" ht="12" customHeight="1">
      <c r="A62" s="1331"/>
      <c r="B62" s="1069" t="s">
        <v>860</v>
      </c>
      <c r="C62" s="1070" t="s">
        <v>861</v>
      </c>
      <c r="D62" s="1073">
        <v>0</v>
      </c>
      <c r="E62" s="1073">
        <v>0</v>
      </c>
      <c r="F62" s="1073">
        <v>0</v>
      </c>
      <c r="G62" s="1073">
        <v>0</v>
      </c>
      <c r="H62" s="1073">
        <v>0</v>
      </c>
      <c r="I62" s="1073">
        <v>0</v>
      </c>
      <c r="J62" s="1073">
        <v>0</v>
      </c>
      <c r="K62" s="1073">
        <v>0</v>
      </c>
      <c r="L62" s="1073"/>
      <c r="M62" s="1073">
        <v>0</v>
      </c>
      <c r="N62" s="1071">
        <v>0</v>
      </c>
      <c r="O62" s="1071">
        <v>0</v>
      </c>
      <c r="P62" s="1071">
        <v>2220</v>
      </c>
      <c r="Q62" s="1071">
        <v>0</v>
      </c>
      <c r="R62" s="1072">
        <v>2220</v>
      </c>
      <c r="S62" s="1331"/>
      <c r="T62" s="1069" t="s">
        <v>860</v>
      </c>
      <c r="U62" s="1070" t="s">
        <v>861</v>
      </c>
      <c r="V62" s="1073">
        <v>0</v>
      </c>
      <c r="W62" s="1073">
        <v>0</v>
      </c>
      <c r="X62" s="1073">
        <v>2220</v>
      </c>
      <c r="Y62" s="1073">
        <v>0</v>
      </c>
      <c r="Z62" s="1073"/>
      <c r="AA62" s="1073">
        <v>0</v>
      </c>
      <c r="AB62" s="1073"/>
      <c r="AC62" s="1073">
        <v>0</v>
      </c>
      <c r="AD62" s="1073">
        <v>0</v>
      </c>
      <c r="AE62" s="1073"/>
      <c r="AF62" s="1075">
        <v>2220</v>
      </c>
      <c r="AH62" s="1115">
        <v>2220</v>
      </c>
    </row>
    <row r="63" spans="1:34" ht="12" customHeight="1">
      <c r="A63" s="1331"/>
      <c r="B63" s="1069" t="s">
        <v>860</v>
      </c>
      <c r="C63" s="1070" t="s">
        <v>862</v>
      </c>
      <c r="D63" s="1073">
        <v>0</v>
      </c>
      <c r="E63" s="1073">
        <v>0</v>
      </c>
      <c r="F63" s="1073">
        <v>0</v>
      </c>
      <c r="G63" s="1073">
        <v>0</v>
      </c>
      <c r="H63" s="1073">
        <v>0</v>
      </c>
      <c r="I63" s="1073">
        <v>0</v>
      </c>
      <c r="J63" s="1073">
        <v>0</v>
      </c>
      <c r="K63" s="1073">
        <v>0</v>
      </c>
      <c r="L63" s="1073">
        <v>56</v>
      </c>
      <c r="M63" s="1073">
        <v>0</v>
      </c>
      <c r="N63" s="1071">
        <v>0</v>
      </c>
      <c r="O63" s="1071">
        <v>0</v>
      </c>
      <c r="P63" s="1071">
        <v>2220</v>
      </c>
      <c r="Q63" s="1071">
        <v>56</v>
      </c>
      <c r="R63" s="1072">
        <v>2276</v>
      </c>
      <c r="S63" s="1331"/>
      <c r="T63" s="1069" t="s">
        <v>860</v>
      </c>
      <c r="U63" s="1070" t="s">
        <v>862</v>
      </c>
      <c r="V63" s="1073">
        <v>0</v>
      </c>
      <c r="W63" s="1073">
        <v>0</v>
      </c>
      <c r="X63" s="1073">
        <v>2276</v>
      </c>
      <c r="Y63" s="1073">
        <v>0</v>
      </c>
      <c r="Z63" s="1073"/>
      <c r="AA63" s="1073">
        <v>0</v>
      </c>
      <c r="AB63" s="1073"/>
      <c r="AC63" s="1073">
        <v>0</v>
      </c>
      <c r="AD63" s="1073">
        <v>0</v>
      </c>
      <c r="AE63" s="1073"/>
      <c r="AF63" s="1075">
        <v>2276</v>
      </c>
      <c r="AH63" s="1115">
        <v>2220</v>
      </c>
    </row>
    <row r="64" spans="1:34" ht="12.75" customHeight="1">
      <c r="A64" s="1331"/>
      <c r="B64" s="1069" t="s">
        <v>860</v>
      </c>
      <c r="C64" s="1070" t="s">
        <v>863</v>
      </c>
      <c r="D64" s="1073">
        <v>0</v>
      </c>
      <c r="E64" s="1073">
        <v>0</v>
      </c>
      <c r="F64" s="1073">
        <v>0</v>
      </c>
      <c r="G64" s="1073">
        <v>0</v>
      </c>
      <c r="H64" s="1073">
        <v>0</v>
      </c>
      <c r="I64" s="1073">
        <v>0</v>
      </c>
      <c r="J64" s="1073">
        <v>0</v>
      </c>
      <c r="K64" s="1073">
        <v>0</v>
      </c>
      <c r="L64" s="1073">
        <v>56</v>
      </c>
      <c r="M64" s="1073">
        <v>0</v>
      </c>
      <c r="N64" s="1071">
        <v>0</v>
      </c>
      <c r="O64" s="1071">
        <v>0</v>
      </c>
      <c r="P64" s="1071">
        <v>2591</v>
      </c>
      <c r="Q64" s="1071">
        <v>56</v>
      </c>
      <c r="R64" s="1072">
        <v>2647</v>
      </c>
      <c r="S64" s="1331"/>
      <c r="T64" s="1069" t="s">
        <v>860</v>
      </c>
      <c r="U64" s="1070" t="s">
        <v>863</v>
      </c>
      <c r="V64" s="1073">
        <v>301</v>
      </c>
      <c r="W64" s="1073">
        <v>70</v>
      </c>
      <c r="X64" s="1073">
        <v>2276</v>
      </c>
      <c r="Y64" s="1073">
        <v>0</v>
      </c>
      <c r="Z64" s="1071"/>
      <c r="AA64" s="1071">
        <v>0</v>
      </c>
      <c r="AB64" s="1071"/>
      <c r="AC64" s="1071">
        <v>0</v>
      </c>
      <c r="AD64" s="1071">
        <v>0</v>
      </c>
      <c r="AE64" s="1071"/>
      <c r="AF64" s="1072">
        <v>2647</v>
      </c>
      <c r="AH64" s="1115"/>
    </row>
    <row r="65" spans="1:34" ht="12.75" customHeight="1">
      <c r="A65" s="1331"/>
      <c r="B65" s="1069" t="s">
        <v>860</v>
      </c>
      <c r="C65" s="1070" t="s">
        <v>864</v>
      </c>
      <c r="D65" s="1073">
        <v>0</v>
      </c>
      <c r="E65" s="1073">
        <v>0</v>
      </c>
      <c r="F65" s="1073">
        <v>0</v>
      </c>
      <c r="G65" s="1073">
        <v>0</v>
      </c>
      <c r="H65" s="1073">
        <v>0</v>
      </c>
      <c r="I65" s="1073">
        <v>0</v>
      </c>
      <c r="J65" s="1073">
        <v>0</v>
      </c>
      <c r="K65" s="1073">
        <v>0</v>
      </c>
      <c r="L65" s="1073">
        <v>56</v>
      </c>
      <c r="M65" s="1073">
        <v>0</v>
      </c>
      <c r="N65" s="1071">
        <v>0</v>
      </c>
      <c r="O65" s="1071">
        <v>0</v>
      </c>
      <c r="P65" s="1071">
        <v>2591</v>
      </c>
      <c r="Q65" s="1071">
        <v>56</v>
      </c>
      <c r="R65" s="1072">
        <v>2647</v>
      </c>
      <c r="S65" s="1331"/>
      <c r="T65" s="1069" t="s">
        <v>860</v>
      </c>
      <c r="U65" s="1070" t="s">
        <v>864</v>
      </c>
      <c r="V65" s="1073">
        <v>301</v>
      </c>
      <c r="W65" s="1073">
        <v>70</v>
      </c>
      <c r="X65" s="1073">
        <v>2276</v>
      </c>
      <c r="Y65" s="1073">
        <v>0</v>
      </c>
      <c r="Z65" s="1071"/>
      <c r="AA65" s="1071">
        <v>0</v>
      </c>
      <c r="AB65" s="1071"/>
      <c r="AC65" s="1071">
        <v>0</v>
      </c>
      <c r="AD65" s="1071">
        <v>0</v>
      </c>
      <c r="AE65" s="1071"/>
      <c r="AF65" s="1072">
        <v>2647</v>
      </c>
      <c r="AH65" s="1115"/>
    </row>
    <row r="66" spans="1:34" ht="12.75" customHeight="1" thickBot="1">
      <c r="A66" s="1427"/>
      <c r="B66" s="1095" t="s">
        <v>860</v>
      </c>
      <c r="C66" s="1096" t="s">
        <v>865</v>
      </c>
      <c r="D66" s="1097">
        <v>0</v>
      </c>
      <c r="E66" s="1097">
        <v>0</v>
      </c>
      <c r="F66" s="1097">
        <v>0</v>
      </c>
      <c r="G66" s="1097">
        <v>0</v>
      </c>
      <c r="H66" s="1097">
        <v>0</v>
      </c>
      <c r="I66" s="1097">
        <v>0</v>
      </c>
      <c r="J66" s="1097">
        <v>0</v>
      </c>
      <c r="K66" s="1097">
        <v>0</v>
      </c>
      <c r="L66" s="1097">
        <v>56</v>
      </c>
      <c r="M66" s="1097">
        <v>0</v>
      </c>
      <c r="N66" s="1098">
        <v>0</v>
      </c>
      <c r="O66" s="1098">
        <v>0</v>
      </c>
      <c r="P66" s="1098">
        <v>2591</v>
      </c>
      <c r="Q66" s="1098">
        <v>56</v>
      </c>
      <c r="R66" s="1099">
        <v>2647</v>
      </c>
      <c r="S66" s="1427"/>
      <c r="T66" s="1095" t="s">
        <v>860</v>
      </c>
      <c r="U66" s="1096" t="s">
        <v>865</v>
      </c>
      <c r="V66" s="1097">
        <v>301</v>
      </c>
      <c r="W66" s="1097">
        <v>70</v>
      </c>
      <c r="X66" s="1097">
        <v>2276</v>
      </c>
      <c r="Y66" s="1097">
        <v>0</v>
      </c>
      <c r="Z66" s="1098"/>
      <c r="AA66" s="1098">
        <v>0</v>
      </c>
      <c r="AB66" s="1098"/>
      <c r="AC66" s="1098">
        <v>0</v>
      </c>
      <c r="AD66" s="1098">
        <v>0</v>
      </c>
      <c r="AE66" s="1098"/>
      <c r="AF66" s="1099">
        <v>2647</v>
      </c>
      <c r="AH66" s="1115"/>
    </row>
    <row r="67" spans="1:34" ht="12.75">
      <c r="A67" s="1412" t="s">
        <v>870</v>
      </c>
      <c r="B67" s="1100" t="s">
        <v>860</v>
      </c>
      <c r="C67" s="1101" t="s">
        <v>539</v>
      </c>
      <c r="D67" s="1102">
        <v>8303</v>
      </c>
      <c r="E67" s="1102">
        <v>7883</v>
      </c>
      <c r="F67" s="1102">
        <v>2134</v>
      </c>
      <c r="G67" s="1102">
        <v>0</v>
      </c>
      <c r="H67" s="1102">
        <v>0</v>
      </c>
      <c r="I67" s="1102">
        <v>0</v>
      </c>
      <c r="J67" s="1102">
        <v>0</v>
      </c>
      <c r="K67" s="1102">
        <v>0</v>
      </c>
      <c r="L67" s="1102"/>
      <c r="M67" s="1102">
        <v>0</v>
      </c>
      <c r="N67" s="1103">
        <v>0</v>
      </c>
      <c r="O67" s="1103">
        <v>0</v>
      </c>
      <c r="P67" s="1103">
        <v>20283</v>
      </c>
      <c r="Q67" s="1103">
        <v>10437</v>
      </c>
      <c r="R67" s="1104">
        <v>30720</v>
      </c>
      <c r="S67" s="1412" t="s">
        <v>870</v>
      </c>
      <c r="T67" s="1100" t="s">
        <v>860</v>
      </c>
      <c r="U67" s="1101" t="s">
        <v>539</v>
      </c>
      <c r="V67" s="1102">
        <v>285</v>
      </c>
      <c r="W67" s="1102">
        <v>77</v>
      </c>
      <c r="X67" s="1102">
        <v>30358</v>
      </c>
      <c r="Y67" s="1102">
        <v>19809</v>
      </c>
      <c r="Z67" s="1103"/>
      <c r="AA67" s="1103">
        <v>0</v>
      </c>
      <c r="AB67" s="1103"/>
      <c r="AC67" s="1103">
        <v>0</v>
      </c>
      <c r="AD67" s="1103">
        <v>0</v>
      </c>
      <c r="AE67" s="1103"/>
      <c r="AF67" s="1104">
        <v>30720</v>
      </c>
      <c r="AH67" s="1115">
        <v>30720</v>
      </c>
    </row>
    <row r="68" spans="1:34" ht="12.75" customHeight="1">
      <c r="A68" s="1331"/>
      <c r="B68" s="1069" t="s">
        <v>860</v>
      </c>
      <c r="C68" s="1070" t="s">
        <v>861</v>
      </c>
      <c r="D68" s="1073">
        <v>8303</v>
      </c>
      <c r="E68" s="1073">
        <v>7883</v>
      </c>
      <c r="F68" s="1073">
        <v>2134</v>
      </c>
      <c r="G68" s="1073">
        <v>0</v>
      </c>
      <c r="H68" s="1073">
        <v>0</v>
      </c>
      <c r="I68" s="1073">
        <v>0</v>
      </c>
      <c r="J68" s="1073">
        <v>0</v>
      </c>
      <c r="K68" s="1073">
        <v>0</v>
      </c>
      <c r="L68" s="1073"/>
      <c r="M68" s="1073">
        <v>0</v>
      </c>
      <c r="N68" s="1071">
        <v>0</v>
      </c>
      <c r="O68" s="1071">
        <v>0</v>
      </c>
      <c r="P68" s="1071">
        <v>20283</v>
      </c>
      <c r="Q68" s="1071">
        <v>10437</v>
      </c>
      <c r="R68" s="1072">
        <v>30720</v>
      </c>
      <c r="S68" s="1331"/>
      <c r="T68" s="1069" t="s">
        <v>860</v>
      </c>
      <c r="U68" s="1070" t="s">
        <v>861</v>
      </c>
      <c r="V68" s="1073">
        <v>285</v>
      </c>
      <c r="W68" s="1073">
        <v>77</v>
      </c>
      <c r="X68" s="1073">
        <v>30358</v>
      </c>
      <c r="Y68" s="1073">
        <v>19809</v>
      </c>
      <c r="Z68" s="1071"/>
      <c r="AA68" s="1071">
        <v>0</v>
      </c>
      <c r="AB68" s="1071"/>
      <c r="AC68" s="1071">
        <v>0</v>
      </c>
      <c r="AD68" s="1071">
        <v>0</v>
      </c>
      <c r="AE68" s="1071"/>
      <c r="AF68" s="1072">
        <v>30720</v>
      </c>
      <c r="AH68" s="1115">
        <v>30720</v>
      </c>
    </row>
    <row r="69" spans="1:34" ht="12.75" customHeight="1">
      <c r="A69" s="1331"/>
      <c r="B69" s="1069" t="s">
        <v>860</v>
      </c>
      <c r="C69" s="1070" t="s">
        <v>862</v>
      </c>
      <c r="D69" s="1073">
        <v>8303</v>
      </c>
      <c r="E69" s="1073">
        <v>7883</v>
      </c>
      <c r="F69" s="1073">
        <v>2134</v>
      </c>
      <c r="G69" s="1073">
        <v>0</v>
      </c>
      <c r="H69" s="1073">
        <v>0</v>
      </c>
      <c r="I69" s="1073">
        <v>0</v>
      </c>
      <c r="J69" s="1073">
        <v>0</v>
      </c>
      <c r="K69" s="1073">
        <v>0</v>
      </c>
      <c r="L69" s="1073">
        <v>533</v>
      </c>
      <c r="M69" s="1073">
        <v>0</v>
      </c>
      <c r="N69" s="1071">
        <v>0</v>
      </c>
      <c r="O69" s="1071">
        <v>0</v>
      </c>
      <c r="P69" s="1071">
        <v>20283</v>
      </c>
      <c r="Q69" s="1071">
        <v>10970</v>
      </c>
      <c r="R69" s="1072">
        <v>31253</v>
      </c>
      <c r="S69" s="1331"/>
      <c r="T69" s="1069" t="s">
        <v>860</v>
      </c>
      <c r="U69" s="1070" t="s">
        <v>862</v>
      </c>
      <c r="V69" s="1073">
        <v>285</v>
      </c>
      <c r="W69" s="1073">
        <v>77</v>
      </c>
      <c r="X69" s="1073">
        <v>30891</v>
      </c>
      <c r="Y69" s="1073">
        <v>19809</v>
      </c>
      <c r="Z69" s="1071"/>
      <c r="AA69" s="1071">
        <v>0</v>
      </c>
      <c r="AB69" s="1071"/>
      <c r="AC69" s="1071">
        <v>0</v>
      </c>
      <c r="AD69" s="1071">
        <v>0</v>
      </c>
      <c r="AE69" s="1071"/>
      <c r="AF69" s="1072">
        <v>31253</v>
      </c>
      <c r="AH69" s="1115">
        <v>30720</v>
      </c>
    </row>
    <row r="70" spans="1:34" ht="12" customHeight="1">
      <c r="A70" s="1331"/>
      <c r="B70" s="1069" t="s">
        <v>860</v>
      </c>
      <c r="C70" s="1070" t="s">
        <v>863</v>
      </c>
      <c r="D70" s="1073">
        <v>8303</v>
      </c>
      <c r="E70" s="1073">
        <v>7883</v>
      </c>
      <c r="F70" s="1073">
        <v>2134</v>
      </c>
      <c r="G70" s="1073">
        <v>0</v>
      </c>
      <c r="H70" s="1073">
        <v>0</v>
      </c>
      <c r="I70" s="1073">
        <v>0</v>
      </c>
      <c r="J70" s="1073">
        <v>0</v>
      </c>
      <c r="K70" s="1073">
        <v>0</v>
      </c>
      <c r="L70" s="1073">
        <v>533</v>
      </c>
      <c r="M70" s="1073">
        <v>0</v>
      </c>
      <c r="N70" s="1071">
        <v>0</v>
      </c>
      <c r="O70" s="1071">
        <v>0</v>
      </c>
      <c r="P70" s="1071">
        <v>20445</v>
      </c>
      <c r="Q70" s="1071">
        <v>10970</v>
      </c>
      <c r="R70" s="1072">
        <v>31415</v>
      </c>
      <c r="S70" s="1331"/>
      <c r="T70" s="1069" t="s">
        <v>860</v>
      </c>
      <c r="U70" s="1070" t="s">
        <v>863</v>
      </c>
      <c r="V70" s="1073">
        <v>192</v>
      </c>
      <c r="W70" s="1073">
        <v>32</v>
      </c>
      <c r="X70" s="1073">
        <v>31191</v>
      </c>
      <c r="Y70" s="1073">
        <v>19809</v>
      </c>
      <c r="Z70" s="1071"/>
      <c r="AA70" s="1071">
        <v>0</v>
      </c>
      <c r="AB70" s="1071"/>
      <c r="AC70" s="1071">
        <v>0</v>
      </c>
      <c r="AD70" s="1071">
        <v>0</v>
      </c>
      <c r="AE70" s="1071"/>
      <c r="AF70" s="1072">
        <v>31415</v>
      </c>
      <c r="AH70" s="1115"/>
    </row>
    <row r="71" spans="1:34" ht="12" customHeight="1">
      <c r="A71" s="1331"/>
      <c r="B71" s="1069" t="s">
        <v>860</v>
      </c>
      <c r="C71" s="1070" t="s">
        <v>864</v>
      </c>
      <c r="D71" s="1073">
        <v>8303</v>
      </c>
      <c r="E71" s="1073">
        <v>7883</v>
      </c>
      <c r="F71" s="1073">
        <v>2134</v>
      </c>
      <c r="G71" s="1073">
        <v>0</v>
      </c>
      <c r="H71" s="1073">
        <v>0</v>
      </c>
      <c r="I71" s="1073">
        <v>0</v>
      </c>
      <c r="J71" s="1073">
        <v>0</v>
      </c>
      <c r="K71" s="1073">
        <v>0</v>
      </c>
      <c r="L71" s="1073">
        <v>533</v>
      </c>
      <c r="M71" s="1073">
        <v>0</v>
      </c>
      <c r="N71" s="1071">
        <v>0</v>
      </c>
      <c r="O71" s="1071">
        <v>0</v>
      </c>
      <c r="P71" s="1071">
        <v>20445</v>
      </c>
      <c r="Q71" s="1071">
        <v>10970</v>
      </c>
      <c r="R71" s="1072">
        <v>31415</v>
      </c>
      <c r="S71" s="1331"/>
      <c r="T71" s="1069" t="s">
        <v>860</v>
      </c>
      <c r="U71" s="1070" t="s">
        <v>864</v>
      </c>
      <c r="V71" s="1073">
        <v>192</v>
      </c>
      <c r="W71" s="1073">
        <v>32</v>
      </c>
      <c r="X71" s="1073">
        <v>31191</v>
      </c>
      <c r="Y71" s="1073">
        <v>19809</v>
      </c>
      <c r="Z71" s="1071"/>
      <c r="AA71" s="1071">
        <v>0</v>
      </c>
      <c r="AB71" s="1071"/>
      <c r="AC71" s="1071">
        <v>0</v>
      </c>
      <c r="AD71" s="1071">
        <v>0</v>
      </c>
      <c r="AE71" s="1071"/>
      <c r="AF71" s="1072">
        <v>31415</v>
      </c>
      <c r="AH71" s="1115"/>
    </row>
    <row r="72" spans="1:34" ht="9.75" customHeight="1">
      <c r="A72" s="1331"/>
      <c r="B72" s="1069" t="s">
        <v>860</v>
      </c>
      <c r="C72" s="1070" t="s">
        <v>865</v>
      </c>
      <c r="D72" s="1073">
        <v>8303</v>
      </c>
      <c r="E72" s="1073">
        <v>7883</v>
      </c>
      <c r="F72" s="1073">
        <v>2134</v>
      </c>
      <c r="G72" s="1073">
        <v>0</v>
      </c>
      <c r="H72" s="1073">
        <v>0</v>
      </c>
      <c r="I72" s="1073">
        <v>0</v>
      </c>
      <c r="J72" s="1073">
        <v>0</v>
      </c>
      <c r="K72" s="1073">
        <v>0</v>
      </c>
      <c r="L72" s="1073">
        <v>533</v>
      </c>
      <c r="M72" s="1073">
        <v>0</v>
      </c>
      <c r="N72" s="1071">
        <v>0</v>
      </c>
      <c r="O72" s="1071">
        <v>0</v>
      </c>
      <c r="P72" s="1071">
        <v>20445</v>
      </c>
      <c r="Q72" s="1071">
        <v>10970</v>
      </c>
      <c r="R72" s="1072">
        <v>31415</v>
      </c>
      <c r="S72" s="1331"/>
      <c r="T72" s="1069" t="s">
        <v>860</v>
      </c>
      <c r="U72" s="1070" t="s">
        <v>865</v>
      </c>
      <c r="V72" s="1073">
        <v>192</v>
      </c>
      <c r="W72" s="1073">
        <v>32</v>
      </c>
      <c r="X72" s="1073">
        <v>31191</v>
      </c>
      <c r="Y72" s="1073">
        <v>19809</v>
      </c>
      <c r="Z72" s="1071"/>
      <c r="AA72" s="1071">
        <v>0</v>
      </c>
      <c r="AB72" s="1071"/>
      <c r="AC72" s="1071">
        <v>0</v>
      </c>
      <c r="AD72" s="1071">
        <v>0</v>
      </c>
      <c r="AE72" s="1071"/>
      <c r="AF72" s="1072">
        <v>31415</v>
      </c>
      <c r="AH72" s="1115"/>
    </row>
    <row r="73" spans="1:34" ht="12.75">
      <c r="A73" s="1331" t="s">
        <v>871</v>
      </c>
      <c r="B73" s="1069" t="s">
        <v>860</v>
      </c>
      <c r="C73" s="1070" t="s">
        <v>539</v>
      </c>
      <c r="D73" s="1073">
        <v>0</v>
      </c>
      <c r="E73" s="1073">
        <v>0</v>
      </c>
      <c r="F73" s="1073">
        <v>0</v>
      </c>
      <c r="G73" s="1073">
        <v>0</v>
      </c>
      <c r="H73" s="1073">
        <v>0</v>
      </c>
      <c r="I73" s="1073">
        <v>0</v>
      </c>
      <c r="J73" s="1073">
        <v>0</v>
      </c>
      <c r="K73" s="1073">
        <v>0</v>
      </c>
      <c r="L73" s="1073"/>
      <c r="M73" s="1073">
        <v>0</v>
      </c>
      <c r="N73" s="1071">
        <v>0</v>
      </c>
      <c r="O73" s="1071">
        <v>0</v>
      </c>
      <c r="P73" s="1071">
        <v>0</v>
      </c>
      <c r="Q73" s="1071">
        <v>0</v>
      </c>
      <c r="R73" s="1072">
        <v>0</v>
      </c>
      <c r="S73" s="1331" t="s">
        <v>871</v>
      </c>
      <c r="T73" s="1069" t="s">
        <v>860</v>
      </c>
      <c r="U73" s="1070" t="s">
        <v>539</v>
      </c>
      <c r="V73" s="1073">
        <v>0</v>
      </c>
      <c r="W73" s="1073">
        <v>0</v>
      </c>
      <c r="X73" s="1073">
        <v>0</v>
      </c>
      <c r="Y73" s="1073">
        <v>0</v>
      </c>
      <c r="Z73" s="1071"/>
      <c r="AA73" s="1071">
        <v>0</v>
      </c>
      <c r="AB73" s="1071"/>
      <c r="AC73" s="1071">
        <v>0</v>
      </c>
      <c r="AD73" s="1071">
        <v>0</v>
      </c>
      <c r="AE73" s="1071"/>
      <c r="AF73" s="1072">
        <v>0</v>
      </c>
      <c r="AH73" s="1115">
        <v>0</v>
      </c>
    </row>
    <row r="74" spans="1:34" ht="12.75" customHeight="1">
      <c r="A74" s="1331"/>
      <c r="B74" s="1069" t="s">
        <v>860</v>
      </c>
      <c r="C74" s="1070" t="s">
        <v>861</v>
      </c>
      <c r="D74" s="1073">
        <v>0</v>
      </c>
      <c r="E74" s="1073">
        <v>0</v>
      </c>
      <c r="F74" s="1073">
        <v>0</v>
      </c>
      <c r="G74" s="1073">
        <v>0</v>
      </c>
      <c r="H74" s="1073">
        <v>0</v>
      </c>
      <c r="I74" s="1073">
        <v>0</v>
      </c>
      <c r="J74" s="1073">
        <v>0</v>
      </c>
      <c r="K74" s="1073">
        <v>0</v>
      </c>
      <c r="L74" s="1073"/>
      <c r="M74" s="1073">
        <v>0</v>
      </c>
      <c r="N74" s="1071">
        <v>0</v>
      </c>
      <c r="O74" s="1071">
        <v>0</v>
      </c>
      <c r="P74" s="1071">
        <v>0</v>
      </c>
      <c r="Q74" s="1071">
        <v>0</v>
      </c>
      <c r="R74" s="1072">
        <v>0</v>
      </c>
      <c r="S74" s="1331"/>
      <c r="T74" s="1069" t="s">
        <v>860</v>
      </c>
      <c r="U74" s="1070" t="s">
        <v>861</v>
      </c>
      <c r="V74" s="1073">
        <v>0</v>
      </c>
      <c r="W74" s="1073">
        <v>0</v>
      </c>
      <c r="X74" s="1073">
        <v>0</v>
      </c>
      <c r="Y74" s="1073">
        <v>0</v>
      </c>
      <c r="Z74" s="1071"/>
      <c r="AA74" s="1071">
        <v>0</v>
      </c>
      <c r="AB74" s="1071"/>
      <c r="AC74" s="1071">
        <v>0</v>
      </c>
      <c r="AD74" s="1071">
        <v>0</v>
      </c>
      <c r="AE74" s="1071"/>
      <c r="AF74" s="1072">
        <v>0</v>
      </c>
      <c r="AH74" s="1115">
        <v>0</v>
      </c>
    </row>
    <row r="75" spans="1:34" ht="12.75" customHeight="1">
      <c r="A75" s="1331"/>
      <c r="B75" s="1069" t="s">
        <v>860</v>
      </c>
      <c r="C75" s="1070" t="s">
        <v>862</v>
      </c>
      <c r="D75" s="1073">
        <v>0</v>
      </c>
      <c r="E75" s="1073">
        <v>0</v>
      </c>
      <c r="F75" s="1073">
        <v>0</v>
      </c>
      <c r="G75" s="1073">
        <v>0</v>
      </c>
      <c r="H75" s="1073">
        <v>0</v>
      </c>
      <c r="I75" s="1073">
        <v>0</v>
      </c>
      <c r="J75" s="1073">
        <v>0</v>
      </c>
      <c r="K75" s="1073">
        <v>0</v>
      </c>
      <c r="L75" s="1073">
        <v>994</v>
      </c>
      <c r="M75" s="1073">
        <v>0</v>
      </c>
      <c r="N75" s="1071">
        <v>0</v>
      </c>
      <c r="O75" s="1071">
        <v>0</v>
      </c>
      <c r="P75" s="1071">
        <v>0</v>
      </c>
      <c r="Q75" s="1071">
        <v>994</v>
      </c>
      <c r="R75" s="1072">
        <v>994</v>
      </c>
      <c r="S75" s="1331"/>
      <c r="T75" s="1069" t="s">
        <v>860</v>
      </c>
      <c r="U75" s="1070" t="s">
        <v>862</v>
      </c>
      <c r="V75" s="1073">
        <v>0</v>
      </c>
      <c r="W75" s="1073">
        <v>0</v>
      </c>
      <c r="X75" s="1073">
        <v>994</v>
      </c>
      <c r="Y75" s="1073">
        <v>0</v>
      </c>
      <c r="Z75" s="1071"/>
      <c r="AA75" s="1071">
        <v>0</v>
      </c>
      <c r="AB75" s="1071"/>
      <c r="AC75" s="1071">
        <v>0</v>
      </c>
      <c r="AD75" s="1071">
        <v>0</v>
      </c>
      <c r="AE75" s="1071"/>
      <c r="AF75" s="1072">
        <v>994</v>
      </c>
      <c r="AH75" s="1115">
        <v>0</v>
      </c>
    </row>
    <row r="76" spans="1:34" ht="14.25" customHeight="1">
      <c r="A76" s="1331"/>
      <c r="B76" s="1069" t="s">
        <v>860</v>
      </c>
      <c r="C76" s="1070" t="s">
        <v>863</v>
      </c>
      <c r="D76" s="1073">
        <v>0</v>
      </c>
      <c r="E76" s="1073">
        <v>0</v>
      </c>
      <c r="F76" s="1073">
        <v>0</v>
      </c>
      <c r="G76" s="1073">
        <v>0</v>
      </c>
      <c r="H76" s="1073">
        <v>0</v>
      </c>
      <c r="I76" s="1073">
        <v>0</v>
      </c>
      <c r="J76" s="1073">
        <v>0</v>
      </c>
      <c r="K76" s="1073">
        <v>0</v>
      </c>
      <c r="L76" s="1073">
        <v>994</v>
      </c>
      <c r="M76" s="1073">
        <v>0</v>
      </c>
      <c r="N76" s="1071">
        <v>0</v>
      </c>
      <c r="O76" s="1071">
        <v>0</v>
      </c>
      <c r="P76" s="1071">
        <v>124</v>
      </c>
      <c r="Q76" s="1071">
        <v>994</v>
      </c>
      <c r="R76" s="1072">
        <v>1118</v>
      </c>
      <c r="S76" s="1331"/>
      <c r="T76" s="1069" t="s">
        <v>860</v>
      </c>
      <c r="U76" s="1070" t="s">
        <v>863</v>
      </c>
      <c r="V76" s="1073">
        <v>112</v>
      </c>
      <c r="W76" s="1073">
        <v>12</v>
      </c>
      <c r="X76" s="1073">
        <v>994</v>
      </c>
      <c r="Y76" s="1073">
        <v>0</v>
      </c>
      <c r="Z76" s="1071"/>
      <c r="AA76" s="1071">
        <v>0</v>
      </c>
      <c r="AB76" s="1071"/>
      <c r="AC76" s="1071">
        <v>0</v>
      </c>
      <c r="AD76" s="1071">
        <v>0</v>
      </c>
      <c r="AE76" s="1071"/>
      <c r="AF76" s="1072">
        <v>1118</v>
      </c>
      <c r="AH76" s="1115"/>
    </row>
    <row r="77" spans="1:34" ht="14.25" customHeight="1">
      <c r="A77" s="1331"/>
      <c r="B77" s="1069" t="s">
        <v>860</v>
      </c>
      <c r="C77" s="1070" t="s">
        <v>864</v>
      </c>
      <c r="D77" s="1073">
        <v>0</v>
      </c>
      <c r="E77" s="1073">
        <v>0</v>
      </c>
      <c r="F77" s="1073">
        <v>0</v>
      </c>
      <c r="G77" s="1073">
        <v>0</v>
      </c>
      <c r="H77" s="1073">
        <v>0</v>
      </c>
      <c r="I77" s="1073">
        <v>0</v>
      </c>
      <c r="J77" s="1073">
        <v>0</v>
      </c>
      <c r="K77" s="1073">
        <v>0</v>
      </c>
      <c r="L77" s="1073">
        <v>994</v>
      </c>
      <c r="M77" s="1073">
        <v>0</v>
      </c>
      <c r="N77" s="1071">
        <v>0</v>
      </c>
      <c r="O77" s="1071">
        <v>0</v>
      </c>
      <c r="P77" s="1071">
        <v>124</v>
      </c>
      <c r="Q77" s="1071">
        <v>994</v>
      </c>
      <c r="R77" s="1072">
        <v>1118</v>
      </c>
      <c r="S77" s="1331"/>
      <c r="T77" s="1069" t="s">
        <v>860</v>
      </c>
      <c r="U77" s="1070" t="s">
        <v>864</v>
      </c>
      <c r="V77" s="1073">
        <v>112</v>
      </c>
      <c r="W77" s="1073">
        <v>12</v>
      </c>
      <c r="X77" s="1073">
        <v>994</v>
      </c>
      <c r="Y77" s="1073">
        <v>0</v>
      </c>
      <c r="Z77" s="1071"/>
      <c r="AA77" s="1071">
        <v>0</v>
      </c>
      <c r="AB77" s="1071"/>
      <c r="AC77" s="1071">
        <v>0</v>
      </c>
      <c r="AD77" s="1071">
        <v>0</v>
      </c>
      <c r="AE77" s="1071"/>
      <c r="AF77" s="1072">
        <v>1118</v>
      </c>
      <c r="AH77" s="1115"/>
    </row>
    <row r="78" spans="1:34" ht="14.25" customHeight="1">
      <c r="A78" s="1331"/>
      <c r="B78" s="1069" t="s">
        <v>860</v>
      </c>
      <c r="C78" s="1070" t="s">
        <v>865</v>
      </c>
      <c r="D78" s="1073">
        <v>0</v>
      </c>
      <c r="E78" s="1073">
        <v>0</v>
      </c>
      <c r="F78" s="1073">
        <v>0</v>
      </c>
      <c r="G78" s="1073">
        <v>0</v>
      </c>
      <c r="H78" s="1073">
        <v>0</v>
      </c>
      <c r="I78" s="1073">
        <v>0</v>
      </c>
      <c r="J78" s="1073">
        <v>0</v>
      </c>
      <c r="K78" s="1073">
        <v>0</v>
      </c>
      <c r="L78" s="1073">
        <v>994</v>
      </c>
      <c r="M78" s="1073">
        <v>0</v>
      </c>
      <c r="N78" s="1071">
        <v>0</v>
      </c>
      <c r="O78" s="1071">
        <v>0</v>
      </c>
      <c r="P78" s="1071">
        <v>469</v>
      </c>
      <c r="Q78" s="1071">
        <v>994</v>
      </c>
      <c r="R78" s="1072">
        <v>1463</v>
      </c>
      <c r="S78" s="1331"/>
      <c r="T78" s="1069" t="s">
        <v>860</v>
      </c>
      <c r="U78" s="1070" t="s">
        <v>865</v>
      </c>
      <c r="V78" s="1073">
        <v>112</v>
      </c>
      <c r="W78" s="1073">
        <v>12</v>
      </c>
      <c r="X78" s="1073">
        <v>1339</v>
      </c>
      <c r="Y78" s="1073">
        <v>0</v>
      </c>
      <c r="Z78" s="1071"/>
      <c r="AA78" s="1071">
        <v>0</v>
      </c>
      <c r="AB78" s="1071"/>
      <c r="AC78" s="1071">
        <v>0</v>
      </c>
      <c r="AD78" s="1071">
        <v>0</v>
      </c>
      <c r="AE78" s="1071"/>
      <c r="AF78" s="1072">
        <v>1463</v>
      </c>
      <c r="AH78" s="1115"/>
    </row>
    <row r="79" spans="1:34" ht="12.75">
      <c r="A79" s="1416" t="s">
        <v>872</v>
      </c>
      <c r="B79" s="1079" t="s">
        <v>860</v>
      </c>
      <c r="C79" s="1076" t="s">
        <v>539</v>
      </c>
      <c r="D79" s="1077">
        <v>23923</v>
      </c>
      <c r="E79" s="1077">
        <v>20125</v>
      </c>
      <c r="F79" s="1077">
        <v>6153</v>
      </c>
      <c r="G79" s="1077">
        <v>0</v>
      </c>
      <c r="H79" s="1077">
        <v>1240</v>
      </c>
      <c r="I79" s="1077">
        <v>0</v>
      </c>
      <c r="J79" s="1077">
        <v>0</v>
      </c>
      <c r="K79" s="1077">
        <v>0</v>
      </c>
      <c r="L79" s="1077">
        <v>0</v>
      </c>
      <c r="M79" s="1077">
        <v>0</v>
      </c>
      <c r="N79" s="1078">
        <v>0</v>
      </c>
      <c r="O79" s="1078">
        <v>0</v>
      </c>
      <c r="P79" s="1078">
        <v>90171</v>
      </c>
      <c r="Q79" s="1078">
        <v>31316</v>
      </c>
      <c r="R79" s="1105">
        <v>121487</v>
      </c>
      <c r="S79" s="1416" t="s">
        <v>872</v>
      </c>
      <c r="T79" s="1079" t="s">
        <v>860</v>
      </c>
      <c r="U79" s="1076" t="s">
        <v>539</v>
      </c>
      <c r="V79" s="1077">
        <v>1605</v>
      </c>
      <c r="W79" s="1077">
        <v>392</v>
      </c>
      <c r="X79" s="1077">
        <v>114490</v>
      </c>
      <c r="Y79" s="1077">
        <v>57844</v>
      </c>
      <c r="Z79" s="1078"/>
      <c r="AA79" s="1078">
        <v>0</v>
      </c>
      <c r="AB79" s="1078"/>
      <c r="AC79" s="1078">
        <v>0</v>
      </c>
      <c r="AD79" s="1078">
        <v>5000</v>
      </c>
      <c r="AE79" s="1078"/>
      <c r="AF79" s="1105">
        <v>121487</v>
      </c>
      <c r="AG79" s="1108">
        <v>0</v>
      </c>
      <c r="AH79" s="1078">
        <v>121487</v>
      </c>
    </row>
    <row r="80" spans="1:34" ht="12" customHeight="1">
      <c r="A80" s="1416"/>
      <c r="B80" s="1079" t="s">
        <v>860</v>
      </c>
      <c r="C80" s="1076" t="s">
        <v>861</v>
      </c>
      <c r="D80" s="1077">
        <v>23923</v>
      </c>
      <c r="E80" s="1077">
        <v>20125</v>
      </c>
      <c r="F80" s="1077">
        <v>6153</v>
      </c>
      <c r="G80" s="1077">
        <v>0</v>
      </c>
      <c r="H80" s="1077">
        <v>1240</v>
      </c>
      <c r="I80" s="1077">
        <v>0</v>
      </c>
      <c r="J80" s="1077">
        <v>0</v>
      </c>
      <c r="K80" s="1077">
        <v>0</v>
      </c>
      <c r="L80" s="1077">
        <v>0</v>
      </c>
      <c r="M80" s="1077">
        <v>0</v>
      </c>
      <c r="N80" s="1078">
        <v>0</v>
      </c>
      <c r="O80" s="1078">
        <v>0</v>
      </c>
      <c r="P80" s="1078">
        <v>90171</v>
      </c>
      <c r="Q80" s="1078">
        <v>31316</v>
      </c>
      <c r="R80" s="1105">
        <v>121487</v>
      </c>
      <c r="S80" s="1416"/>
      <c r="T80" s="1079" t="s">
        <v>860</v>
      </c>
      <c r="U80" s="1076" t="s">
        <v>861</v>
      </c>
      <c r="V80" s="1077">
        <v>1605</v>
      </c>
      <c r="W80" s="1077">
        <v>392</v>
      </c>
      <c r="X80" s="1077">
        <v>114490</v>
      </c>
      <c r="Y80" s="1077">
        <v>57844</v>
      </c>
      <c r="Z80" s="1078"/>
      <c r="AA80" s="1078">
        <v>0</v>
      </c>
      <c r="AB80" s="1078"/>
      <c r="AC80" s="1078">
        <v>0</v>
      </c>
      <c r="AD80" s="1078">
        <v>5000</v>
      </c>
      <c r="AE80" s="1078"/>
      <c r="AF80" s="1105">
        <v>121487</v>
      </c>
      <c r="AG80" s="1114">
        <v>0</v>
      </c>
      <c r="AH80" s="1115"/>
    </row>
    <row r="81" spans="1:34" ht="12" customHeight="1">
      <c r="A81" s="1416"/>
      <c r="B81" s="1079" t="s">
        <v>860</v>
      </c>
      <c r="C81" s="1076" t="s">
        <v>862</v>
      </c>
      <c r="D81" s="1077">
        <v>23923</v>
      </c>
      <c r="E81" s="1077">
        <v>20125</v>
      </c>
      <c r="F81" s="1077">
        <v>6153</v>
      </c>
      <c r="G81" s="1077">
        <v>0</v>
      </c>
      <c r="H81" s="1077">
        <v>1240</v>
      </c>
      <c r="I81" s="1077">
        <v>0</v>
      </c>
      <c r="J81" s="1077">
        <v>0</v>
      </c>
      <c r="K81" s="1077">
        <v>0</v>
      </c>
      <c r="L81" s="1077">
        <v>4595</v>
      </c>
      <c r="M81" s="1077">
        <v>0</v>
      </c>
      <c r="N81" s="1078">
        <v>111</v>
      </c>
      <c r="O81" s="1078">
        <v>0</v>
      </c>
      <c r="P81" s="1078">
        <v>90571</v>
      </c>
      <c r="Q81" s="1078">
        <v>36022</v>
      </c>
      <c r="R81" s="1105">
        <v>126593</v>
      </c>
      <c r="S81" s="1416"/>
      <c r="T81" s="1079" t="s">
        <v>860</v>
      </c>
      <c r="U81" s="1076" t="s">
        <v>862</v>
      </c>
      <c r="V81" s="1077">
        <v>2117</v>
      </c>
      <c r="W81" s="1077">
        <v>537</v>
      </c>
      <c r="X81" s="1077">
        <v>118939</v>
      </c>
      <c r="Y81" s="1077">
        <v>57844</v>
      </c>
      <c r="Z81" s="1078"/>
      <c r="AA81" s="1078">
        <v>0</v>
      </c>
      <c r="AB81" s="1078"/>
      <c r="AC81" s="1078">
        <v>0</v>
      </c>
      <c r="AD81" s="1078">
        <v>5000</v>
      </c>
      <c r="AE81" s="1078"/>
      <c r="AF81" s="1105">
        <v>126593</v>
      </c>
      <c r="AG81" s="1114">
        <v>0</v>
      </c>
      <c r="AH81" s="1115"/>
    </row>
    <row r="82" spans="1:34" ht="12" customHeight="1">
      <c r="A82" s="1416"/>
      <c r="B82" s="1079" t="s">
        <v>860</v>
      </c>
      <c r="C82" s="1076" t="s">
        <v>863</v>
      </c>
      <c r="D82" s="1077">
        <v>23923</v>
      </c>
      <c r="E82" s="1077">
        <v>20125</v>
      </c>
      <c r="F82" s="1077">
        <v>6153</v>
      </c>
      <c r="G82" s="1077">
        <v>0</v>
      </c>
      <c r="H82" s="1077">
        <v>1240</v>
      </c>
      <c r="I82" s="1077">
        <v>0</v>
      </c>
      <c r="J82" s="1077">
        <v>0</v>
      </c>
      <c r="K82" s="1077">
        <v>0</v>
      </c>
      <c r="L82" s="1077">
        <v>4595</v>
      </c>
      <c r="M82" s="1077">
        <v>0</v>
      </c>
      <c r="N82" s="1078">
        <v>111</v>
      </c>
      <c r="O82" s="1078">
        <v>0</v>
      </c>
      <c r="P82" s="1078">
        <v>88672</v>
      </c>
      <c r="Q82" s="1078">
        <v>36022</v>
      </c>
      <c r="R82" s="1105">
        <v>124694</v>
      </c>
      <c r="S82" s="1416"/>
      <c r="T82" s="1079" t="s">
        <v>860</v>
      </c>
      <c r="U82" s="1076" t="s">
        <v>863</v>
      </c>
      <c r="V82" s="1077">
        <v>2167</v>
      </c>
      <c r="W82" s="1077">
        <v>488</v>
      </c>
      <c r="X82" s="1077">
        <v>117039</v>
      </c>
      <c r="Y82" s="1077">
        <v>57844</v>
      </c>
      <c r="Z82" s="1078"/>
      <c r="AA82" s="1078">
        <v>0</v>
      </c>
      <c r="AB82" s="1078"/>
      <c r="AC82" s="1078">
        <v>0</v>
      </c>
      <c r="AD82" s="1078">
        <v>5000</v>
      </c>
      <c r="AE82" s="1078"/>
      <c r="AF82" s="1105">
        <v>124694</v>
      </c>
      <c r="AH82" s="1115"/>
    </row>
    <row r="83" spans="1:34" ht="12" customHeight="1">
      <c r="A83" s="1416"/>
      <c r="B83" s="1079" t="s">
        <v>860</v>
      </c>
      <c r="C83" s="1076" t="s">
        <v>864</v>
      </c>
      <c r="D83" s="1077">
        <v>23923</v>
      </c>
      <c r="E83" s="1077">
        <v>20125</v>
      </c>
      <c r="F83" s="1077">
        <v>6153</v>
      </c>
      <c r="G83" s="1077">
        <v>0</v>
      </c>
      <c r="H83" s="1077">
        <v>959</v>
      </c>
      <c r="I83" s="1077">
        <v>0</v>
      </c>
      <c r="J83" s="1077">
        <v>0</v>
      </c>
      <c r="K83" s="1077">
        <v>0</v>
      </c>
      <c r="L83" s="1077">
        <v>4595</v>
      </c>
      <c r="M83" s="1077">
        <v>0</v>
      </c>
      <c r="N83" s="1078">
        <v>111</v>
      </c>
      <c r="O83" s="1078">
        <v>0</v>
      </c>
      <c r="P83" s="1078">
        <v>90572</v>
      </c>
      <c r="Q83" s="1078">
        <v>35741</v>
      </c>
      <c r="R83" s="1105">
        <v>126313</v>
      </c>
      <c r="S83" s="1416"/>
      <c r="T83" s="1079" t="s">
        <v>860</v>
      </c>
      <c r="U83" s="1076" t="s">
        <v>864</v>
      </c>
      <c r="V83" s="1077">
        <v>2167</v>
      </c>
      <c r="W83" s="1077">
        <v>488</v>
      </c>
      <c r="X83" s="1077">
        <v>118658</v>
      </c>
      <c r="Y83" s="1077">
        <v>57844</v>
      </c>
      <c r="Z83" s="1078"/>
      <c r="AA83" s="1078">
        <v>0</v>
      </c>
      <c r="AB83" s="1078"/>
      <c r="AC83" s="1078">
        <v>0</v>
      </c>
      <c r="AD83" s="1078">
        <v>5000</v>
      </c>
      <c r="AE83" s="1078"/>
      <c r="AF83" s="1105">
        <v>126313</v>
      </c>
      <c r="AH83" s="1115"/>
    </row>
    <row r="84" spans="1:34" ht="12" customHeight="1">
      <c r="A84" s="1416"/>
      <c r="B84" s="1079" t="s">
        <v>860</v>
      </c>
      <c r="C84" s="1076" t="s">
        <v>865</v>
      </c>
      <c r="D84" s="1077">
        <v>23923</v>
      </c>
      <c r="E84" s="1077">
        <v>20125</v>
      </c>
      <c r="F84" s="1077">
        <v>6153</v>
      </c>
      <c r="G84" s="1077">
        <v>0</v>
      </c>
      <c r="H84" s="1077">
        <v>959</v>
      </c>
      <c r="I84" s="1077">
        <v>0</v>
      </c>
      <c r="J84" s="1077">
        <v>0</v>
      </c>
      <c r="K84" s="1077">
        <v>0</v>
      </c>
      <c r="L84" s="1077">
        <v>4595</v>
      </c>
      <c r="M84" s="1077">
        <v>0</v>
      </c>
      <c r="N84" s="1078">
        <v>111</v>
      </c>
      <c r="O84" s="1078">
        <v>0</v>
      </c>
      <c r="P84" s="1078">
        <v>90572</v>
      </c>
      <c r="Q84" s="1078">
        <v>35741</v>
      </c>
      <c r="R84" s="1105">
        <v>126313</v>
      </c>
      <c r="S84" s="1416"/>
      <c r="T84" s="1079" t="s">
        <v>860</v>
      </c>
      <c r="U84" s="1076" t="s">
        <v>865</v>
      </c>
      <c r="V84" s="1077">
        <v>2167</v>
      </c>
      <c r="W84" s="1077">
        <v>488</v>
      </c>
      <c r="X84" s="1077">
        <v>117595</v>
      </c>
      <c r="Y84" s="1077">
        <v>57844</v>
      </c>
      <c r="Z84" s="1078"/>
      <c r="AA84" s="1078">
        <v>0</v>
      </c>
      <c r="AB84" s="1078"/>
      <c r="AC84" s="1078">
        <v>0</v>
      </c>
      <c r="AD84" s="1078">
        <v>6063</v>
      </c>
      <c r="AE84" s="1078"/>
      <c r="AF84" s="1105">
        <v>126313</v>
      </c>
      <c r="AH84" s="1115"/>
    </row>
    <row r="85" spans="1:34" ht="12.75">
      <c r="A85" s="1331" t="s">
        <v>740</v>
      </c>
      <c r="B85" s="1069" t="s">
        <v>860</v>
      </c>
      <c r="C85" s="1070" t="s">
        <v>539</v>
      </c>
      <c r="D85" s="1073">
        <v>25514</v>
      </c>
      <c r="E85" s="1073">
        <v>19294</v>
      </c>
      <c r="F85" s="1073">
        <v>6673</v>
      </c>
      <c r="G85" s="1073">
        <v>0</v>
      </c>
      <c r="H85" s="1073">
        <v>8640</v>
      </c>
      <c r="I85" s="1073">
        <v>0</v>
      </c>
      <c r="J85" s="1073">
        <v>0</v>
      </c>
      <c r="K85" s="1073">
        <v>0</v>
      </c>
      <c r="L85" s="1073"/>
      <c r="M85" s="1073">
        <v>0</v>
      </c>
      <c r="N85" s="1071">
        <v>0</v>
      </c>
      <c r="O85" s="1071">
        <v>0</v>
      </c>
      <c r="P85" s="1071">
        <v>92118</v>
      </c>
      <c r="Q85" s="1071">
        <v>40827</v>
      </c>
      <c r="R85" s="1072">
        <v>132945</v>
      </c>
      <c r="S85" s="1331" t="s">
        <v>740</v>
      </c>
      <c r="T85" s="1069" t="s">
        <v>860</v>
      </c>
      <c r="U85" s="1070" t="s">
        <v>539</v>
      </c>
      <c r="V85" s="1073">
        <v>1005</v>
      </c>
      <c r="W85" s="1073">
        <v>271</v>
      </c>
      <c r="X85" s="1073">
        <v>127269</v>
      </c>
      <c r="Y85" s="1073">
        <v>47250</v>
      </c>
      <c r="Z85" s="1071"/>
      <c r="AA85" s="1071">
        <v>0</v>
      </c>
      <c r="AB85" s="1071"/>
      <c r="AC85" s="1071">
        <v>0</v>
      </c>
      <c r="AD85" s="1071">
        <v>4400</v>
      </c>
      <c r="AE85" s="1071"/>
      <c r="AF85" s="1072">
        <v>132945</v>
      </c>
      <c r="AH85" s="1115">
        <v>132945</v>
      </c>
    </row>
    <row r="86" spans="1:34" ht="12.75" customHeight="1">
      <c r="A86" s="1331"/>
      <c r="B86" s="1069" t="s">
        <v>860</v>
      </c>
      <c r="C86" s="1070" t="s">
        <v>861</v>
      </c>
      <c r="D86" s="1073">
        <v>25514</v>
      </c>
      <c r="E86" s="1073">
        <v>19294</v>
      </c>
      <c r="F86" s="1073">
        <v>6673</v>
      </c>
      <c r="G86" s="1073">
        <v>0</v>
      </c>
      <c r="H86" s="1073">
        <v>8640</v>
      </c>
      <c r="I86" s="1073">
        <v>0</v>
      </c>
      <c r="J86" s="1073">
        <v>0</v>
      </c>
      <c r="K86" s="1073">
        <v>0</v>
      </c>
      <c r="L86" s="1073"/>
      <c r="M86" s="1073">
        <v>0</v>
      </c>
      <c r="N86" s="1071">
        <v>0</v>
      </c>
      <c r="O86" s="1071">
        <v>0</v>
      </c>
      <c r="P86" s="1071">
        <v>92118</v>
      </c>
      <c r="Q86" s="1071">
        <v>40827</v>
      </c>
      <c r="R86" s="1072">
        <v>132945</v>
      </c>
      <c r="S86" s="1331"/>
      <c r="T86" s="1069" t="s">
        <v>860</v>
      </c>
      <c r="U86" s="1070" t="s">
        <v>861</v>
      </c>
      <c r="V86" s="1073">
        <v>1005</v>
      </c>
      <c r="W86" s="1073">
        <v>271</v>
      </c>
      <c r="X86" s="1073">
        <v>127269</v>
      </c>
      <c r="Y86" s="1073">
        <v>47250</v>
      </c>
      <c r="Z86" s="1073"/>
      <c r="AA86" s="1073">
        <v>0</v>
      </c>
      <c r="AB86" s="1073"/>
      <c r="AC86" s="1073">
        <v>0</v>
      </c>
      <c r="AD86" s="1073">
        <v>4400</v>
      </c>
      <c r="AE86" s="1071"/>
      <c r="AF86" s="1072">
        <v>132945</v>
      </c>
      <c r="AH86" s="1115">
        <v>132945</v>
      </c>
    </row>
    <row r="87" spans="1:34" ht="12.75" customHeight="1">
      <c r="A87" s="1331"/>
      <c r="B87" s="1069" t="s">
        <v>860</v>
      </c>
      <c r="C87" s="1070" t="s">
        <v>862</v>
      </c>
      <c r="D87" s="1073">
        <v>25579</v>
      </c>
      <c r="E87" s="1073">
        <v>19294</v>
      </c>
      <c r="F87" s="1073">
        <v>6673</v>
      </c>
      <c r="G87" s="1073">
        <v>0</v>
      </c>
      <c r="H87" s="1073">
        <v>8640</v>
      </c>
      <c r="I87" s="1073">
        <v>0</v>
      </c>
      <c r="J87" s="1073">
        <v>0</v>
      </c>
      <c r="K87" s="1073">
        <v>0</v>
      </c>
      <c r="L87" s="1073">
        <v>5403</v>
      </c>
      <c r="M87" s="1073">
        <v>0</v>
      </c>
      <c r="N87" s="1071">
        <v>873</v>
      </c>
      <c r="O87" s="1071">
        <v>0</v>
      </c>
      <c r="P87" s="1071">
        <v>93656</v>
      </c>
      <c r="Q87" s="1071">
        <v>47168</v>
      </c>
      <c r="R87" s="1072">
        <v>140824</v>
      </c>
      <c r="S87" s="1331"/>
      <c r="T87" s="1069" t="s">
        <v>860</v>
      </c>
      <c r="U87" s="1070" t="s">
        <v>862</v>
      </c>
      <c r="V87" s="1073">
        <v>1721</v>
      </c>
      <c r="W87" s="1073">
        <v>450</v>
      </c>
      <c r="X87" s="1073">
        <v>134253</v>
      </c>
      <c r="Y87" s="1073">
        <v>47250</v>
      </c>
      <c r="Z87" s="1073"/>
      <c r="AA87" s="1073">
        <v>0</v>
      </c>
      <c r="AB87" s="1073"/>
      <c r="AC87" s="1073">
        <v>0</v>
      </c>
      <c r="AD87" s="1073">
        <v>4400</v>
      </c>
      <c r="AE87" s="1071"/>
      <c r="AF87" s="1072">
        <v>140824</v>
      </c>
      <c r="AH87" s="1115">
        <v>132945</v>
      </c>
    </row>
    <row r="88" spans="1:34" ht="12.75" customHeight="1">
      <c r="A88" s="1331"/>
      <c r="B88" s="1069" t="s">
        <v>860</v>
      </c>
      <c r="C88" s="1070" t="s">
        <v>863</v>
      </c>
      <c r="D88" s="1073">
        <v>25579</v>
      </c>
      <c r="E88" s="1073">
        <v>19294</v>
      </c>
      <c r="F88" s="1073">
        <v>6673</v>
      </c>
      <c r="G88" s="1073">
        <v>0</v>
      </c>
      <c r="H88" s="1073">
        <v>0</v>
      </c>
      <c r="I88" s="1073">
        <v>0</v>
      </c>
      <c r="J88" s="1073">
        <v>0</v>
      </c>
      <c r="K88" s="1073">
        <v>0</v>
      </c>
      <c r="L88" s="1073">
        <v>5403</v>
      </c>
      <c r="M88" s="1073">
        <v>0</v>
      </c>
      <c r="N88" s="1071">
        <v>873</v>
      </c>
      <c r="O88" s="1071">
        <v>0</v>
      </c>
      <c r="P88" s="1071">
        <v>92445</v>
      </c>
      <c r="Q88" s="1071">
        <v>38528</v>
      </c>
      <c r="R88" s="1072">
        <v>130973</v>
      </c>
      <c r="S88" s="1331"/>
      <c r="T88" s="1069" t="s">
        <v>860</v>
      </c>
      <c r="U88" s="1070" t="s">
        <v>863</v>
      </c>
      <c r="V88" s="1073">
        <v>1563</v>
      </c>
      <c r="W88" s="1073">
        <v>397</v>
      </c>
      <c r="X88" s="1073">
        <v>124297</v>
      </c>
      <c r="Y88" s="1073">
        <v>47250</v>
      </c>
      <c r="Z88" s="1073"/>
      <c r="AA88" s="1073">
        <v>0</v>
      </c>
      <c r="AB88" s="1073">
        <v>316</v>
      </c>
      <c r="AC88" s="1073">
        <v>0</v>
      </c>
      <c r="AD88" s="1073">
        <v>4400</v>
      </c>
      <c r="AE88" s="1071"/>
      <c r="AF88" s="1072">
        <v>130973</v>
      </c>
      <c r="AH88" s="1115"/>
    </row>
    <row r="89" spans="1:34" ht="12.75" customHeight="1">
      <c r="A89" s="1331"/>
      <c r="B89" s="1069" t="s">
        <v>860</v>
      </c>
      <c r="C89" s="1070" t="s">
        <v>864</v>
      </c>
      <c r="D89" s="1073">
        <v>25579</v>
      </c>
      <c r="E89" s="1073">
        <v>19294</v>
      </c>
      <c r="F89" s="1073">
        <v>6673</v>
      </c>
      <c r="G89" s="1073">
        <v>0</v>
      </c>
      <c r="H89" s="1073">
        <v>0</v>
      </c>
      <c r="I89" s="1073">
        <v>0</v>
      </c>
      <c r="J89" s="1073">
        <v>0</v>
      </c>
      <c r="K89" s="1073">
        <v>0</v>
      </c>
      <c r="L89" s="1073">
        <v>5403</v>
      </c>
      <c r="M89" s="1073">
        <v>0</v>
      </c>
      <c r="N89" s="1071">
        <v>873</v>
      </c>
      <c r="O89" s="1071">
        <v>0</v>
      </c>
      <c r="P89" s="1071">
        <v>97839</v>
      </c>
      <c r="Q89" s="1071">
        <v>38528</v>
      </c>
      <c r="R89" s="1072">
        <v>136367</v>
      </c>
      <c r="S89" s="1331"/>
      <c r="T89" s="1069" t="s">
        <v>860</v>
      </c>
      <c r="U89" s="1070" t="s">
        <v>864</v>
      </c>
      <c r="V89" s="1073">
        <v>1563</v>
      </c>
      <c r="W89" s="1073">
        <v>397</v>
      </c>
      <c r="X89" s="1073">
        <v>129691</v>
      </c>
      <c r="Y89" s="1073">
        <v>47250</v>
      </c>
      <c r="Z89" s="1073"/>
      <c r="AA89" s="1073">
        <v>0</v>
      </c>
      <c r="AB89" s="1073">
        <v>316</v>
      </c>
      <c r="AC89" s="1073">
        <v>0</v>
      </c>
      <c r="AD89" s="1073">
        <v>4400</v>
      </c>
      <c r="AE89" s="1071"/>
      <c r="AF89" s="1072">
        <v>136367</v>
      </c>
      <c r="AH89" s="1115"/>
    </row>
    <row r="90" spans="1:34" ht="12.75" customHeight="1">
      <c r="A90" s="1331"/>
      <c r="B90" s="1069" t="s">
        <v>860</v>
      </c>
      <c r="C90" s="1070" t="s">
        <v>865</v>
      </c>
      <c r="D90" s="1073">
        <v>25579</v>
      </c>
      <c r="E90" s="1073">
        <v>19294</v>
      </c>
      <c r="F90" s="1073">
        <v>6673</v>
      </c>
      <c r="G90" s="1073">
        <v>0</v>
      </c>
      <c r="H90" s="1073">
        <v>11</v>
      </c>
      <c r="I90" s="1073">
        <v>0</v>
      </c>
      <c r="J90" s="1073">
        <v>0</v>
      </c>
      <c r="K90" s="1073">
        <v>0</v>
      </c>
      <c r="L90" s="1073">
        <v>5403</v>
      </c>
      <c r="M90" s="1073">
        <v>0</v>
      </c>
      <c r="N90" s="1071">
        <v>873</v>
      </c>
      <c r="O90" s="1071">
        <v>0</v>
      </c>
      <c r="P90" s="1071">
        <v>97828</v>
      </c>
      <c r="Q90" s="1071">
        <v>38539</v>
      </c>
      <c r="R90" s="1072">
        <v>136367</v>
      </c>
      <c r="S90" s="1331"/>
      <c r="T90" s="1069" t="s">
        <v>860</v>
      </c>
      <c r="U90" s="1070" t="s">
        <v>865</v>
      </c>
      <c r="V90" s="1073">
        <v>1563</v>
      </c>
      <c r="W90" s="1073">
        <v>397</v>
      </c>
      <c r="X90" s="1073">
        <v>129691</v>
      </c>
      <c r="Y90" s="1073">
        <v>47250</v>
      </c>
      <c r="Z90" s="1073"/>
      <c r="AA90" s="1073">
        <v>0</v>
      </c>
      <c r="AB90" s="1073">
        <v>316</v>
      </c>
      <c r="AC90" s="1073">
        <v>0</v>
      </c>
      <c r="AD90" s="1073">
        <v>4400</v>
      </c>
      <c r="AE90" s="1071"/>
      <c r="AF90" s="1072">
        <v>136367</v>
      </c>
      <c r="AH90" s="1115"/>
    </row>
    <row r="91" spans="1:34" ht="15" customHeight="1">
      <c r="A91" s="1331" t="s">
        <v>873</v>
      </c>
      <c r="B91" s="1069" t="s">
        <v>860</v>
      </c>
      <c r="C91" s="1070" t="s">
        <v>539</v>
      </c>
      <c r="D91" s="1073">
        <v>5465</v>
      </c>
      <c r="E91" s="1073">
        <v>5065</v>
      </c>
      <c r="F91" s="1073">
        <v>1368</v>
      </c>
      <c r="G91" s="1073">
        <v>0</v>
      </c>
      <c r="H91" s="1073">
        <v>0</v>
      </c>
      <c r="I91" s="1073">
        <v>0</v>
      </c>
      <c r="J91" s="1073">
        <v>0</v>
      </c>
      <c r="K91" s="1073">
        <v>0</v>
      </c>
      <c r="L91" s="1073"/>
      <c r="M91" s="1073">
        <v>0</v>
      </c>
      <c r="N91" s="1071">
        <v>0</v>
      </c>
      <c r="O91" s="1071">
        <v>0</v>
      </c>
      <c r="P91" s="1071">
        <v>27259</v>
      </c>
      <c r="Q91" s="1071">
        <v>6833</v>
      </c>
      <c r="R91" s="1072">
        <v>34092</v>
      </c>
      <c r="S91" s="1331" t="s">
        <v>873</v>
      </c>
      <c r="T91" s="1069" t="s">
        <v>860</v>
      </c>
      <c r="U91" s="1070" t="s">
        <v>539</v>
      </c>
      <c r="V91" s="1073">
        <v>623</v>
      </c>
      <c r="W91" s="1073">
        <v>163</v>
      </c>
      <c r="X91" s="1073">
        <v>33306</v>
      </c>
      <c r="Y91" s="1073">
        <v>16220</v>
      </c>
      <c r="Z91" s="1073"/>
      <c r="AA91" s="1073">
        <v>0</v>
      </c>
      <c r="AB91" s="1073"/>
      <c r="AC91" s="1073">
        <v>0</v>
      </c>
      <c r="AD91" s="1073">
        <v>0</v>
      </c>
      <c r="AE91" s="1071"/>
      <c r="AF91" s="1072">
        <v>34092</v>
      </c>
      <c r="AH91" s="1115">
        <v>34092</v>
      </c>
    </row>
    <row r="92" spans="1:34" ht="13.5" customHeight="1">
      <c r="A92" s="1331"/>
      <c r="B92" s="1069" t="s">
        <v>860</v>
      </c>
      <c r="C92" s="1070" t="s">
        <v>861</v>
      </c>
      <c r="D92" s="1073">
        <v>5465</v>
      </c>
      <c r="E92" s="1073">
        <v>5065</v>
      </c>
      <c r="F92" s="1073">
        <v>1368</v>
      </c>
      <c r="G92" s="1073">
        <v>0</v>
      </c>
      <c r="H92" s="1073">
        <v>0</v>
      </c>
      <c r="I92" s="1073">
        <v>0</v>
      </c>
      <c r="J92" s="1073">
        <v>0</v>
      </c>
      <c r="K92" s="1073">
        <v>0</v>
      </c>
      <c r="L92" s="1073"/>
      <c r="M92" s="1073">
        <v>0</v>
      </c>
      <c r="N92" s="1071">
        <v>0</v>
      </c>
      <c r="O92" s="1071">
        <v>0</v>
      </c>
      <c r="P92" s="1071">
        <v>27259</v>
      </c>
      <c r="Q92" s="1071">
        <v>6833</v>
      </c>
      <c r="R92" s="1072">
        <v>34092</v>
      </c>
      <c r="S92" s="1331"/>
      <c r="T92" s="1069" t="s">
        <v>860</v>
      </c>
      <c r="U92" s="1070" t="s">
        <v>861</v>
      </c>
      <c r="V92" s="1073">
        <v>623</v>
      </c>
      <c r="W92" s="1073">
        <v>163</v>
      </c>
      <c r="X92" s="1073">
        <v>33306</v>
      </c>
      <c r="Y92" s="1073">
        <v>16220</v>
      </c>
      <c r="Z92" s="1073"/>
      <c r="AA92" s="1073">
        <v>0</v>
      </c>
      <c r="AB92" s="1073"/>
      <c r="AC92" s="1073">
        <v>0</v>
      </c>
      <c r="AD92" s="1073">
        <v>0</v>
      </c>
      <c r="AE92" s="1071"/>
      <c r="AF92" s="1072">
        <v>34092</v>
      </c>
      <c r="AH92" s="1115">
        <v>34092</v>
      </c>
    </row>
    <row r="93" spans="1:34" ht="13.5" customHeight="1">
      <c r="A93" s="1331"/>
      <c r="B93" s="1069" t="s">
        <v>860</v>
      </c>
      <c r="C93" s="1070" t="s">
        <v>862</v>
      </c>
      <c r="D93" s="1073">
        <v>5465</v>
      </c>
      <c r="E93" s="1073">
        <v>5065</v>
      </c>
      <c r="F93" s="1073">
        <v>1368</v>
      </c>
      <c r="G93" s="1073">
        <v>0</v>
      </c>
      <c r="H93" s="1073">
        <v>0</v>
      </c>
      <c r="I93" s="1073">
        <v>0</v>
      </c>
      <c r="J93" s="1073">
        <v>0</v>
      </c>
      <c r="K93" s="1073">
        <v>0</v>
      </c>
      <c r="L93" s="1073">
        <v>1188</v>
      </c>
      <c r="M93" s="1073">
        <v>0</v>
      </c>
      <c r="N93" s="1071">
        <v>0</v>
      </c>
      <c r="O93" s="1071">
        <v>0</v>
      </c>
      <c r="P93" s="1071">
        <v>26571</v>
      </c>
      <c r="Q93" s="1071">
        <v>8021</v>
      </c>
      <c r="R93" s="1072">
        <v>34592</v>
      </c>
      <c r="S93" s="1331"/>
      <c r="T93" s="1069" t="s">
        <v>860</v>
      </c>
      <c r="U93" s="1070" t="s">
        <v>862</v>
      </c>
      <c r="V93" s="1073">
        <v>623</v>
      </c>
      <c r="W93" s="1073">
        <v>163</v>
      </c>
      <c r="X93" s="1073">
        <v>33806</v>
      </c>
      <c r="Y93" s="1073">
        <v>16220</v>
      </c>
      <c r="Z93" s="1073"/>
      <c r="AA93" s="1073">
        <v>0</v>
      </c>
      <c r="AB93" s="1073"/>
      <c r="AC93" s="1073">
        <v>0</v>
      </c>
      <c r="AD93" s="1073">
        <v>0</v>
      </c>
      <c r="AE93" s="1071"/>
      <c r="AF93" s="1072">
        <v>34592</v>
      </c>
      <c r="AH93" s="1115">
        <v>34092</v>
      </c>
    </row>
    <row r="94" spans="1:34" ht="13.5" customHeight="1">
      <c r="A94" s="1331"/>
      <c r="B94" s="1069" t="s">
        <v>860</v>
      </c>
      <c r="C94" s="1070" t="s">
        <v>863</v>
      </c>
      <c r="D94" s="1073">
        <v>5465</v>
      </c>
      <c r="E94" s="1073">
        <v>5065</v>
      </c>
      <c r="F94" s="1073">
        <v>1368</v>
      </c>
      <c r="G94" s="1073">
        <v>0</v>
      </c>
      <c r="H94" s="1073">
        <v>0</v>
      </c>
      <c r="I94" s="1073">
        <v>0</v>
      </c>
      <c r="J94" s="1073">
        <v>0</v>
      </c>
      <c r="K94" s="1073">
        <v>0</v>
      </c>
      <c r="L94" s="1073">
        <v>1188</v>
      </c>
      <c r="M94" s="1073">
        <v>0</v>
      </c>
      <c r="N94" s="1071">
        <v>0</v>
      </c>
      <c r="O94" s="1071">
        <v>0</v>
      </c>
      <c r="P94" s="1080">
        <v>26368</v>
      </c>
      <c r="Q94" s="1071">
        <v>8021</v>
      </c>
      <c r="R94" s="1072">
        <v>34389</v>
      </c>
      <c r="S94" s="1331"/>
      <c r="T94" s="1069" t="s">
        <v>860</v>
      </c>
      <c r="U94" s="1070" t="s">
        <v>863</v>
      </c>
      <c r="V94" s="1073">
        <v>384</v>
      </c>
      <c r="W94" s="1073">
        <v>99</v>
      </c>
      <c r="X94" s="1073">
        <v>33906</v>
      </c>
      <c r="Y94" s="1073">
        <v>16220</v>
      </c>
      <c r="Z94" s="1073"/>
      <c r="AA94" s="1073">
        <v>0</v>
      </c>
      <c r="AB94" s="1073"/>
      <c r="AC94" s="1073">
        <v>0</v>
      </c>
      <c r="AD94" s="1073">
        <v>0</v>
      </c>
      <c r="AE94" s="1071"/>
      <c r="AF94" s="1072">
        <v>34389</v>
      </c>
      <c r="AH94" s="1115"/>
    </row>
    <row r="95" spans="1:34" ht="13.5" customHeight="1">
      <c r="A95" s="1331"/>
      <c r="B95" s="1069" t="s">
        <v>860</v>
      </c>
      <c r="C95" s="1070" t="s">
        <v>864</v>
      </c>
      <c r="D95" s="1073">
        <v>5465</v>
      </c>
      <c r="E95" s="1073">
        <v>5065</v>
      </c>
      <c r="F95" s="1073">
        <v>1368</v>
      </c>
      <c r="G95" s="1073">
        <v>0</v>
      </c>
      <c r="H95" s="1073">
        <v>0</v>
      </c>
      <c r="I95" s="1073">
        <v>0</v>
      </c>
      <c r="J95" s="1073">
        <v>0</v>
      </c>
      <c r="K95" s="1073">
        <v>0</v>
      </c>
      <c r="L95" s="1073">
        <v>1188</v>
      </c>
      <c r="M95" s="1073">
        <v>0</v>
      </c>
      <c r="N95" s="1071">
        <v>0</v>
      </c>
      <c r="O95" s="1071">
        <v>0</v>
      </c>
      <c r="P95" s="1080">
        <v>26368</v>
      </c>
      <c r="Q95" s="1071">
        <v>8021</v>
      </c>
      <c r="R95" s="1072">
        <v>34389</v>
      </c>
      <c r="S95" s="1331"/>
      <c r="T95" s="1069" t="s">
        <v>860</v>
      </c>
      <c r="U95" s="1070" t="s">
        <v>864</v>
      </c>
      <c r="V95" s="1073">
        <v>384</v>
      </c>
      <c r="W95" s="1073">
        <v>99</v>
      </c>
      <c r="X95" s="1073">
        <v>33906</v>
      </c>
      <c r="Y95" s="1073">
        <v>16220</v>
      </c>
      <c r="Z95" s="1073"/>
      <c r="AA95" s="1073">
        <v>0</v>
      </c>
      <c r="AB95" s="1073"/>
      <c r="AC95" s="1073">
        <v>0</v>
      </c>
      <c r="AD95" s="1073">
        <v>0</v>
      </c>
      <c r="AE95" s="1071"/>
      <c r="AF95" s="1072">
        <v>34389</v>
      </c>
      <c r="AH95" s="1115"/>
    </row>
    <row r="96" spans="1:34" ht="13.5" customHeight="1">
      <c r="A96" s="1331"/>
      <c r="B96" s="1069" t="s">
        <v>860</v>
      </c>
      <c r="C96" s="1070" t="s">
        <v>865</v>
      </c>
      <c r="D96" s="1073">
        <v>5465</v>
      </c>
      <c r="E96" s="1073">
        <v>5065</v>
      </c>
      <c r="F96" s="1073">
        <v>1368</v>
      </c>
      <c r="G96" s="1073">
        <v>0</v>
      </c>
      <c r="H96" s="1073">
        <v>0</v>
      </c>
      <c r="I96" s="1073">
        <v>0</v>
      </c>
      <c r="J96" s="1073">
        <v>0</v>
      </c>
      <c r="K96" s="1073">
        <v>0</v>
      </c>
      <c r="L96" s="1073">
        <v>1188</v>
      </c>
      <c r="M96" s="1073">
        <v>0</v>
      </c>
      <c r="N96" s="1071">
        <v>0</v>
      </c>
      <c r="O96" s="1071">
        <v>0</v>
      </c>
      <c r="P96" s="1080">
        <v>26368</v>
      </c>
      <c r="Q96" s="1071">
        <v>8021</v>
      </c>
      <c r="R96" s="1072">
        <v>34389</v>
      </c>
      <c r="S96" s="1331"/>
      <c r="T96" s="1069" t="s">
        <v>860</v>
      </c>
      <c r="U96" s="1070" t="s">
        <v>865</v>
      </c>
      <c r="V96" s="1073">
        <v>384</v>
      </c>
      <c r="W96" s="1073">
        <v>99</v>
      </c>
      <c r="X96" s="1073">
        <v>33085</v>
      </c>
      <c r="Y96" s="1073">
        <v>16220</v>
      </c>
      <c r="Z96" s="1073"/>
      <c r="AA96" s="1073">
        <v>0</v>
      </c>
      <c r="AB96" s="1073"/>
      <c r="AC96" s="1073">
        <v>0</v>
      </c>
      <c r="AD96" s="1073">
        <v>821</v>
      </c>
      <c r="AE96" s="1071"/>
      <c r="AF96" s="1072">
        <v>34389</v>
      </c>
      <c r="AH96" s="1115"/>
    </row>
    <row r="97" spans="1:34" s="1116" customFormat="1" ht="12.75">
      <c r="A97" s="1416" t="s">
        <v>874</v>
      </c>
      <c r="B97" s="1079" t="s">
        <v>860</v>
      </c>
      <c r="C97" s="1076" t="s">
        <v>539</v>
      </c>
      <c r="D97" s="1077">
        <v>30979</v>
      </c>
      <c r="E97" s="1077">
        <v>24359</v>
      </c>
      <c r="F97" s="1077">
        <v>8041</v>
      </c>
      <c r="G97" s="1077">
        <v>0</v>
      </c>
      <c r="H97" s="1077">
        <v>8640</v>
      </c>
      <c r="I97" s="1077">
        <v>0</v>
      </c>
      <c r="J97" s="1077">
        <v>0</v>
      </c>
      <c r="K97" s="1077">
        <v>0</v>
      </c>
      <c r="L97" s="1077">
        <v>0</v>
      </c>
      <c r="M97" s="1077">
        <v>0</v>
      </c>
      <c r="N97" s="1078">
        <v>0</v>
      </c>
      <c r="O97" s="1078">
        <v>0</v>
      </c>
      <c r="P97" s="1078">
        <v>119377</v>
      </c>
      <c r="Q97" s="1078">
        <v>47660</v>
      </c>
      <c r="R97" s="1105">
        <v>167037</v>
      </c>
      <c r="S97" s="1416" t="s">
        <v>874</v>
      </c>
      <c r="T97" s="1079" t="s">
        <v>860</v>
      </c>
      <c r="U97" s="1076" t="s">
        <v>539</v>
      </c>
      <c r="V97" s="1077">
        <v>1628</v>
      </c>
      <c r="W97" s="1077">
        <v>434</v>
      </c>
      <c r="X97" s="1077">
        <v>160575</v>
      </c>
      <c r="Y97" s="1077">
        <v>63470</v>
      </c>
      <c r="Z97" s="1077"/>
      <c r="AA97" s="1077">
        <v>0</v>
      </c>
      <c r="AB97" s="1077"/>
      <c r="AC97" s="1077">
        <v>0</v>
      </c>
      <c r="AD97" s="1077">
        <v>4400</v>
      </c>
      <c r="AE97" s="1078"/>
      <c r="AF97" s="1105">
        <v>167037</v>
      </c>
      <c r="AH97" s="1115">
        <v>167037</v>
      </c>
    </row>
    <row r="98" spans="1:34" s="1116" customFormat="1" ht="12.75" customHeight="1">
      <c r="A98" s="1416"/>
      <c r="B98" s="1079" t="s">
        <v>860</v>
      </c>
      <c r="C98" s="1076" t="s">
        <v>861</v>
      </c>
      <c r="D98" s="1077">
        <v>30979</v>
      </c>
      <c r="E98" s="1077">
        <v>24359</v>
      </c>
      <c r="F98" s="1077">
        <v>8041</v>
      </c>
      <c r="G98" s="1077">
        <v>0</v>
      </c>
      <c r="H98" s="1077">
        <v>8640</v>
      </c>
      <c r="I98" s="1077">
        <v>0</v>
      </c>
      <c r="J98" s="1077">
        <v>0</v>
      </c>
      <c r="K98" s="1077">
        <v>0</v>
      </c>
      <c r="L98" s="1077">
        <v>0</v>
      </c>
      <c r="M98" s="1077">
        <v>0</v>
      </c>
      <c r="N98" s="1078">
        <v>0</v>
      </c>
      <c r="O98" s="1078">
        <v>0</v>
      </c>
      <c r="P98" s="1078">
        <v>119377</v>
      </c>
      <c r="Q98" s="1078">
        <v>47660</v>
      </c>
      <c r="R98" s="1105">
        <v>167037</v>
      </c>
      <c r="S98" s="1416"/>
      <c r="T98" s="1079" t="s">
        <v>860</v>
      </c>
      <c r="U98" s="1076" t="s">
        <v>861</v>
      </c>
      <c r="V98" s="1077">
        <v>1628</v>
      </c>
      <c r="W98" s="1077">
        <v>434</v>
      </c>
      <c r="X98" s="1077">
        <v>160575</v>
      </c>
      <c r="Y98" s="1077">
        <v>63470</v>
      </c>
      <c r="Z98" s="1077"/>
      <c r="AA98" s="1077">
        <v>0</v>
      </c>
      <c r="AB98" s="1077"/>
      <c r="AC98" s="1077">
        <v>0</v>
      </c>
      <c r="AD98" s="1077">
        <v>4400</v>
      </c>
      <c r="AE98" s="1078"/>
      <c r="AF98" s="1105">
        <v>167037</v>
      </c>
      <c r="AH98" s="1115">
        <v>167037</v>
      </c>
    </row>
    <row r="99" spans="1:34" s="1116" customFormat="1" ht="12.75" customHeight="1">
      <c r="A99" s="1416"/>
      <c r="B99" s="1079" t="s">
        <v>860</v>
      </c>
      <c r="C99" s="1076" t="s">
        <v>862</v>
      </c>
      <c r="D99" s="1077">
        <v>31044</v>
      </c>
      <c r="E99" s="1077">
        <v>24359</v>
      </c>
      <c r="F99" s="1077">
        <v>8041</v>
      </c>
      <c r="G99" s="1077">
        <v>0</v>
      </c>
      <c r="H99" s="1077">
        <v>8640</v>
      </c>
      <c r="I99" s="1077">
        <v>0</v>
      </c>
      <c r="J99" s="1077">
        <v>0</v>
      </c>
      <c r="K99" s="1077">
        <v>0</v>
      </c>
      <c r="L99" s="1077">
        <v>6591</v>
      </c>
      <c r="M99" s="1077">
        <v>0</v>
      </c>
      <c r="N99" s="1078">
        <v>873</v>
      </c>
      <c r="O99" s="1078">
        <v>0</v>
      </c>
      <c r="P99" s="1078">
        <v>120227</v>
      </c>
      <c r="Q99" s="1078">
        <v>55189</v>
      </c>
      <c r="R99" s="1105">
        <v>175416</v>
      </c>
      <c r="S99" s="1416"/>
      <c r="T99" s="1079" t="s">
        <v>860</v>
      </c>
      <c r="U99" s="1076" t="s">
        <v>862</v>
      </c>
      <c r="V99" s="1077">
        <v>2344</v>
      </c>
      <c r="W99" s="1077">
        <v>613</v>
      </c>
      <c r="X99" s="1077">
        <v>168059</v>
      </c>
      <c r="Y99" s="1077">
        <v>63470</v>
      </c>
      <c r="Z99" s="1077"/>
      <c r="AA99" s="1077">
        <v>0</v>
      </c>
      <c r="AB99" s="1077"/>
      <c r="AC99" s="1077">
        <v>0</v>
      </c>
      <c r="AD99" s="1077">
        <v>4400</v>
      </c>
      <c r="AE99" s="1078"/>
      <c r="AF99" s="1105">
        <v>175416</v>
      </c>
      <c r="AH99" s="1115">
        <v>167037</v>
      </c>
    </row>
    <row r="100" spans="1:34" s="1116" customFormat="1" ht="12.75" customHeight="1">
      <c r="A100" s="1416"/>
      <c r="B100" s="1079" t="s">
        <v>860</v>
      </c>
      <c r="C100" s="1076" t="s">
        <v>863</v>
      </c>
      <c r="D100" s="1077">
        <v>31044</v>
      </c>
      <c r="E100" s="1077">
        <v>24359</v>
      </c>
      <c r="F100" s="1077">
        <v>8041</v>
      </c>
      <c r="G100" s="1077">
        <v>0</v>
      </c>
      <c r="H100" s="1077">
        <v>0</v>
      </c>
      <c r="I100" s="1077">
        <v>0</v>
      </c>
      <c r="J100" s="1077">
        <v>0</v>
      </c>
      <c r="K100" s="1077">
        <v>0</v>
      </c>
      <c r="L100" s="1077">
        <v>6591</v>
      </c>
      <c r="M100" s="1077">
        <v>0</v>
      </c>
      <c r="N100" s="1078">
        <v>873</v>
      </c>
      <c r="O100" s="1078">
        <v>0</v>
      </c>
      <c r="P100" s="1078">
        <v>118813</v>
      </c>
      <c r="Q100" s="1078">
        <v>46549</v>
      </c>
      <c r="R100" s="1105">
        <v>165362</v>
      </c>
      <c r="S100" s="1416"/>
      <c r="T100" s="1079" t="s">
        <v>860</v>
      </c>
      <c r="U100" s="1076" t="s">
        <v>863</v>
      </c>
      <c r="V100" s="1077">
        <v>1947</v>
      </c>
      <c r="W100" s="1077">
        <v>496</v>
      </c>
      <c r="X100" s="1077">
        <v>158203</v>
      </c>
      <c r="Y100" s="1077">
        <v>63470</v>
      </c>
      <c r="Z100" s="1077"/>
      <c r="AA100" s="1077">
        <v>0</v>
      </c>
      <c r="AB100" s="1077">
        <v>316</v>
      </c>
      <c r="AC100" s="1077">
        <v>0</v>
      </c>
      <c r="AD100" s="1077">
        <v>4400</v>
      </c>
      <c r="AE100" s="1078"/>
      <c r="AF100" s="1105">
        <v>165362</v>
      </c>
      <c r="AH100" s="1115"/>
    </row>
    <row r="101" spans="1:34" s="1116" customFormat="1" ht="12" customHeight="1">
      <c r="A101" s="1416"/>
      <c r="B101" s="1079" t="s">
        <v>860</v>
      </c>
      <c r="C101" s="1076" t="s">
        <v>864</v>
      </c>
      <c r="D101" s="1077">
        <v>31044</v>
      </c>
      <c r="E101" s="1077">
        <v>24359</v>
      </c>
      <c r="F101" s="1077">
        <v>8041</v>
      </c>
      <c r="G101" s="1077">
        <v>0</v>
      </c>
      <c r="H101" s="1077">
        <v>0</v>
      </c>
      <c r="I101" s="1077">
        <v>0</v>
      </c>
      <c r="J101" s="1077">
        <v>0</v>
      </c>
      <c r="K101" s="1077">
        <v>0</v>
      </c>
      <c r="L101" s="1077">
        <v>6591</v>
      </c>
      <c r="M101" s="1077">
        <v>0</v>
      </c>
      <c r="N101" s="1078">
        <v>873</v>
      </c>
      <c r="O101" s="1078">
        <v>0</v>
      </c>
      <c r="P101" s="1078">
        <v>124207</v>
      </c>
      <c r="Q101" s="1078">
        <v>46549</v>
      </c>
      <c r="R101" s="1105">
        <v>170756</v>
      </c>
      <c r="S101" s="1416"/>
      <c r="T101" s="1079" t="s">
        <v>860</v>
      </c>
      <c r="U101" s="1076" t="s">
        <v>864</v>
      </c>
      <c r="V101" s="1077">
        <v>1947</v>
      </c>
      <c r="W101" s="1077">
        <v>496</v>
      </c>
      <c r="X101" s="1077">
        <v>163597</v>
      </c>
      <c r="Y101" s="1077">
        <v>63470</v>
      </c>
      <c r="Z101" s="1077"/>
      <c r="AA101" s="1077">
        <v>0</v>
      </c>
      <c r="AB101" s="1077">
        <v>316</v>
      </c>
      <c r="AC101" s="1077">
        <v>0</v>
      </c>
      <c r="AD101" s="1077">
        <v>4400</v>
      </c>
      <c r="AE101" s="1078"/>
      <c r="AF101" s="1105">
        <v>170756</v>
      </c>
      <c r="AH101" s="1115"/>
    </row>
    <row r="102" spans="1:34" s="1116" customFormat="1" ht="12" customHeight="1">
      <c r="A102" s="1416"/>
      <c r="B102" s="1079" t="s">
        <v>860</v>
      </c>
      <c r="C102" s="1076" t="s">
        <v>865</v>
      </c>
      <c r="D102" s="1077">
        <v>31044</v>
      </c>
      <c r="E102" s="1077">
        <v>24359</v>
      </c>
      <c r="F102" s="1077">
        <v>8041</v>
      </c>
      <c r="G102" s="1077">
        <v>0</v>
      </c>
      <c r="H102" s="1077">
        <v>11</v>
      </c>
      <c r="I102" s="1077">
        <v>0</v>
      </c>
      <c r="J102" s="1077">
        <v>0</v>
      </c>
      <c r="K102" s="1077">
        <v>0</v>
      </c>
      <c r="L102" s="1077">
        <v>6591</v>
      </c>
      <c r="M102" s="1077">
        <v>0</v>
      </c>
      <c r="N102" s="1078">
        <v>873</v>
      </c>
      <c r="O102" s="1078">
        <v>0</v>
      </c>
      <c r="P102" s="1078">
        <v>124196</v>
      </c>
      <c r="Q102" s="1078">
        <v>46560</v>
      </c>
      <c r="R102" s="1105">
        <v>170756</v>
      </c>
      <c r="S102" s="1416"/>
      <c r="T102" s="1079" t="s">
        <v>860</v>
      </c>
      <c r="U102" s="1076" t="s">
        <v>865</v>
      </c>
      <c r="V102" s="1077">
        <v>1947</v>
      </c>
      <c r="W102" s="1077">
        <v>496</v>
      </c>
      <c r="X102" s="1077">
        <v>162776</v>
      </c>
      <c r="Y102" s="1077">
        <v>63470</v>
      </c>
      <c r="Z102" s="1077"/>
      <c r="AA102" s="1077">
        <v>0</v>
      </c>
      <c r="AB102" s="1077">
        <v>316</v>
      </c>
      <c r="AC102" s="1077">
        <v>0</v>
      </c>
      <c r="AD102" s="1077">
        <v>5221</v>
      </c>
      <c r="AE102" s="1078"/>
      <c r="AF102" s="1105">
        <v>170756</v>
      </c>
      <c r="AH102" s="1115"/>
    </row>
    <row r="103" spans="1:34" ht="12.75">
      <c r="A103" s="1331" t="s">
        <v>875</v>
      </c>
      <c r="B103" s="1069" t="s">
        <v>860</v>
      </c>
      <c r="C103" s="1070" t="s">
        <v>539</v>
      </c>
      <c r="D103" s="1073">
        <v>6720</v>
      </c>
      <c r="E103" s="1073">
        <v>0</v>
      </c>
      <c r="F103" s="1073">
        <v>0</v>
      </c>
      <c r="G103" s="1073">
        <v>0</v>
      </c>
      <c r="H103" s="1073">
        <v>0</v>
      </c>
      <c r="I103" s="1073">
        <v>0</v>
      </c>
      <c r="J103" s="1073">
        <v>0</v>
      </c>
      <c r="K103" s="1073">
        <v>0</v>
      </c>
      <c r="L103" s="1073"/>
      <c r="M103" s="1073">
        <v>0</v>
      </c>
      <c r="N103" s="1071">
        <v>0</v>
      </c>
      <c r="O103" s="1071">
        <v>0</v>
      </c>
      <c r="P103" s="1071">
        <v>535</v>
      </c>
      <c r="Q103" s="1071">
        <v>6720</v>
      </c>
      <c r="R103" s="1072">
        <v>7255</v>
      </c>
      <c r="S103" s="1331" t="s">
        <v>875</v>
      </c>
      <c r="T103" s="1069" t="s">
        <v>860</v>
      </c>
      <c r="U103" s="1070" t="s">
        <v>539</v>
      </c>
      <c r="V103" s="1073">
        <v>229</v>
      </c>
      <c r="W103" s="1073">
        <v>62</v>
      </c>
      <c r="X103" s="1073">
        <v>4864</v>
      </c>
      <c r="Y103" s="1073">
        <v>0</v>
      </c>
      <c r="Z103" s="1073"/>
      <c r="AA103" s="1073">
        <v>0</v>
      </c>
      <c r="AB103" s="1073"/>
      <c r="AC103" s="1073">
        <v>2100</v>
      </c>
      <c r="AD103" s="1073">
        <v>0</v>
      </c>
      <c r="AE103" s="1071"/>
      <c r="AF103" s="1072">
        <v>7255</v>
      </c>
      <c r="AH103" s="1115">
        <v>7255</v>
      </c>
    </row>
    <row r="104" spans="1:34" ht="12.75" customHeight="1">
      <c r="A104" s="1331"/>
      <c r="B104" s="1069" t="s">
        <v>860</v>
      </c>
      <c r="C104" s="1070" t="s">
        <v>861</v>
      </c>
      <c r="D104" s="1073">
        <v>6720</v>
      </c>
      <c r="E104" s="1073">
        <v>0</v>
      </c>
      <c r="F104" s="1073">
        <v>0</v>
      </c>
      <c r="G104" s="1073">
        <v>0</v>
      </c>
      <c r="H104" s="1073">
        <v>0</v>
      </c>
      <c r="I104" s="1073">
        <v>0</v>
      </c>
      <c r="J104" s="1073">
        <v>0</v>
      </c>
      <c r="K104" s="1073">
        <v>0</v>
      </c>
      <c r="L104" s="1073"/>
      <c r="M104" s="1073">
        <v>0</v>
      </c>
      <c r="N104" s="1071">
        <v>0</v>
      </c>
      <c r="O104" s="1071">
        <v>0</v>
      </c>
      <c r="P104" s="1071">
        <v>535</v>
      </c>
      <c r="Q104" s="1071">
        <v>6720</v>
      </c>
      <c r="R104" s="1072">
        <v>7255</v>
      </c>
      <c r="S104" s="1331"/>
      <c r="T104" s="1069" t="s">
        <v>860</v>
      </c>
      <c r="U104" s="1070" t="s">
        <v>861</v>
      </c>
      <c r="V104" s="1073">
        <v>229</v>
      </c>
      <c r="W104" s="1073">
        <v>62</v>
      </c>
      <c r="X104" s="1073">
        <v>4864</v>
      </c>
      <c r="Y104" s="1073">
        <v>0</v>
      </c>
      <c r="Z104" s="1073"/>
      <c r="AA104" s="1073">
        <v>0</v>
      </c>
      <c r="AB104" s="1073"/>
      <c r="AC104" s="1073">
        <v>2100</v>
      </c>
      <c r="AD104" s="1073">
        <v>0</v>
      </c>
      <c r="AE104" s="1071"/>
      <c r="AF104" s="1072">
        <v>7255</v>
      </c>
      <c r="AH104" s="1115">
        <v>7255</v>
      </c>
    </row>
    <row r="105" spans="1:34" ht="12.75" customHeight="1">
      <c r="A105" s="1331"/>
      <c r="B105" s="1069" t="s">
        <v>860</v>
      </c>
      <c r="C105" s="1070" t="s">
        <v>862</v>
      </c>
      <c r="D105" s="1073">
        <v>6720</v>
      </c>
      <c r="E105" s="1073">
        <v>0</v>
      </c>
      <c r="F105" s="1073">
        <v>0</v>
      </c>
      <c r="G105" s="1073">
        <v>0</v>
      </c>
      <c r="H105" s="1073">
        <v>0</v>
      </c>
      <c r="I105" s="1073">
        <v>0</v>
      </c>
      <c r="J105" s="1073">
        <v>0</v>
      </c>
      <c r="K105" s="1073">
        <v>0</v>
      </c>
      <c r="L105" s="1073">
        <v>568</v>
      </c>
      <c r="M105" s="1073">
        <v>0</v>
      </c>
      <c r="N105" s="1071">
        <v>64</v>
      </c>
      <c r="O105" s="1071">
        <v>0</v>
      </c>
      <c r="P105" s="1071">
        <v>635</v>
      </c>
      <c r="Q105" s="1071">
        <v>7352</v>
      </c>
      <c r="R105" s="1072">
        <v>7987</v>
      </c>
      <c r="S105" s="1331"/>
      <c r="T105" s="1069" t="s">
        <v>860</v>
      </c>
      <c r="U105" s="1070" t="s">
        <v>862</v>
      </c>
      <c r="V105" s="1073">
        <v>340</v>
      </c>
      <c r="W105" s="1073">
        <v>70</v>
      </c>
      <c r="X105" s="1073">
        <v>5477</v>
      </c>
      <c r="Y105" s="1073">
        <v>0</v>
      </c>
      <c r="Z105" s="1073"/>
      <c r="AA105" s="1073">
        <v>0</v>
      </c>
      <c r="AB105" s="1073"/>
      <c r="AC105" s="1073">
        <v>2100</v>
      </c>
      <c r="AD105" s="1073">
        <v>0</v>
      </c>
      <c r="AE105" s="1071"/>
      <c r="AF105" s="1072">
        <v>7987</v>
      </c>
      <c r="AH105" s="1115">
        <v>7255</v>
      </c>
    </row>
    <row r="106" spans="1:34" ht="12.75" customHeight="1">
      <c r="A106" s="1331"/>
      <c r="B106" s="1069" t="s">
        <v>860</v>
      </c>
      <c r="C106" s="1070" t="s">
        <v>863</v>
      </c>
      <c r="D106" s="1073">
        <v>6720</v>
      </c>
      <c r="E106" s="1073">
        <v>0</v>
      </c>
      <c r="F106" s="1073">
        <v>0</v>
      </c>
      <c r="G106" s="1073">
        <v>0</v>
      </c>
      <c r="H106" s="1073">
        <v>0</v>
      </c>
      <c r="I106" s="1073">
        <v>0</v>
      </c>
      <c r="J106" s="1073">
        <v>0</v>
      </c>
      <c r="K106" s="1073">
        <v>0</v>
      </c>
      <c r="L106" s="1073">
        <v>568</v>
      </c>
      <c r="M106" s="1073">
        <v>0</v>
      </c>
      <c r="N106" s="1071">
        <v>64</v>
      </c>
      <c r="O106" s="1071">
        <v>0</v>
      </c>
      <c r="P106" s="1071">
        <v>207</v>
      </c>
      <c r="Q106" s="1071">
        <v>7352</v>
      </c>
      <c r="R106" s="1072">
        <v>7559</v>
      </c>
      <c r="S106" s="1331"/>
      <c r="T106" s="1069" t="s">
        <v>860</v>
      </c>
      <c r="U106" s="1070" t="s">
        <v>863</v>
      </c>
      <c r="V106" s="1073">
        <v>746</v>
      </c>
      <c r="W106" s="1073">
        <v>136</v>
      </c>
      <c r="X106" s="1073">
        <v>4577</v>
      </c>
      <c r="Y106" s="1073">
        <v>0</v>
      </c>
      <c r="Z106" s="1073"/>
      <c r="AA106" s="1073">
        <v>0</v>
      </c>
      <c r="AB106" s="1073"/>
      <c r="AC106" s="1073">
        <v>2100</v>
      </c>
      <c r="AD106" s="1073">
        <v>0</v>
      </c>
      <c r="AE106" s="1071"/>
      <c r="AF106" s="1072">
        <v>7559</v>
      </c>
      <c r="AH106" s="1115"/>
    </row>
    <row r="107" spans="1:34" ht="12.75" customHeight="1">
      <c r="A107" s="1331"/>
      <c r="B107" s="1069" t="s">
        <v>860</v>
      </c>
      <c r="C107" s="1070" t="s">
        <v>864</v>
      </c>
      <c r="D107" s="1073">
        <v>6720</v>
      </c>
      <c r="E107" s="1073">
        <v>0</v>
      </c>
      <c r="F107" s="1073">
        <v>0</v>
      </c>
      <c r="G107" s="1073">
        <v>0</v>
      </c>
      <c r="H107" s="1073">
        <v>0</v>
      </c>
      <c r="I107" s="1073">
        <v>0</v>
      </c>
      <c r="J107" s="1073">
        <v>0</v>
      </c>
      <c r="K107" s="1073">
        <v>0</v>
      </c>
      <c r="L107" s="1073">
        <v>568</v>
      </c>
      <c r="M107" s="1073">
        <v>0</v>
      </c>
      <c r="N107" s="1071">
        <v>64</v>
      </c>
      <c r="O107" s="1071">
        <v>0</v>
      </c>
      <c r="P107" s="1071">
        <v>207</v>
      </c>
      <c r="Q107" s="1071">
        <v>7352</v>
      </c>
      <c r="R107" s="1072">
        <v>7559</v>
      </c>
      <c r="S107" s="1331"/>
      <c r="T107" s="1069" t="s">
        <v>860</v>
      </c>
      <c r="U107" s="1070" t="s">
        <v>864</v>
      </c>
      <c r="V107" s="1073">
        <v>746</v>
      </c>
      <c r="W107" s="1073">
        <v>136</v>
      </c>
      <c r="X107" s="1073">
        <v>4577</v>
      </c>
      <c r="Y107" s="1073">
        <v>0</v>
      </c>
      <c r="Z107" s="1073"/>
      <c r="AA107" s="1073">
        <v>0</v>
      </c>
      <c r="AB107" s="1073"/>
      <c r="AC107" s="1073">
        <v>2100</v>
      </c>
      <c r="AD107" s="1073">
        <v>0</v>
      </c>
      <c r="AE107" s="1071"/>
      <c r="AF107" s="1072">
        <v>7559</v>
      </c>
      <c r="AH107" s="1115"/>
    </row>
    <row r="108" spans="1:34" ht="12.75" customHeight="1">
      <c r="A108" s="1331"/>
      <c r="B108" s="1069" t="s">
        <v>860</v>
      </c>
      <c r="C108" s="1070" t="s">
        <v>865</v>
      </c>
      <c r="D108" s="1073">
        <v>6720</v>
      </c>
      <c r="E108" s="1073">
        <v>0</v>
      </c>
      <c r="F108" s="1073">
        <v>0</v>
      </c>
      <c r="G108" s="1073">
        <v>0</v>
      </c>
      <c r="H108" s="1073">
        <v>0</v>
      </c>
      <c r="I108" s="1073">
        <v>0</v>
      </c>
      <c r="J108" s="1073">
        <v>0</v>
      </c>
      <c r="K108" s="1073">
        <v>0</v>
      </c>
      <c r="L108" s="1073">
        <v>568</v>
      </c>
      <c r="M108" s="1073">
        <v>0</v>
      </c>
      <c r="N108" s="1071">
        <v>64</v>
      </c>
      <c r="O108" s="1071">
        <v>0</v>
      </c>
      <c r="P108" s="1071">
        <v>207</v>
      </c>
      <c r="Q108" s="1071">
        <v>7352</v>
      </c>
      <c r="R108" s="1072">
        <v>7559</v>
      </c>
      <c r="S108" s="1331"/>
      <c r="T108" s="1069" t="s">
        <v>860</v>
      </c>
      <c r="U108" s="1070" t="s">
        <v>865</v>
      </c>
      <c r="V108" s="1073">
        <v>746</v>
      </c>
      <c r="W108" s="1073">
        <v>136</v>
      </c>
      <c r="X108" s="1073">
        <v>4577</v>
      </c>
      <c r="Y108" s="1073">
        <v>0</v>
      </c>
      <c r="Z108" s="1073"/>
      <c r="AA108" s="1073">
        <v>0</v>
      </c>
      <c r="AB108" s="1073"/>
      <c r="AC108" s="1073">
        <v>2100</v>
      </c>
      <c r="AD108" s="1073">
        <v>0</v>
      </c>
      <c r="AE108" s="1071"/>
      <c r="AF108" s="1072">
        <v>7559</v>
      </c>
      <c r="AH108" s="1115"/>
    </row>
    <row r="109" spans="1:34" ht="12.75" customHeight="1">
      <c r="A109" s="1106" t="s">
        <v>876</v>
      </c>
      <c r="B109" s="1069" t="s">
        <v>860</v>
      </c>
      <c r="C109" s="1070" t="s">
        <v>865</v>
      </c>
      <c r="D109" s="1073">
        <v>9824</v>
      </c>
      <c r="E109" s="1073">
        <v>9824</v>
      </c>
      <c r="F109" s="1073">
        <v>2652</v>
      </c>
      <c r="G109" s="1073"/>
      <c r="H109" s="1073"/>
      <c r="I109" s="1073"/>
      <c r="J109" s="1073"/>
      <c r="K109" s="1073"/>
      <c r="L109" s="1073"/>
      <c r="M109" s="1073"/>
      <c r="N109" s="1071"/>
      <c r="O109" s="1071"/>
      <c r="P109" s="1071">
        <v>6408</v>
      </c>
      <c r="Q109" s="1071">
        <v>12476</v>
      </c>
      <c r="R109" s="1072">
        <v>18884</v>
      </c>
      <c r="S109" s="1106" t="s">
        <v>876</v>
      </c>
      <c r="T109" s="1069" t="s">
        <v>860</v>
      </c>
      <c r="U109" s="1070" t="s">
        <v>865</v>
      </c>
      <c r="V109" s="1073"/>
      <c r="W109" s="1073"/>
      <c r="X109" s="1073">
        <v>18884</v>
      </c>
      <c r="Y109" s="1073">
        <v>18884</v>
      </c>
      <c r="Z109" s="1073"/>
      <c r="AA109" s="1073"/>
      <c r="AB109" s="1073"/>
      <c r="AC109" s="1073"/>
      <c r="AD109" s="1073"/>
      <c r="AE109" s="1071"/>
      <c r="AF109" s="1072">
        <v>18884</v>
      </c>
      <c r="AH109" s="1115"/>
    </row>
    <row r="110" spans="1:34" ht="12.75" customHeight="1">
      <c r="A110" s="1106" t="s">
        <v>877</v>
      </c>
      <c r="B110" s="1069" t="s">
        <v>860</v>
      </c>
      <c r="C110" s="1070" t="s">
        <v>865</v>
      </c>
      <c r="D110" s="1073">
        <v>1899</v>
      </c>
      <c r="E110" s="1073">
        <v>1899</v>
      </c>
      <c r="F110" s="1073">
        <v>513</v>
      </c>
      <c r="G110" s="1073"/>
      <c r="H110" s="1073"/>
      <c r="I110" s="1073"/>
      <c r="J110" s="1073"/>
      <c r="K110" s="1073"/>
      <c r="L110" s="1073"/>
      <c r="M110" s="1073"/>
      <c r="N110" s="1071"/>
      <c r="O110" s="1071"/>
      <c r="P110" s="1071">
        <v>3944</v>
      </c>
      <c r="Q110" s="1071">
        <v>2412</v>
      </c>
      <c r="R110" s="1072">
        <v>6356</v>
      </c>
      <c r="S110" s="1106" t="s">
        <v>877</v>
      </c>
      <c r="T110" s="1069" t="s">
        <v>860</v>
      </c>
      <c r="U110" s="1070" t="s">
        <v>865</v>
      </c>
      <c r="V110" s="1073"/>
      <c r="W110" s="1073"/>
      <c r="X110" s="1073">
        <v>6356</v>
      </c>
      <c r="Y110" s="1073">
        <v>6356</v>
      </c>
      <c r="Z110" s="1073"/>
      <c r="AA110" s="1073"/>
      <c r="AB110" s="1073"/>
      <c r="AC110" s="1073"/>
      <c r="AD110" s="1073"/>
      <c r="AE110" s="1071"/>
      <c r="AF110" s="1072">
        <v>6356</v>
      </c>
      <c r="AH110" s="1115"/>
    </row>
    <row r="111" spans="1:34" ht="15" customHeight="1">
      <c r="A111" s="1331" t="s">
        <v>878</v>
      </c>
      <c r="B111" s="1069" t="s">
        <v>860</v>
      </c>
      <c r="C111" s="1070" t="s">
        <v>879</v>
      </c>
      <c r="D111" s="1073">
        <v>14888</v>
      </c>
      <c r="E111" s="1073">
        <v>14888</v>
      </c>
      <c r="F111" s="1073"/>
      <c r="G111" s="1073"/>
      <c r="H111" s="1073"/>
      <c r="I111" s="1073"/>
      <c r="J111" s="1073"/>
      <c r="K111" s="1073"/>
      <c r="L111" s="1073"/>
      <c r="M111" s="1073"/>
      <c r="N111" s="1071"/>
      <c r="O111" s="1071"/>
      <c r="P111" s="1071">
        <v>13820</v>
      </c>
      <c r="Q111" s="1071">
        <v>14888</v>
      </c>
      <c r="R111" s="1072">
        <v>28708</v>
      </c>
      <c r="S111" s="1331" t="s">
        <v>880</v>
      </c>
      <c r="T111" s="1069" t="s">
        <v>860</v>
      </c>
      <c r="U111" s="1070" t="s">
        <v>879</v>
      </c>
      <c r="V111" s="1073">
        <v>0</v>
      </c>
      <c r="W111" s="1073">
        <v>0</v>
      </c>
      <c r="X111" s="1073">
        <v>28708</v>
      </c>
      <c r="Y111" s="1073">
        <v>28708</v>
      </c>
      <c r="Z111" s="1073"/>
      <c r="AA111" s="1073"/>
      <c r="AB111" s="1073"/>
      <c r="AC111" s="1073"/>
      <c r="AD111" s="1073"/>
      <c r="AE111" s="1071"/>
      <c r="AF111" s="1072">
        <v>28708</v>
      </c>
      <c r="AH111" s="1115"/>
    </row>
    <row r="112" spans="1:34" ht="14.25" customHeight="1">
      <c r="A112" s="1331"/>
      <c r="B112" s="1069" t="s">
        <v>860</v>
      </c>
      <c r="C112" s="1070" t="s">
        <v>863</v>
      </c>
      <c r="D112" s="1073">
        <v>14888</v>
      </c>
      <c r="E112" s="1073">
        <v>14888</v>
      </c>
      <c r="F112" s="1073"/>
      <c r="G112" s="1073"/>
      <c r="H112" s="1073"/>
      <c r="I112" s="1073"/>
      <c r="J112" s="1073"/>
      <c r="K112" s="1073"/>
      <c r="L112" s="1073"/>
      <c r="M112" s="1073"/>
      <c r="N112" s="1071"/>
      <c r="O112" s="1071"/>
      <c r="P112" s="1071">
        <v>17520</v>
      </c>
      <c r="Q112" s="1071">
        <v>14888</v>
      </c>
      <c r="R112" s="1072">
        <v>32408</v>
      </c>
      <c r="S112" s="1331"/>
      <c r="T112" s="1069" t="s">
        <v>860</v>
      </c>
      <c r="U112" s="1070" t="s">
        <v>863</v>
      </c>
      <c r="V112" s="1073">
        <v>0</v>
      </c>
      <c r="W112" s="1073">
        <v>0</v>
      </c>
      <c r="X112" s="1073">
        <v>32408</v>
      </c>
      <c r="Y112" s="1073">
        <v>32408</v>
      </c>
      <c r="Z112" s="1073"/>
      <c r="AA112" s="1073"/>
      <c r="AB112" s="1073"/>
      <c r="AC112" s="1073"/>
      <c r="AD112" s="1073"/>
      <c r="AE112" s="1071"/>
      <c r="AF112" s="1072">
        <v>32408</v>
      </c>
      <c r="AH112" s="1115"/>
    </row>
    <row r="113" spans="1:34" ht="15.75" customHeight="1">
      <c r="A113" s="1331"/>
      <c r="B113" s="1069" t="s">
        <v>860</v>
      </c>
      <c r="C113" s="1070" t="s">
        <v>864</v>
      </c>
      <c r="D113" s="1073">
        <v>14888</v>
      </c>
      <c r="E113" s="1073">
        <v>14888</v>
      </c>
      <c r="F113" s="1073"/>
      <c r="G113" s="1073"/>
      <c r="H113" s="1073"/>
      <c r="I113" s="1073"/>
      <c r="J113" s="1073"/>
      <c r="K113" s="1073"/>
      <c r="L113" s="1073"/>
      <c r="M113" s="1073"/>
      <c r="N113" s="1071"/>
      <c r="O113" s="1071"/>
      <c r="P113" s="1071">
        <v>10352</v>
      </c>
      <c r="Q113" s="1071">
        <v>14888</v>
      </c>
      <c r="R113" s="1072">
        <v>25240</v>
      </c>
      <c r="S113" s="1331"/>
      <c r="T113" s="1069" t="s">
        <v>860</v>
      </c>
      <c r="U113" s="1070" t="s">
        <v>864</v>
      </c>
      <c r="V113" s="1073">
        <v>0</v>
      </c>
      <c r="W113" s="1073">
        <v>0</v>
      </c>
      <c r="X113" s="1073">
        <v>25240</v>
      </c>
      <c r="Y113" s="1073">
        <v>28708</v>
      </c>
      <c r="Z113" s="1073"/>
      <c r="AA113" s="1073"/>
      <c r="AB113" s="1073"/>
      <c r="AC113" s="1073"/>
      <c r="AD113" s="1073"/>
      <c r="AE113" s="1071"/>
      <c r="AF113" s="1072">
        <v>25240</v>
      </c>
      <c r="AH113" s="1115"/>
    </row>
    <row r="114" spans="1:34" ht="17.25" customHeight="1">
      <c r="A114" s="1331"/>
      <c r="B114" s="1069" t="s">
        <v>860</v>
      </c>
      <c r="C114" s="1070" t="s">
        <v>865</v>
      </c>
      <c r="D114" s="1073">
        <v>11723</v>
      </c>
      <c r="E114" s="1073">
        <v>11723</v>
      </c>
      <c r="F114" s="1073">
        <v>3165</v>
      </c>
      <c r="G114" s="1073">
        <v>0</v>
      </c>
      <c r="H114" s="1073">
        <v>0</v>
      </c>
      <c r="I114" s="1073">
        <v>0</v>
      </c>
      <c r="J114" s="1073">
        <v>0</v>
      </c>
      <c r="K114" s="1073">
        <v>0</v>
      </c>
      <c r="L114" s="1073">
        <v>0</v>
      </c>
      <c r="M114" s="1073">
        <v>0</v>
      </c>
      <c r="N114" s="1073">
        <v>0</v>
      </c>
      <c r="O114" s="1073">
        <v>0</v>
      </c>
      <c r="P114" s="1073">
        <v>10352</v>
      </c>
      <c r="Q114" s="1071">
        <v>14888</v>
      </c>
      <c r="R114" s="1072">
        <v>25240</v>
      </c>
      <c r="S114" s="1331"/>
      <c r="T114" s="1069" t="s">
        <v>860</v>
      </c>
      <c r="U114" s="1070" t="s">
        <v>865</v>
      </c>
      <c r="V114" s="1073">
        <v>0</v>
      </c>
      <c r="W114" s="1073">
        <v>0</v>
      </c>
      <c r="X114" s="1073">
        <v>25240</v>
      </c>
      <c r="Y114" s="1073">
        <v>25240</v>
      </c>
      <c r="Z114" s="1073">
        <v>0</v>
      </c>
      <c r="AA114" s="1073">
        <v>0</v>
      </c>
      <c r="AB114" s="1073">
        <v>0</v>
      </c>
      <c r="AC114" s="1073">
        <v>0</v>
      </c>
      <c r="AD114" s="1073">
        <v>0</v>
      </c>
      <c r="AE114" s="1073">
        <v>0</v>
      </c>
      <c r="AF114" s="1072">
        <v>25240</v>
      </c>
      <c r="AH114" s="1115"/>
    </row>
    <row r="115" spans="1:34" ht="14.25" customHeight="1">
      <c r="A115" s="1331" t="s">
        <v>754</v>
      </c>
      <c r="B115" s="1069" t="s">
        <v>881</v>
      </c>
      <c r="C115" s="1070" t="s">
        <v>539</v>
      </c>
      <c r="D115" s="1073">
        <v>666</v>
      </c>
      <c r="E115" s="1073">
        <v>0</v>
      </c>
      <c r="F115" s="1073">
        <v>8180</v>
      </c>
      <c r="G115" s="1073">
        <v>0</v>
      </c>
      <c r="H115" s="1073">
        <v>0</v>
      </c>
      <c r="I115" s="1073">
        <v>0</v>
      </c>
      <c r="J115" s="1073">
        <v>0</v>
      </c>
      <c r="K115" s="1073">
        <v>0</v>
      </c>
      <c r="L115" s="1073"/>
      <c r="M115" s="1073">
        <v>0</v>
      </c>
      <c r="N115" s="1071"/>
      <c r="O115" s="1071">
        <v>0</v>
      </c>
      <c r="P115" s="1071">
        <v>23488</v>
      </c>
      <c r="Q115" s="1071">
        <v>8846</v>
      </c>
      <c r="R115" s="1072">
        <v>32334</v>
      </c>
      <c r="S115" s="1331" t="s">
        <v>754</v>
      </c>
      <c r="T115" s="1069" t="s">
        <v>881</v>
      </c>
      <c r="U115" s="1070" t="s">
        <v>539</v>
      </c>
      <c r="V115" s="1073">
        <v>17782</v>
      </c>
      <c r="W115" s="1073">
        <v>4738</v>
      </c>
      <c r="X115" s="1073">
        <v>9814</v>
      </c>
      <c r="Y115" s="1073">
        <v>0</v>
      </c>
      <c r="Z115" s="1073"/>
      <c r="AA115" s="1073"/>
      <c r="AB115" s="1073"/>
      <c r="AC115" s="1073">
        <v>0</v>
      </c>
      <c r="AD115" s="1073">
        <v>0</v>
      </c>
      <c r="AE115" s="1071"/>
      <c r="AF115" s="1072">
        <v>32334</v>
      </c>
      <c r="AH115" s="1115">
        <v>32334</v>
      </c>
    </row>
    <row r="116" spans="1:34" ht="12.75" customHeight="1">
      <c r="A116" s="1331"/>
      <c r="B116" s="1069" t="s">
        <v>881</v>
      </c>
      <c r="C116" s="1070" t="s">
        <v>861</v>
      </c>
      <c r="D116" s="1073">
        <v>666</v>
      </c>
      <c r="E116" s="1073">
        <v>0</v>
      </c>
      <c r="F116" s="1073">
        <v>8180</v>
      </c>
      <c r="G116" s="1073">
        <v>0</v>
      </c>
      <c r="H116" s="1073">
        <v>0</v>
      </c>
      <c r="I116" s="1073">
        <v>0</v>
      </c>
      <c r="J116" s="1073">
        <v>0</v>
      </c>
      <c r="K116" s="1073">
        <v>0</v>
      </c>
      <c r="L116" s="1073"/>
      <c r="M116" s="1073">
        <v>0</v>
      </c>
      <c r="N116" s="1071">
        <v>0</v>
      </c>
      <c r="O116" s="1071">
        <v>0</v>
      </c>
      <c r="P116" s="1071">
        <v>23488</v>
      </c>
      <c r="Q116" s="1071">
        <v>8846</v>
      </c>
      <c r="R116" s="1072">
        <v>32334</v>
      </c>
      <c r="S116" s="1331"/>
      <c r="T116" s="1069" t="s">
        <v>881</v>
      </c>
      <c r="U116" s="1070" t="s">
        <v>861</v>
      </c>
      <c r="V116" s="1073">
        <v>17782</v>
      </c>
      <c r="W116" s="1073">
        <v>4738</v>
      </c>
      <c r="X116" s="1073">
        <v>9814</v>
      </c>
      <c r="Y116" s="1073">
        <v>0</v>
      </c>
      <c r="Z116" s="1073"/>
      <c r="AA116" s="1073">
        <v>0</v>
      </c>
      <c r="AB116" s="1073"/>
      <c r="AC116" s="1073">
        <v>0</v>
      </c>
      <c r="AD116" s="1073">
        <v>0</v>
      </c>
      <c r="AE116" s="1071"/>
      <c r="AF116" s="1072">
        <v>32334</v>
      </c>
      <c r="AH116" s="1115">
        <v>32334</v>
      </c>
    </row>
    <row r="117" spans="1:34" ht="12.75" customHeight="1">
      <c r="A117" s="1331"/>
      <c r="B117" s="1069" t="s">
        <v>881</v>
      </c>
      <c r="C117" s="1070" t="s">
        <v>862</v>
      </c>
      <c r="D117" s="1073">
        <v>666</v>
      </c>
      <c r="E117" s="1073">
        <v>0</v>
      </c>
      <c r="F117" s="1073">
        <v>8180</v>
      </c>
      <c r="G117" s="1073">
        <v>0</v>
      </c>
      <c r="H117" s="1073">
        <v>0</v>
      </c>
      <c r="I117" s="1073">
        <v>0</v>
      </c>
      <c r="J117" s="1073">
        <v>0</v>
      </c>
      <c r="K117" s="1073">
        <v>0</v>
      </c>
      <c r="L117" s="1073"/>
      <c r="M117" s="1073">
        <v>0</v>
      </c>
      <c r="N117" s="1071">
        <v>19307</v>
      </c>
      <c r="O117" s="1071">
        <v>0</v>
      </c>
      <c r="P117" s="1071">
        <v>24739</v>
      </c>
      <c r="Q117" s="1071">
        <v>28153</v>
      </c>
      <c r="R117" s="1072">
        <v>52892</v>
      </c>
      <c r="S117" s="1331"/>
      <c r="T117" s="1069" t="s">
        <v>881</v>
      </c>
      <c r="U117" s="1070" t="s">
        <v>862</v>
      </c>
      <c r="V117" s="1073">
        <v>19275</v>
      </c>
      <c r="W117" s="1073">
        <v>5141</v>
      </c>
      <c r="X117" s="1073">
        <v>10800</v>
      </c>
      <c r="Y117" s="1073">
        <v>0</v>
      </c>
      <c r="Z117" s="1073"/>
      <c r="AA117" s="1073">
        <v>17676</v>
      </c>
      <c r="AB117" s="1073"/>
      <c r="AC117" s="1073">
        <v>0</v>
      </c>
      <c r="AD117" s="1073">
        <v>0</v>
      </c>
      <c r="AE117" s="1071"/>
      <c r="AF117" s="1072">
        <v>52892</v>
      </c>
      <c r="AH117" s="1115">
        <v>32334</v>
      </c>
    </row>
    <row r="118" spans="1:34" ht="12.75" customHeight="1">
      <c r="A118" s="1331"/>
      <c r="B118" s="1069" t="s">
        <v>881</v>
      </c>
      <c r="C118" s="1070" t="s">
        <v>863</v>
      </c>
      <c r="D118" s="1073">
        <v>666</v>
      </c>
      <c r="E118" s="1073">
        <v>0</v>
      </c>
      <c r="F118" s="1073">
        <v>8180</v>
      </c>
      <c r="G118" s="1073">
        <v>0</v>
      </c>
      <c r="H118" s="1073">
        <v>677</v>
      </c>
      <c r="I118" s="1073">
        <v>0</v>
      </c>
      <c r="J118" s="1073">
        <v>0</v>
      </c>
      <c r="K118" s="1073">
        <v>0</v>
      </c>
      <c r="L118" s="1073"/>
      <c r="M118" s="1073">
        <v>0</v>
      </c>
      <c r="N118" s="1071">
        <v>19307</v>
      </c>
      <c r="O118" s="1071">
        <v>0</v>
      </c>
      <c r="P118" s="1071">
        <v>27708</v>
      </c>
      <c r="Q118" s="1071">
        <v>28830</v>
      </c>
      <c r="R118" s="1072">
        <v>56538</v>
      </c>
      <c r="S118" s="1331"/>
      <c r="T118" s="1069" t="s">
        <v>881</v>
      </c>
      <c r="U118" s="1070" t="s">
        <v>863</v>
      </c>
      <c r="V118" s="1073">
        <v>20108</v>
      </c>
      <c r="W118" s="1073">
        <v>5354</v>
      </c>
      <c r="X118" s="1073">
        <v>10800</v>
      </c>
      <c r="Y118" s="1073">
        <v>0</v>
      </c>
      <c r="Z118" s="1073"/>
      <c r="AA118" s="1073">
        <v>17676</v>
      </c>
      <c r="AB118" s="1073"/>
      <c r="AC118" s="1073">
        <v>2600</v>
      </c>
      <c r="AD118" s="1073">
        <v>0</v>
      </c>
      <c r="AE118" s="1071"/>
      <c r="AF118" s="1072">
        <v>56538</v>
      </c>
      <c r="AH118" s="1115"/>
    </row>
    <row r="119" spans="1:34" ht="12.75" customHeight="1">
      <c r="A119" s="1331"/>
      <c r="B119" s="1069" t="s">
        <v>881</v>
      </c>
      <c r="C119" s="1070" t="s">
        <v>864</v>
      </c>
      <c r="D119" s="1073">
        <v>666</v>
      </c>
      <c r="E119" s="1073">
        <v>0</v>
      </c>
      <c r="F119" s="1073">
        <v>9301</v>
      </c>
      <c r="G119" s="1073">
        <v>0</v>
      </c>
      <c r="H119" s="1073">
        <v>677</v>
      </c>
      <c r="I119" s="1073">
        <v>0</v>
      </c>
      <c r="J119" s="1073">
        <v>0</v>
      </c>
      <c r="K119" s="1073">
        <v>0</v>
      </c>
      <c r="L119" s="1073"/>
      <c r="M119" s="1073">
        <v>0</v>
      </c>
      <c r="N119" s="1071">
        <v>19307</v>
      </c>
      <c r="O119" s="1071">
        <v>0</v>
      </c>
      <c r="P119" s="1071">
        <v>25936</v>
      </c>
      <c r="Q119" s="1071">
        <v>29951</v>
      </c>
      <c r="R119" s="1072">
        <v>55887</v>
      </c>
      <c r="S119" s="1331"/>
      <c r="T119" s="1069" t="s">
        <v>881</v>
      </c>
      <c r="U119" s="1070" t="s">
        <v>864</v>
      </c>
      <c r="V119" s="1073">
        <v>20454</v>
      </c>
      <c r="W119" s="1073">
        <v>5446</v>
      </c>
      <c r="X119" s="1073">
        <v>12311</v>
      </c>
      <c r="Y119" s="1073">
        <v>0</v>
      </c>
      <c r="Z119" s="1073"/>
      <c r="AA119" s="1073">
        <v>17676</v>
      </c>
      <c r="AB119" s="1073"/>
      <c r="AC119" s="1073">
        <v>0</v>
      </c>
      <c r="AD119" s="1073">
        <v>0</v>
      </c>
      <c r="AE119" s="1071"/>
      <c r="AF119" s="1072">
        <v>55887</v>
      </c>
      <c r="AH119" s="1115"/>
    </row>
    <row r="120" spans="1:34" ht="12.75" customHeight="1">
      <c r="A120" s="1331"/>
      <c r="B120" s="1069" t="s">
        <v>881</v>
      </c>
      <c r="C120" s="1070" t="s">
        <v>865</v>
      </c>
      <c r="D120" s="1073">
        <v>655</v>
      </c>
      <c r="E120" s="1073">
        <v>0</v>
      </c>
      <c r="F120" s="1073">
        <v>11055</v>
      </c>
      <c r="G120" s="1073">
        <v>0</v>
      </c>
      <c r="H120" s="1073">
        <v>677</v>
      </c>
      <c r="I120" s="1073">
        <v>0</v>
      </c>
      <c r="J120" s="1073">
        <v>11697</v>
      </c>
      <c r="K120" s="1073">
        <v>0</v>
      </c>
      <c r="L120" s="1073"/>
      <c r="M120" s="1073">
        <v>0</v>
      </c>
      <c r="N120" s="1071">
        <v>19307</v>
      </c>
      <c r="O120" s="1071">
        <v>0</v>
      </c>
      <c r="P120" s="1071">
        <v>13308</v>
      </c>
      <c r="Q120" s="1071">
        <v>43391</v>
      </c>
      <c r="R120" s="1072">
        <v>56699</v>
      </c>
      <c r="S120" s="1331"/>
      <c r="T120" s="1069" t="s">
        <v>881</v>
      </c>
      <c r="U120" s="1070" t="s">
        <v>865</v>
      </c>
      <c r="V120" s="1073">
        <v>19725</v>
      </c>
      <c r="W120" s="1073">
        <v>5233</v>
      </c>
      <c r="X120" s="1073">
        <v>14065</v>
      </c>
      <c r="Y120" s="1073">
        <v>0</v>
      </c>
      <c r="Z120" s="1073"/>
      <c r="AA120" s="1073">
        <v>17676</v>
      </c>
      <c r="AB120" s="1073"/>
      <c r="AC120" s="1073">
        <v>0</v>
      </c>
      <c r="AD120" s="1073">
        <v>0</v>
      </c>
      <c r="AE120" s="1071"/>
      <c r="AF120" s="1072">
        <v>56699</v>
      </c>
      <c r="AH120" s="1115"/>
    </row>
    <row r="121" spans="1:34" s="1116" customFormat="1" ht="12.75">
      <c r="A121" s="1416" t="s">
        <v>882</v>
      </c>
      <c r="B121" s="1079" t="s">
        <v>883</v>
      </c>
      <c r="C121" s="1076" t="s">
        <v>539</v>
      </c>
      <c r="D121" s="1077">
        <v>62288</v>
      </c>
      <c r="E121" s="1077">
        <v>44484</v>
      </c>
      <c r="F121" s="1077">
        <v>22374</v>
      </c>
      <c r="G121" s="1077">
        <v>0</v>
      </c>
      <c r="H121" s="1077">
        <v>9880</v>
      </c>
      <c r="I121" s="1077">
        <v>0</v>
      </c>
      <c r="J121" s="1077">
        <v>0</v>
      </c>
      <c r="K121" s="1077">
        <v>0</v>
      </c>
      <c r="L121" s="1077"/>
      <c r="M121" s="1077">
        <v>0</v>
      </c>
      <c r="N121" s="1078">
        <v>0</v>
      </c>
      <c r="O121" s="1078">
        <v>0</v>
      </c>
      <c r="P121" s="1078">
        <v>233571</v>
      </c>
      <c r="Q121" s="1078">
        <v>94542</v>
      </c>
      <c r="R121" s="1105">
        <v>328113</v>
      </c>
      <c r="S121" s="1416" t="s">
        <v>882</v>
      </c>
      <c r="T121" s="1079" t="s">
        <v>883</v>
      </c>
      <c r="U121" s="1076" t="s">
        <v>539</v>
      </c>
      <c r="V121" s="1077">
        <v>21244</v>
      </c>
      <c r="W121" s="1077">
        <v>5626</v>
      </c>
      <c r="X121" s="1077">
        <v>289743</v>
      </c>
      <c r="Y121" s="1077">
        <v>121314</v>
      </c>
      <c r="Z121" s="1077"/>
      <c r="AA121" s="1077">
        <v>0</v>
      </c>
      <c r="AB121" s="1077"/>
      <c r="AC121" s="1077">
        <v>2100</v>
      </c>
      <c r="AD121" s="1077">
        <v>9400</v>
      </c>
      <c r="AE121" s="1078"/>
      <c r="AF121" s="1105">
        <v>328113</v>
      </c>
      <c r="AG121" s="1108">
        <v>0</v>
      </c>
      <c r="AH121" s="1078">
        <v>328113</v>
      </c>
    </row>
    <row r="122" spans="1:34" s="1116" customFormat="1" ht="13.5" customHeight="1">
      <c r="A122" s="1416"/>
      <c r="B122" s="1079" t="s">
        <v>883</v>
      </c>
      <c r="C122" s="1076" t="s">
        <v>861</v>
      </c>
      <c r="D122" s="1077">
        <v>62288</v>
      </c>
      <c r="E122" s="1077">
        <v>44484</v>
      </c>
      <c r="F122" s="1077">
        <v>22374</v>
      </c>
      <c r="G122" s="1077">
        <v>0</v>
      </c>
      <c r="H122" s="1077">
        <v>9880</v>
      </c>
      <c r="I122" s="1077">
        <v>0</v>
      </c>
      <c r="J122" s="1077">
        <v>0</v>
      </c>
      <c r="K122" s="1077">
        <v>0</v>
      </c>
      <c r="L122" s="1077"/>
      <c r="M122" s="1077">
        <v>0</v>
      </c>
      <c r="N122" s="1078">
        <v>0</v>
      </c>
      <c r="O122" s="1078">
        <v>0</v>
      </c>
      <c r="P122" s="1078">
        <v>233571</v>
      </c>
      <c r="Q122" s="1078">
        <v>94542</v>
      </c>
      <c r="R122" s="1105">
        <v>328113</v>
      </c>
      <c r="S122" s="1416"/>
      <c r="T122" s="1079" t="s">
        <v>883</v>
      </c>
      <c r="U122" s="1076" t="s">
        <v>861</v>
      </c>
      <c r="V122" s="1077">
        <v>21244</v>
      </c>
      <c r="W122" s="1077">
        <v>5626</v>
      </c>
      <c r="X122" s="1077">
        <v>289743</v>
      </c>
      <c r="Y122" s="1077">
        <v>121314</v>
      </c>
      <c r="Z122" s="1077"/>
      <c r="AA122" s="1077">
        <v>0</v>
      </c>
      <c r="AB122" s="1077"/>
      <c r="AC122" s="1077">
        <v>2100</v>
      </c>
      <c r="AD122" s="1077">
        <v>9400</v>
      </c>
      <c r="AE122" s="1078"/>
      <c r="AF122" s="1105">
        <v>328113</v>
      </c>
      <c r="AG122" s="1108">
        <v>0</v>
      </c>
      <c r="AH122" s="1078">
        <v>206626</v>
      </c>
    </row>
    <row r="123" spans="1:34" s="1116" customFormat="1" ht="13.5" customHeight="1">
      <c r="A123" s="1416"/>
      <c r="B123" s="1079" t="s">
        <v>883</v>
      </c>
      <c r="C123" s="1076" t="s">
        <v>862</v>
      </c>
      <c r="D123" s="1077">
        <v>77241</v>
      </c>
      <c r="E123" s="1077">
        <v>59372</v>
      </c>
      <c r="F123" s="1077">
        <v>22374</v>
      </c>
      <c r="G123" s="1077">
        <v>0</v>
      </c>
      <c r="H123" s="1077">
        <v>9880</v>
      </c>
      <c r="I123" s="1077">
        <v>0</v>
      </c>
      <c r="J123" s="1077">
        <v>0</v>
      </c>
      <c r="K123" s="1077">
        <v>0</v>
      </c>
      <c r="L123" s="1077">
        <v>11754</v>
      </c>
      <c r="M123" s="1077">
        <v>0</v>
      </c>
      <c r="N123" s="1078">
        <v>20355</v>
      </c>
      <c r="O123" s="1078">
        <v>0</v>
      </c>
      <c r="P123" s="1078">
        <v>249992</v>
      </c>
      <c r="Q123" s="1078">
        <v>141604</v>
      </c>
      <c r="R123" s="1105">
        <v>391596</v>
      </c>
      <c r="S123" s="1416"/>
      <c r="T123" s="1079" t="s">
        <v>883</v>
      </c>
      <c r="U123" s="1076" t="s">
        <v>862</v>
      </c>
      <c r="V123" s="1077">
        <v>24076</v>
      </c>
      <c r="W123" s="1077">
        <v>6361</v>
      </c>
      <c r="X123" s="1077">
        <v>331983</v>
      </c>
      <c r="Y123" s="1077">
        <v>150022</v>
      </c>
      <c r="Z123" s="1077"/>
      <c r="AA123" s="1077">
        <v>17676</v>
      </c>
      <c r="AB123" s="1077"/>
      <c r="AC123" s="1077">
        <v>2100</v>
      </c>
      <c r="AD123" s="1077">
        <v>9400</v>
      </c>
      <c r="AE123" s="1078"/>
      <c r="AF123" s="1105">
        <v>391596</v>
      </c>
      <c r="AG123" s="1108">
        <v>0</v>
      </c>
      <c r="AH123" s="1078">
        <v>206626</v>
      </c>
    </row>
    <row r="124" spans="1:34" s="1116" customFormat="1" ht="13.5" customHeight="1">
      <c r="A124" s="1416"/>
      <c r="B124" s="1079" t="s">
        <v>860</v>
      </c>
      <c r="C124" s="1076" t="s">
        <v>863</v>
      </c>
      <c r="D124" s="1077">
        <v>77241</v>
      </c>
      <c r="E124" s="1077">
        <v>59372</v>
      </c>
      <c r="F124" s="1077">
        <v>22374</v>
      </c>
      <c r="G124" s="1077">
        <v>0</v>
      </c>
      <c r="H124" s="1077">
        <v>1917</v>
      </c>
      <c r="I124" s="1077">
        <v>0</v>
      </c>
      <c r="J124" s="1077">
        <v>0</v>
      </c>
      <c r="K124" s="1077">
        <v>0</v>
      </c>
      <c r="L124" s="1077">
        <v>11754</v>
      </c>
      <c r="M124" s="1077">
        <v>0</v>
      </c>
      <c r="N124" s="1078">
        <v>20355</v>
      </c>
      <c r="O124" s="1078">
        <v>0</v>
      </c>
      <c r="P124" s="1078">
        <v>252920</v>
      </c>
      <c r="Q124" s="1078">
        <v>133641</v>
      </c>
      <c r="R124" s="1105">
        <v>386561</v>
      </c>
      <c r="S124" s="1416"/>
      <c r="T124" s="1079" t="s">
        <v>860</v>
      </c>
      <c r="U124" s="1076" t="s">
        <v>863</v>
      </c>
      <c r="V124" s="1077">
        <v>24968</v>
      </c>
      <c r="W124" s="1077">
        <v>6474</v>
      </c>
      <c r="X124" s="1077">
        <v>323027</v>
      </c>
      <c r="Y124" s="1077">
        <v>153722</v>
      </c>
      <c r="Z124" s="1077"/>
      <c r="AA124" s="1077">
        <v>17676</v>
      </c>
      <c r="AB124" s="1077">
        <v>316</v>
      </c>
      <c r="AC124" s="1077">
        <v>4700</v>
      </c>
      <c r="AD124" s="1077">
        <v>9400</v>
      </c>
      <c r="AE124" s="1078"/>
      <c r="AF124" s="1105">
        <v>386561</v>
      </c>
      <c r="AG124" s="1081"/>
      <c r="AH124" s="1081"/>
    </row>
    <row r="125" spans="1:34" s="1116" customFormat="1" ht="13.5" customHeight="1">
      <c r="A125" s="1416"/>
      <c r="B125" s="1079" t="s">
        <v>860</v>
      </c>
      <c r="C125" s="1076" t="s">
        <v>864</v>
      </c>
      <c r="D125" s="1077">
        <v>77241</v>
      </c>
      <c r="E125" s="1077">
        <v>59372</v>
      </c>
      <c r="F125" s="1077">
        <v>23495</v>
      </c>
      <c r="G125" s="1077">
        <v>0</v>
      </c>
      <c r="H125" s="1077">
        <v>1636</v>
      </c>
      <c r="I125" s="1077">
        <v>0</v>
      </c>
      <c r="J125" s="1077">
        <v>0</v>
      </c>
      <c r="K125" s="1077">
        <v>0</v>
      </c>
      <c r="L125" s="1077">
        <v>11754</v>
      </c>
      <c r="M125" s="1077">
        <v>0</v>
      </c>
      <c r="N125" s="1078">
        <v>20355</v>
      </c>
      <c r="O125" s="1078">
        <v>0</v>
      </c>
      <c r="P125" s="1078">
        <v>251274</v>
      </c>
      <c r="Q125" s="1078">
        <v>134481</v>
      </c>
      <c r="R125" s="1105">
        <v>385755</v>
      </c>
      <c r="S125" s="1416"/>
      <c r="T125" s="1079" t="s">
        <v>860</v>
      </c>
      <c r="U125" s="1076" t="s">
        <v>864</v>
      </c>
      <c r="V125" s="1077">
        <v>25314</v>
      </c>
      <c r="W125" s="1077">
        <v>6566</v>
      </c>
      <c r="X125" s="1077">
        <v>324383</v>
      </c>
      <c r="Y125" s="1077">
        <v>150022</v>
      </c>
      <c r="Z125" s="1077"/>
      <c r="AA125" s="1077">
        <v>17676</v>
      </c>
      <c r="AB125" s="1077">
        <v>316</v>
      </c>
      <c r="AC125" s="1077">
        <v>2100</v>
      </c>
      <c r="AD125" s="1077">
        <v>9400</v>
      </c>
      <c r="AE125" s="1078"/>
      <c r="AF125" s="1105">
        <v>385755</v>
      </c>
      <c r="AG125" s="1081"/>
      <c r="AH125" s="1081"/>
    </row>
    <row r="126" spans="1:34" s="1116" customFormat="1" ht="12.75" customHeight="1" thickBot="1">
      <c r="A126" s="1417"/>
      <c r="B126" s="1418" t="s">
        <v>860</v>
      </c>
      <c r="C126" s="1090" t="s">
        <v>865</v>
      </c>
      <c r="D126" s="1422">
        <v>74065</v>
      </c>
      <c r="E126" s="1422">
        <v>56207</v>
      </c>
      <c r="F126" s="1422">
        <v>28414</v>
      </c>
      <c r="G126" s="1422">
        <v>0</v>
      </c>
      <c r="H126" s="1422">
        <v>1647</v>
      </c>
      <c r="I126" s="1422">
        <v>0</v>
      </c>
      <c r="J126" s="1422">
        <v>11697</v>
      </c>
      <c r="K126" s="1422">
        <v>0</v>
      </c>
      <c r="L126" s="1422">
        <v>11754</v>
      </c>
      <c r="M126" s="1422">
        <v>0</v>
      </c>
      <c r="N126" s="1423">
        <v>20355</v>
      </c>
      <c r="O126" s="1423">
        <v>0</v>
      </c>
      <c r="P126" s="1423">
        <v>238635</v>
      </c>
      <c r="Q126" s="1423">
        <v>147932</v>
      </c>
      <c r="R126" s="1424">
        <v>386567</v>
      </c>
      <c r="S126" s="1417"/>
      <c r="T126" s="1418" t="s">
        <v>860</v>
      </c>
      <c r="U126" s="1090" t="s">
        <v>865</v>
      </c>
      <c r="V126" s="1422">
        <v>24585</v>
      </c>
      <c r="W126" s="1422">
        <v>6353</v>
      </c>
      <c r="X126" s="1422">
        <v>324253</v>
      </c>
      <c r="Y126" s="1422">
        <v>146554</v>
      </c>
      <c r="Z126" s="1422"/>
      <c r="AA126" s="1422">
        <v>17676</v>
      </c>
      <c r="AB126" s="1422">
        <v>316</v>
      </c>
      <c r="AC126" s="1422">
        <v>2100</v>
      </c>
      <c r="AD126" s="1422">
        <v>11284</v>
      </c>
      <c r="AE126" s="1423"/>
      <c r="AF126" s="1424">
        <v>386567</v>
      </c>
      <c r="AG126" s="1081"/>
      <c r="AH126" s="1081"/>
    </row>
    <row r="127" spans="1:34" ht="12.75">
      <c r="A127" s="1412" t="s">
        <v>884</v>
      </c>
      <c r="B127" s="1100" t="s">
        <v>860</v>
      </c>
      <c r="C127" s="1101" t="s">
        <v>539</v>
      </c>
      <c r="D127" s="1102">
        <v>1230</v>
      </c>
      <c r="E127" s="1102">
        <v>0</v>
      </c>
      <c r="F127" s="1102">
        <v>332</v>
      </c>
      <c r="G127" s="1102">
        <v>0</v>
      </c>
      <c r="H127" s="1102">
        <v>0</v>
      </c>
      <c r="I127" s="1102">
        <v>0</v>
      </c>
      <c r="J127" s="1102">
        <v>10000</v>
      </c>
      <c r="K127" s="1102">
        <v>0</v>
      </c>
      <c r="L127" s="1102"/>
      <c r="M127" s="1102">
        <v>0</v>
      </c>
      <c r="N127" s="1102">
        <v>0</v>
      </c>
      <c r="O127" s="1102">
        <v>0</v>
      </c>
      <c r="P127" s="1102">
        <v>38503</v>
      </c>
      <c r="Q127" s="1102">
        <v>11562</v>
      </c>
      <c r="R127" s="1104">
        <v>50065</v>
      </c>
      <c r="S127" s="1412" t="s">
        <v>884</v>
      </c>
      <c r="T127" s="1100" t="s">
        <v>860</v>
      </c>
      <c r="U127" s="1101" t="s">
        <v>539</v>
      </c>
      <c r="V127" s="1102">
        <v>21951</v>
      </c>
      <c r="W127" s="1102">
        <v>5305</v>
      </c>
      <c r="X127" s="1102">
        <v>22809</v>
      </c>
      <c r="Y127" s="1102">
        <v>0</v>
      </c>
      <c r="Z127" s="1102"/>
      <c r="AA127" s="1102">
        <v>0</v>
      </c>
      <c r="AB127" s="1102"/>
      <c r="AC127" s="1102">
        <v>0</v>
      </c>
      <c r="AD127" s="1102">
        <v>0</v>
      </c>
      <c r="AE127" s="1103"/>
      <c r="AF127" s="1104">
        <v>50065</v>
      </c>
      <c r="AH127" s="1115">
        <v>50065</v>
      </c>
    </row>
    <row r="128" spans="1:34" ht="12.75" customHeight="1">
      <c r="A128" s="1331"/>
      <c r="B128" s="1069" t="s">
        <v>860</v>
      </c>
      <c r="C128" s="1070" t="s">
        <v>861</v>
      </c>
      <c r="D128" s="1073">
        <v>1230</v>
      </c>
      <c r="E128" s="1073">
        <v>0</v>
      </c>
      <c r="F128" s="1073">
        <v>332</v>
      </c>
      <c r="G128" s="1073">
        <v>0</v>
      </c>
      <c r="H128" s="1073">
        <v>0</v>
      </c>
      <c r="I128" s="1073">
        <v>0</v>
      </c>
      <c r="J128" s="1073">
        <v>10000</v>
      </c>
      <c r="K128" s="1073">
        <v>0</v>
      </c>
      <c r="L128" s="1073"/>
      <c r="M128" s="1073">
        <v>0</v>
      </c>
      <c r="N128" s="1073">
        <v>0</v>
      </c>
      <c r="O128" s="1073">
        <v>0</v>
      </c>
      <c r="P128" s="1073">
        <v>38503</v>
      </c>
      <c r="Q128" s="1073">
        <v>11562</v>
      </c>
      <c r="R128" s="1072">
        <v>50065</v>
      </c>
      <c r="S128" s="1331"/>
      <c r="T128" s="1069" t="s">
        <v>860</v>
      </c>
      <c r="U128" s="1070" t="s">
        <v>861</v>
      </c>
      <c r="V128" s="1073">
        <v>21951</v>
      </c>
      <c r="W128" s="1073">
        <v>5305</v>
      </c>
      <c r="X128" s="1073">
        <v>22809</v>
      </c>
      <c r="Y128" s="1073">
        <v>0</v>
      </c>
      <c r="Z128" s="1073"/>
      <c r="AA128" s="1073">
        <v>0</v>
      </c>
      <c r="AB128" s="1073"/>
      <c r="AC128" s="1073">
        <v>0</v>
      </c>
      <c r="AD128" s="1073">
        <v>0</v>
      </c>
      <c r="AE128" s="1073"/>
      <c r="AF128" s="1075">
        <v>50065</v>
      </c>
      <c r="AH128" s="1115">
        <v>50065</v>
      </c>
    </row>
    <row r="129" spans="1:34" ht="12.75" customHeight="1">
      <c r="A129" s="1331"/>
      <c r="B129" s="1069" t="s">
        <v>860</v>
      </c>
      <c r="C129" s="1070" t="s">
        <v>862</v>
      </c>
      <c r="D129" s="1073">
        <v>1230</v>
      </c>
      <c r="E129" s="1073">
        <v>0</v>
      </c>
      <c r="F129" s="1073">
        <v>332</v>
      </c>
      <c r="G129" s="1073">
        <v>0</v>
      </c>
      <c r="H129" s="1073">
        <v>0</v>
      </c>
      <c r="I129" s="1073">
        <v>0</v>
      </c>
      <c r="J129" s="1073">
        <v>10000</v>
      </c>
      <c r="K129" s="1073">
        <v>0</v>
      </c>
      <c r="L129" s="1073">
        <v>948</v>
      </c>
      <c r="M129" s="1073">
        <v>0</v>
      </c>
      <c r="N129" s="1073">
        <v>4807</v>
      </c>
      <c r="O129" s="1073">
        <v>0</v>
      </c>
      <c r="P129" s="1073">
        <v>40527</v>
      </c>
      <c r="Q129" s="1073">
        <v>17317</v>
      </c>
      <c r="R129" s="1072">
        <v>57844</v>
      </c>
      <c r="S129" s="1331"/>
      <c r="T129" s="1069" t="s">
        <v>860</v>
      </c>
      <c r="U129" s="1070" t="s">
        <v>862</v>
      </c>
      <c r="V129" s="1073">
        <v>24206</v>
      </c>
      <c r="W129" s="1073">
        <v>5914</v>
      </c>
      <c r="X129" s="1073">
        <v>27724</v>
      </c>
      <c r="Y129" s="1073">
        <v>0</v>
      </c>
      <c r="Z129" s="1073"/>
      <c r="AA129" s="1073">
        <v>0</v>
      </c>
      <c r="AB129" s="1073"/>
      <c r="AC129" s="1073">
        <v>0</v>
      </c>
      <c r="AD129" s="1073">
        <v>0</v>
      </c>
      <c r="AE129" s="1073"/>
      <c r="AF129" s="1075">
        <v>57844</v>
      </c>
      <c r="AH129" s="1115">
        <v>50065</v>
      </c>
    </row>
    <row r="130" spans="1:34" ht="12.75" customHeight="1">
      <c r="A130" s="1331"/>
      <c r="B130" s="1069" t="s">
        <v>860</v>
      </c>
      <c r="C130" s="1070" t="s">
        <v>863</v>
      </c>
      <c r="D130" s="1073">
        <v>1230</v>
      </c>
      <c r="E130" s="1073">
        <v>0</v>
      </c>
      <c r="F130" s="1073">
        <v>332</v>
      </c>
      <c r="G130" s="1073">
        <v>0</v>
      </c>
      <c r="H130" s="1073">
        <v>0</v>
      </c>
      <c r="I130" s="1073">
        <v>0</v>
      </c>
      <c r="J130" s="1073">
        <v>10000</v>
      </c>
      <c r="K130" s="1073">
        <v>0</v>
      </c>
      <c r="L130" s="1073">
        <v>948</v>
      </c>
      <c r="M130" s="1073">
        <v>0</v>
      </c>
      <c r="N130" s="1073">
        <v>4807</v>
      </c>
      <c r="O130" s="1073">
        <v>0</v>
      </c>
      <c r="P130" s="1073">
        <v>42632</v>
      </c>
      <c r="Q130" s="1073">
        <v>17317</v>
      </c>
      <c r="R130" s="1072">
        <v>59949</v>
      </c>
      <c r="S130" s="1331"/>
      <c r="T130" s="1069" t="s">
        <v>860</v>
      </c>
      <c r="U130" s="1070" t="s">
        <v>863</v>
      </c>
      <c r="V130" s="1073">
        <v>24461</v>
      </c>
      <c r="W130" s="1073">
        <v>5983</v>
      </c>
      <c r="X130" s="1073">
        <v>29505</v>
      </c>
      <c r="Y130" s="1073">
        <v>0</v>
      </c>
      <c r="Z130" s="1073"/>
      <c r="AA130" s="1073">
        <v>0</v>
      </c>
      <c r="AB130" s="1073"/>
      <c r="AC130" s="1073">
        <v>0</v>
      </c>
      <c r="AD130" s="1073">
        <v>0</v>
      </c>
      <c r="AE130" s="1073"/>
      <c r="AF130" s="1075">
        <v>59949</v>
      </c>
      <c r="AH130" s="1115"/>
    </row>
    <row r="131" spans="1:34" ht="12.75" customHeight="1">
      <c r="A131" s="1331"/>
      <c r="B131" s="1069" t="s">
        <v>860</v>
      </c>
      <c r="C131" s="1070" t="s">
        <v>864</v>
      </c>
      <c r="D131" s="1073">
        <v>1401</v>
      </c>
      <c r="E131" s="1073">
        <v>0</v>
      </c>
      <c r="F131" s="1073">
        <v>332</v>
      </c>
      <c r="G131" s="1073">
        <v>0</v>
      </c>
      <c r="H131" s="1073">
        <v>0</v>
      </c>
      <c r="I131" s="1073">
        <v>0</v>
      </c>
      <c r="J131" s="1073">
        <v>14308</v>
      </c>
      <c r="K131" s="1073">
        <v>0</v>
      </c>
      <c r="L131" s="1073">
        <v>948</v>
      </c>
      <c r="M131" s="1073">
        <v>0</v>
      </c>
      <c r="N131" s="1073">
        <v>4807</v>
      </c>
      <c r="O131" s="1073">
        <v>0</v>
      </c>
      <c r="P131" s="1073">
        <v>38867</v>
      </c>
      <c r="Q131" s="1073">
        <v>21796</v>
      </c>
      <c r="R131" s="1072">
        <v>60663</v>
      </c>
      <c r="S131" s="1331"/>
      <c r="T131" s="1069" t="s">
        <v>860</v>
      </c>
      <c r="U131" s="1070" t="s">
        <v>864</v>
      </c>
      <c r="V131" s="1073">
        <v>24888</v>
      </c>
      <c r="W131" s="1073">
        <v>6099</v>
      </c>
      <c r="X131" s="1073">
        <v>29146</v>
      </c>
      <c r="Y131" s="1073">
        <v>0</v>
      </c>
      <c r="Z131" s="1073"/>
      <c r="AA131" s="1073">
        <v>0</v>
      </c>
      <c r="AB131" s="1073"/>
      <c r="AC131" s="1073">
        <v>530</v>
      </c>
      <c r="AD131" s="1073">
        <v>0</v>
      </c>
      <c r="AE131" s="1073"/>
      <c r="AF131" s="1075">
        <v>60663</v>
      </c>
      <c r="AH131" s="1115"/>
    </row>
    <row r="132" spans="1:34" ht="12" customHeight="1">
      <c r="A132" s="1331"/>
      <c r="B132" s="1069" t="s">
        <v>860</v>
      </c>
      <c r="C132" s="1070" t="s">
        <v>865</v>
      </c>
      <c r="D132" s="1073">
        <v>1229</v>
      </c>
      <c r="E132" s="1073">
        <v>0</v>
      </c>
      <c r="F132" s="1073">
        <v>332</v>
      </c>
      <c r="G132" s="1073">
        <v>0</v>
      </c>
      <c r="H132" s="1073">
        <v>70</v>
      </c>
      <c r="I132" s="1073">
        <v>0</v>
      </c>
      <c r="J132" s="1073">
        <v>14410</v>
      </c>
      <c r="K132" s="1073">
        <v>0</v>
      </c>
      <c r="L132" s="1073">
        <v>948</v>
      </c>
      <c r="M132" s="1073">
        <v>0</v>
      </c>
      <c r="N132" s="1073">
        <v>4807</v>
      </c>
      <c r="O132" s="1073">
        <v>0</v>
      </c>
      <c r="P132" s="1073">
        <v>50672</v>
      </c>
      <c r="Q132" s="1073">
        <v>21796</v>
      </c>
      <c r="R132" s="1072">
        <v>72468</v>
      </c>
      <c r="S132" s="1331"/>
      <c r="T132" s="1069" t="s">
        <v>860</v>
      </c>
      <c r="U132" s="1070" t="s">
        <v>865</v>
      </c>
      <c r="V132" s="1073">
        <v>24973</v>
      </c>
      <c r="W132" s="1073">
        <v>6122</v>
      </c>
      <c r="X132" s="1073">
        <v>27671</v>
      </c>
      <c r="Y132" s="1073">
        <v>0</v>
      </c>
      <c r="Z132" s="1073"/>
      <c r="AA132" s="1073">
        <v>0</v>
      </c>
      <c r="AB132" s="1073">
        <v>11697</v>
      </c>
      <c r="AC132" s="1073">
        <v>2005</v>
      </c>
      <c r="AD132" s="1073">
        <v>0</v>
      </c>
      <c r="AE132" s="1073"/>
      <c r="AF132" s="1075">
        <v>72468</v>
      </c>
      <c r="AH132" s="1115"/>
    </row>
    <row r="133" spans="1:34" ht="13.5" customHeight="1">
      <c r="A133" s="1331" t="s">
        <v>885</v>
      </c>
      <c r="B133" s="1069" t="s">
        <v>860</v>
      </c>
      <c r="C133" s="1070" t="s">
        <v>539</v>
      </c>
      <c r="D133" s="1073">
        <v>480</v>
      </c>
      <c r="E133" s="1073">
        <v>0</v>
      </c>
      <c r="F133" s="1073">
        <v>130</v>
      </c>
      <c r="G133" s="1073">
        <v>0</v>
      </c>
      <c r="H133" s="1073">
        <v>0</v>
      </c>
      <c r="I133" s="1073">
        <v>0</v>
      </c>
      <c r="J133" s="1073">
        <v>0</v>
      </c>
      <c r="K133" s="1073">
        <v>0</v>
      </c>
      <c r="L133" s="1073"/>
      <c r="M133" s="1073">
        <v>0</v>
      </c>
      <c r="N133" s="1073">
        <v>0</v>
      </c>
      <c r="O133" s="1073">
        <v>0</v>
      </c>
      <c r="P133" s="1073">
        <v>2739</v>
      </c>
      <c r="Q133" s="1073">
        <v>610</v>
      </c>
      <c r="R133" s="1072">
        <v>3349</v>
      </c>
      <c r="S133" s="1331" t="s">
        <v>885</v>
      </c>
      <c r="T133" s="1069" t="s">
        <v>860</v>
      </c>
      <c r="U133" s="1070" t="s">
        <v>539</v>
      </c>
      <c r="V133" s="1073">
        <v>1518</v>
      </c>
      <c r="W133" s="1073">
        <v>0</v>
      </c>
      <c r="X133" s="1073">
        <v>469</v>
      </c>
      <c r="Y133" s="1073">
        <v>0</v>
      </c>
      <c r="Z133" s="1073"/>
      <c r="AA133" s="1073">
        <v>0</v>
      </c>
      <c r="AB133" s="1073"/>
      <c r="AC133" s="1073">
        <v>1362</v>
      </c>
      <c r="AD133" s="1073">
        <v>0</v>
      </c>
      <c r="AE133" s="1073"/>
      <c r="AF133" s="1075">
        <v>3349</v>
      </c>
      <c r="AH133" s="1115">
        <v>3349</v>
      </c>
    </row>
    <row r="134" spans="1:34" ht="12.75" customHeight="1">
      <c r="A134" s="1413"/>
      <c r="B134" s="1069" t="s">
        <v>860</v>
      </c>
      <c r="C134" s="1070" t="s">
        <v>861</v>
      </c>
      <c r="D134" s="1073">
        <v>480</v>
      </c>
      <c r="E134" s="1073">
        <v>0</v>
      </c>
      <c r="F134" s="1073">
        <v>130</v>
      </c>
      <c r="G134" s="1073">
        <v>0</v>
      </c>
      <c r="H134" s="1073">
        <v>0</v>
      </c>
      <c r="I134" s="1073">
        <v>0</v>
      </c>
      <c r="J134" s="1073">
        <v>0</v>
      </c>
      <c r="K134" s="1073">
        <v>0</v>
      </c>
      <c r="L134" s="1073"/>
      <c r="M134" s="1073">
        <v>0</v>
      </c>
      <c r="N134" s="1073">
        <v>0</v>
      </c>
      <c r="O134" s="1073">
        <v>0</v>
      </c>
      <c r="P134" s="1073">
        <v>2739</v>
      </c>
      <c r="Q134" s="1073">
        <v>610</v>
      </c>
      <c r="R134" s="1072">
        <v>3349</v>
      </c>
      <c r="S134" s="1413"/>
      <c r="T134" s="1069" t="s">
        <v>860</v>
      </c>
      <c r="U134" s="1070" t="s">
        <v>861</v>
      </c>
      <c r="V134" s="1073">
        <v>1518</v>
      </c>
      <c r="W134" s="1073">
        <v>0</v>
      </c>
      <c r="X134" s="1073">
        <v>469</v>
      </c>
      <c r="Y134" s="1073">
        <v>0</v>
      </c>
      <c r="Z134" s="1073"/>
      <c r="AA134" s="1073">
        <v>0</v>
      </c>
      <c r="AB134" s="1073"/>
      <c r="AC134" s="1073">
        <v>1362</v>
      </c>
      <c r="AD134" s="1073">
        <v>0</v>
      </c>
      <c r="AE134" s="1073"/>
      <c r="AF134" s="1075">
        <v>3349</v>
      </c>
      <c r="AH134" s="1115">
        <v>3349</v>
      </c>
    </row>
    <row r="135" spans="1:34" ht="12.75" customHeight="1">
      <c r="A135" s="1413"/>
      <c r="B135" s="1069" t="s">
        <v>860</v>
      </c>
      <c r="C135" s="1070" t="s">
        <v>862</v>
      </c>
      <c r="D135" s="1073">
        <v>480</v>
      </c>
      <c r="E135" s="1073">
        <v>0</v>
      </c>
      <c r="F135" s="1073">
        <v>130</v>
      </c>
      <c r="G135" s="1073">
        <v>0</v>
      </c>
      <c r="H135" s="1073">
        <v>0</v>
      </c>
      <c r="I135" s="1073">
        <v>0</v>
      </c>
      <c r="J135" s="1073">
        <v>0</v>
      </c>
      <c r="K135" s="1073">
        <v>0</v>
      </c>
      <c r="L135" s="1073"/>
      <c r="M135" s="1073">
        <v>0</v>
      </c>
      <c r="N135" s="1073">
        <v>0</v>
      </c>
      <c r="O135" s="1073">
        <v>0</v>
      </c>
      <c r="P135" s="1073">
        <v>2739</v>
      </c>
      <c r="Q135" s="1073">
        <v>610</v>
      </c>
      <c r="R135" s="1072">
        <v>3349</v>
      </c>
      <c r="S135" s="1413"/>
      <c r="T135" s="1069" t="s">
        <v>860</v>
      </c>
      <c r="U135" s="1070" t="s">
        <v>862</v>
      </c>
      <c r="V135" s="1073">
        <v>1518</v>
      </c>
      <c r="W135" s="1073">
        <v>0</v>
      </c>
      <c r="X135" s="1073">
        <v>469</v>
      </c>
      <c r="Y135" s="1073">
        <v>0</v>
      </c>
      <c r="Z135" s="1073"/>
      <c r="AA135" s="1073">
        <v>0</v>
      </c>
      <c r="AB135" s="1073"/>
      <c r="AC135" s="1073">
        <v>1362</v>
      </c>
      <c r="AD135" s="1073">
        <v>0</v>
      </c>
      <c r="AE135" s="1073"/>
      <c r="AF135" s="1075">
        <v>3349</v>
      </c>
      <c r="AH135" s="1115">
        <v>3349</v>
      </c>
    </row>
    <row r="136" spans="1:34" s="1117" customFormat="1" ht="13.5" customHeight="1">
      <c r="A136" s="1413"/>
      <c r="B136" s="1069" t="s">
        <v>860</v>
      </c>
      <c r="C136" s="1070" t="s">
        <v>863</v>
      </c>
      <c r="D136" s="1073">
        <v>0</v>
      </c>
      <c r="E136" s="1073">
        <v>0</v>
      </c>
      <c r="F136" s="1073">
        <v>0</v>
      </c>
      <c r="G136" s="1073">
        <v>0</v>
      </c>
      <c r="H136" s="1073">
        <v>0</v>
      </c>
      <c r="I136" s="1073">
        <v>0</v>
      </c>
      <c r="J136" s="1073">
        <v>0</v>
      </c>
      <c r="K136" s="1073">
        <v>0</v>
      </c>
      <c r="L136" s="1073"/>
      <c r="M136" s="1073">
        <v>0</v>
      </c>
      <c r="N136" s="1073">
        <v>0</v>
      </c>
      <c r="O136" s="1073">
        <v>0</v>
      </c>
      <c r="P136" s="1073">
        <v>1586</v>
      </c>
      <c r="Q136" s="1073">
        <v>0</v>
      </c>
      <c r="R136" s="1075">
        <v>1586</v>
      </c>
      <c r="S136" s="1413"/>
      <c r="T136" s="1069" t="s">
        <v>860</v>
      </c>
      <c r="U136" s="1070" t="s">
        <v>863</v>
      </c>
      <c r="V136" s="1073">
        <v>846</v>
      </c>
      <c r="W136" s="1073">
        <v>18</v>
      </c>
      <c r="X136" s="1073">
        <v>722</v>
      </c>
      <c r="Y136" s="1073">
        <v>0</v>
      </c>
      <c r="Z136" s="1073"/>
      <c r="AA136" s="1073">
        <v>0</v>
      </c>
      <c r="AB136" s="1073"/>
      <c r="AC136" s="1073">
        <v>0</v>
      </c>
      <c r="AD136" s="1073">
        <v>0</v>
      </c>
      <c r="AE136" s="1073"/>
      <c r="AF136" s="1075">
        <v>1586</v>
      </c>
      <c r="AH136" s="1118"/>
    </row>
    <row r="137" spans="1:34" ht="12.75">
      <c r="A137" s="1331" t="s">
        <v>886</v>
      </c>
      <c r="B137" s="1069" t="s">
        <v>860</v>
      </c>
      <c r="C137" s="1070" t="s">
        <v>539</v>
      </c>
      <c r="D137" s="1073">
        <v>0</v>
      </c>
      <c r="E137" s="1073">
        <v>0</v>
      </c>
      <c r="F137" s="1073">
        <v>0</v>
      </c>
      <c r="G137" s="1073">
        <v>0</v>
      </c>
      <c r="H137" s="1073">
        <v>0</v>
      </c>
      <c r="I137" s="1073">
        <v>0</v>
      </c>
      <c r="J137" s="1073">
        <v>0</v>
      </c>
      <c r="K137" s="1073">
        <v>0</v>
      </c>
      <c r="L137" s="1073"/>
      <c r="M137" s="1073">
        <v>0</v>
      </c>
      <c r="N137" s="1073">
        <v>0</v>
      </c>
      <c r="O137" s="1073">
        <v>0</v>
      </c>
      <c r="P137" s="1073">
        <v>18476</v>
      </c>
      <c r="Q137" s="1073">
        <v>0</v>
      </c>
      <c r="R137" s="1072">
        <v>18476</v>
      </c>
      <c r="S137" s="1331" t="s">
        <v>886</v>
      </c>
      <c r="T137" s="1069" t="s">
        <v>860</v>
      </c>
      <c r="U137" s="1070" t="s">
        <v>539</v>
      </c>
      <c r="V137" s="1073">
        <v>8565</v>
      </c>
      <c r="W137" s="1073">
        <v>2207</v>
      </c>
      <c r="X137" s="1073">
        <v>7704</v>
      </c>
      <c r="Y137" s="1073">
        <v>0</v>
      </c>
      <c r="Z137" s="1073"/>
      <c r="AA137" s="1073">
        <v>0</v>
      </c>
      <c r="AB137" s="1073"/>
      <c r="AC137" s="1073">
        <v>0</v>
      </c>
      <c r="AD137" s="1073">
        <v>0</v>
      </c>
      <c r="AE137" s="1073"/>
      <c r="AF137" s="1075">
        <v>18476</v>
      </c>
      <c r="AH137" s="1115">
        <v>18476</v>
      </c>
    </row>
    <row r="138" spans="1:34" ht="12.75" customHeight="1">
      <c r="A138" s="1331"/>
      <c r="B138" s="1069" t="s">
        <v>860</v>
      </c>
      <c r="C138" s="1070" t="s">
        <v>861</v>
      </c>
      <c r="D138" s="1073">
        <v>0</v>
      </c>
      <c r="E138" s="1073">
        <v>0</v>
      </c>
      <c r="F138" s="1073">
        <v>0</v>
      </c>
      <c r="G138" s="1073">
        <v>0</v>
      </c>
      <c r="H138" s="1073">
        <v>0</v>
      </c>
      <c r="I138" s="1073">
        <v>0</v>
      </c>
      <c r="J138" s="1073">
        <v>0</v>
      </c>
      <c r="K138" s="1073">
        <v>0</v>
      </c>
      <c r="L138" s="1073"/>
      <c r="M138" s="1073">
        <v>0</v>
      </c>
      <c r="N138" s="1073">
        <v>0</v>
      </c>
      <c r="O138" s="1073">
        <v>0</v>
      </c>
      <c r="P138" s="1073">
        <v>18476</v>
      </c>
      <c r="Q138" s="1073">
        <v>0</v>
      </c>
      <c r="R138" s="1072">
        <v>18476</v>
      </c>
      <c r="S138" s="1331"/>
      <c r="T138" s="1069" t="s">
        <v>860</v>
      </c>
      <c r="U138" s="1070" t="s">
        <v>861</v>
      </c>
      <c r="V138" s="1073">
        <v>8565</v>
      </c>
      <c r="W138" s="1073">
        <v>2207</v>
      </c>
      <c r="X138" s="1073">
        <v>7704</v>
      </c>
      <c r="Y138" s="1073">
        <v>0</v>
      </c>
      <c r="Z138" s="1073"/>
      <c r="AA138" s="1073">
        <v>0</v>
      </c>
      <c r="AB138" s="1073"/>
      <c r="AC138" s="1073">
        <v>0</v>
      </c>
      <c r="AD138" s="1073">
        <v>0</v>
      </c>
      <c r="AE138" s="1073"/>
      <c r="AF138" s="1075">
        <v>18476</v>
      </c>
      <c r="AH138" s="1115">
        <v>18476</v>
      </c>
    </row>
    <row r="139" spans="1:34" ht="12.75" customHeight="1">
      <c r="A139" s="1331"/>
      <c r="B139" s="1069" t="s">
        <v>860</v>
      </c>
      <c r="C139" s="1070" t="s">
        <v>862</v>
      </c>
      <c r="D139" s="1073">
        <v>0</v>
      </c>
      <c r="E139" s="1073">
        <v>0</v>
      </c>
      <c r="F139" s="1073">
        <v>0</v>
      </c>
      <c r="G139" s="1073">
        <v>0</v>
      </c>
      <c r="H139" s="1073">
        <v>0</v>
      </c>
      <c r="I139" s="1073">
        <v>0</v>
      </c>
      <c r="J139" s="1073">
        <v>0</v>
      </c>
      <c r="K139" s="1073">
        <v>0</v>
      </c>
      <c r="L139" s="1073"/>
      <c r="M139" s="1073">
        <v>0</v>
      </c>
      <c r="N139" s="1073">
        <v>0</v>
      </c>
      <c r="O139" s="1073">
        <v>0</v>
      </c>
      <c r="P139" s="1073">
        <v>18758</v>
      </c>
      <c r="Q139" s="1073">
        <v>0</v>
      </c>
      <c r="R139" s="1072">
        <v>18758</v>
      </c>
      <c r="S139" s="1331"/>
      <c r="T139" s="1069" t="s">
        <v>860</v>
      </c>
      <c r="U139" s="1070" t="s">
        <v>862</v>
      </c>
      <c r="V139" s="1073">
        <v>8708</v>
      </c>
      <c r="W139" s="1073">
        <v>2246</v>
      </c>
      <c r="X139" s="1073">
        <v>7804</v>
      </c>
      <c r="Y139" s="1073">
        <v>0</v>
      </c>
      <c r="Z139" s="1073"/>
      <c r="AA139" s="1073">
        <v>0</v>
      </c>
      <c r="AB139" s="1073"/>
      <c r="AC139" s="1073">
        <v>0</v>
      </c>
      <c r="AD139" s="1073">
        <v>0</v>
      </c>
      <c r="AE139" s="1073"/>
      <c r="AF139" s="1075">
        <v>18758</v>
      </c>
      <c r="AH139" s="1115">
        <v>18476</v>
      </c>
    </row>
    <row r="140" spans="1:34" s="1117" customFormat="1" ht="13.5" customHeight="1">
      <c r="A140" s="1331"/>
      <c r="B140" s="1069" t="s">
        <v>860</v>
      </c>
      <c r="C140" s="1070" t="s">
        <v>863</v>
      </c>
      <c r="D140" s="1073">
        <v>0</v>
      </c>
      <c r="E140" s="1073">
        <v>0</v>
      </c>
      <c r="F140" s="1073">
        <v>0</v>
      </c>
      <c r="G140" s="1073">
        <v>0</v>
      </c>
      <c r="H140" s="1073">
        <v>0</v>
      </c>
      <c r="I140" s="1073">
        <v>0</v>
      </c>
      <c r="J140" s="1073">
        <v>0</v>
      </c>
      <c r="K140" s="1073">
        <v>0</v>
      </c>
      <c r="L140" s="1073"/>
      <c r="M140" s="1073">
        <v>0</v>
      </c>
      <c r="N140" s="1073">
        <v>0</v>
      </c>
      <c r="O140" s="1073">
        <v>0</v>
      </c>
      <c r="P140" s="1073">
        <v>8229</v>
      </c>
      <c r="Q140" s="1073">
        <v>0</v>
      </c>
      <c r="R140" s="1075">
        <v>8229</v>
      </c>
      <c r="S140" s="1331"/>
      <c r="T140" s="1069" t="s">
        <v>860</v>
      </c>
      <c r="U140" s="1070" t="s">
        <v>863</v>
      </c>
      <c r="V140" s="1073">
        <v>5336</v>
      </c>
      <c r="W140" s="1073">
        <v>1126</v>
      </c>
      <c r="X140" s="1073">
        <v>1767</v>
      </c>
      <c r="Y140" s="1073">
        <v>0</v>
      </c>
      <c r="Z140" s="1073"/>
      <c r="AA140" s="1073">
        <v>0</v>
      </c>
      <c r="AB140" s="1073"/>
      <c r="AC140" s="1073">
        <v>0</v>
      </c>
      <c r="AD140" s="1073">
        <v>0</v>
      </c>
      <c r="AE140" s="1073"/>
      <c r="AF140" s="1075">
        <v>8229</v>
      </c>
      <c r="AH140" s="1118"/>
    </row>
    <row r="141" spans="1:34" ht="12.75">
      <c r="A141" s="1331" t="s">
        <v>887</v>
      </c>
      <c r="B141" s="1069" t="s">
        <v>860</v>
      </c>
      <c r="C141" s="1070" t="s">
        <v>539</v>
      </c>
      <c r="D141" s="1073">
        <v>0</v>
      </c>
      <c r="E141" s="1073">
        <v>0</v>
      </c>
      <c r="F141" s="1073">
        <v>0</v>
      </c>
      <c r="G141" s="1073">
        <v>0</v>
      </c>
      <c r="H141" s="1073">
        <v>0</v>
      </c>
      <c r="I141" s="1073">
        <v>0</v>
      </c>
      <c r="J141" s="1073">
        <v>0</v>
      </c>
      <c r="K141" s="1073">
        <v>0</v>
      </c>
      <c r="L141" s="1073"/>
      <c r="M141" s="1073">
        <v>0</v>
      </c>
      <c r="N141" s="1073">
        <v>0</v>
      </c>
      <c r="O141" s="1073">
        <v>0</v>
      </c>
      <c r="P141" s="1073">
        <v>9605</v>
      </c>
      <c r="Q141" s="1073">
        <v>0</v>
      </c>
      <c r="R141" s="1072">
        <v>9605</v>
      </c>
      <c r="S141" s="1331" t="s">
        <v>887</v>
      </c>
      <c r="T141" s="1069" t="s">
        <v>860</v>
      </c>
      <c r="U141" s="1070" t="s">
        <v>539</v>
      </c>
      <c r="V141" s="1073">
        <v>4912</v>
      </c>
      <c r="W141" s="1073">
        <v>1312</v>
      </c>
      <c r="X141" s="1073">
        <v>2030</v>
      </c>
      <c r="Y141" s="1073">
        <v>0</v>
      </c>
      <c r="Z141" s="1073"/>
      <c r="AA141" s="1073">
        <v>0</v>
      </c>
      <c r="AB141" s="1073"/>
      <c r="AC141" s="1073">
        <v>1351</v>
      </c>
      <c r="AD141" s="1073">
        <v>0</v>
      </c>
      <c r="AE141" s="1073"/>
      <c r="AF141" s="1075">
        <v>9605</v>
      </c>
      <c r="AH141" s="1115">
        <v>9605</v>
      </c>
    </row>
    <row r="142" spans="1:34" ht="12" customHeight="1">
      <c r="A142" s="1331"/>
      <c r="B142" s="1069" t="s">
        <v>860</v>
      </c>
      <c r="C142" s="1070" t="s">
        <v>861</v>
      </c>
      <c r="D142" s="1073">
        <v>0</v>
      </c>
      <c r="E142" s="1073">
        <v>0</v>
      </c>
      <c r="F142" s="1073">
        <v>0</v>
      </c>
      <c r="G142" s="1073">
        <v>0</v>
      </c>
      <c r="H142" s="1073">
        <v>0</v>
      </c>
      <c r="I142" s="1073">
        <v>0</v>
      </c>
      <c r="J142" s="1073">
        <v>0</v>
      </c>
      <c r="K142" s="1073">
        <v>0</v>
      </c>
      <c r="L142" s="1073"/>
      <c r="M142" s="1073">
        <v>0</v>
      </c>
      <c r="N142" s="1073">
        <v>0</v>
      </c>
      <c r="O142" s="1073">
        <v>0</v>
      </c>
      <c r="P142" s="1073">
        <v>9605</v>
      </c>
      <c r="Q142" s="1073">
        <v>0</v>
      </c>
      <c r="R142" s="1072">
        <v>9605</v>
      </c>
      <c r="S142" s="1331"/>
      <c r="T142" s="1069" t="s">
        <v>860</v>
      </c>
      <c r="U142" s="1070" t="s">
        <v>861</v>
      </c>
      <c r="V142" s="1073">
        <v>4912</v>
      </c>
      <c r="W142" s="1073">
        <v>1312</v>
      </c>
      <c r="X142" s="1073">
        <v>2030</v>
      </c>
      <c r="Y142" s="1073">
        <v>0</v>
      </c>
      <c r="Z142" s="1073"/>
      <c r="AA142" s="1073">
        <v>0</v>
      </c>
      <c r="AB142" s="1073"/>
      <c r="AC142" s="1073">
        <v>1351</v>
      </c>
      <c r="AD142" s="1073">
        <v>0</v>
      </c>
      <c r="AE142" s="1073"/>
      <c r="AF142" s="1075">
        <v>9605</v>
      </c>
      <c r="AH142" s="1115">
        <v>9605</v>
      </c>
    </row>
    <row r="143" spans="1:34" ht="12" customHeight="1">
      <c r="A143" s="1331"/>
      <c r="B143" s="1069" t="s">
        <v>860</v>
      </c>
      <c r="C143" s="1070" t="s">
        <v>862</v>
      </c>
      <c r="D143" s="1073">
        <v>0</v>
      </c>
      <c r="E143" s="1073">
        <v>0</v>
      </c>
      <c r="F143" s="1073">
        <v>0</v>
      </c>
      <c r="G143" s="1073">
        <v>0</v>
      </c>
      <c r="H143" s="1073">
        <v>0</v>
      </c>
      <c r="I143" s="1073">
        <v>0</v>
      </c>
      <c r="J143" s="1073">
        <v>0</v>
      </c>
      <c r="K143" s="1073">
        <v>0</v>
      </c>
      <c r="L143" s="1073"/>
      <c r="M143" s="1073">
        <v>0</v>
      </c>
      <c r="N143" s="1073">
        <v>0</v>
      </c>
      <c r="O143" s="1073">
        <v>0</v>
      </c>
      <c r="P143" s="1073">
        <v>9853</v>
      </c>
      <c r="Q143" s="1073">
        <v>0</v>
      </c>
      <c r="R143" s="1072">
        <v>9853</v>
      </c>
      <c r="S143" s="1331"/>
      <c r="T143" s="1069" t="s">
        <v>860</v>
      </c>
      <c r="U143" s="1070" t="s">
        <v>862</v>
      </c>
      <c r="V143" s="1073">
        <v>4950</v>
      </c>
      <c r="W143" s="1073">
        <v>1322</v>
      </c>
      <c r="X143" s="1073">
        <v>2230</v>
      </c>
      <c r="Y143" s="1073">
        <v>0</v>
      </c>
      <c r="Z143" s="1073"/>
      <c r="AA143" s="1073">
        <v>0</v>
      </c>
      <c r="AB143" s="1073"/>
      <c r="AC143" s="1073">
        <v>1351</v>
      </c>
      <c r="AD143" s="1073">
        <v>0</v>
      </c>
      <c r="AE143" s="1073"/>
      <c r="AF143" s="1075">
        <v>9853</v>
      </c>
      <c r="AH143" s="1115">
        <v>9605</v>
      </c>
    </row>
    <row r="144" spans="1:34" s="1117" customFormat="1" ht="11.25" customHeight="1">
      <c r="A144" s="1331"/>
      <c r="B144" s="1069" t="s">
        <v>860</v>
      </c>
      <c r="C144" s="1070" t="s">
        <v>863</v>
      </c>
      <c r="D144" s="1073">
        <v>0</v>
      </c>
      <c r="E144" s="1073">
        <v>0</v>
      </c>
      <c r="F144" s="1073">
        <v>0</v>
      </c>
      <c r="G144" s="1073">
        <v>0</v>
      </c>
      <c r="H144" s="1073">
        <v>0</v>
      </c>
      <c r="I144" s="1073">
        <v>0</v>
      </c>
      <c r="J144" s="1073">
        <v>0</v>
      </c>
      <c r="K144" s="1073">
        <v>0</v>
      </c>
      <c r="L144" s="1073"/>
      <c r="M144" s="1073">
        <v>0</v>
      </c>
      <c r="N144" s="1073">
        <v>0</v>
      </c>
      <c r="O144" s="1073">
        <v>0</v>
      </c>
      <c r="P144" s="1073">
        <v>5182</v>
      </c>
      <c r="Q144" s="1073">
        <v>0</v>
      </c>
      <c r="R144" s="1075">
        <v>5182</v>
      </c>
      <c r="S144" s="1331"/>
      <c r="T144" s="1069" t="s">
        <v>860</v>
      </c>
      <c r="U144" s="1070" t="s">
        <v>863</v>
      </c>
      <c r="V144" s="1073">
        <v>3637</v>
      </c>
      <c r="W144" s="1073">
        <v>870</v>
      </c>
      <c r="X144" s="1073">
        <v>675</v>
      </c>
      <c r="Y144" s="1073">
        <v>0</v>
      </c>
      <c r="Z144" s="1073"/>
      <c r="AA144" s="1073">
        <v>0</v>
      </c>
      <c r="AB144" s="1073"/>
      <c r="AC144" s="1073">
        <v>0</v>
      </c>
      <c r="AD144" s="1073">
        <v>0</v>
      </c>
      <c r="AE144" s="1073"/>
      <c r="AF144" s="1075">
        <v>5182</v>
      </c>
      <c r="AH144" s="1118"/>
    </row>
    <row r="145" spans="1:34" ht="14.25" customHeight="1">
      <c r="A145" s="1331" t="s">
        <v>888</v>
      </c>
      <c r="B145" s="1069" t="s">
        <v>860</v>
      </c>
      <c r="C145" s="1070" t="s">
        <v>539</v>
      </c>
      <c r="D145" s="1073">
        <v>12198</v>
      </c>
      <c r="E145" s="1073">
        <v>0</v>
      </c>
      <c r="F145" s="1073">
        <v>2781</v>
      </c>
      <c r="G145" s="1073">
        <v>0</v>
      </c>
      <c r="H145" s="1073">
        <v>0</v>
      </c>
      <c r="I145" s="1073">
        <v>0</v>
      </c>
      <c r="J145" s="1073">
        <v>0</v>
      </c>
      <c r="K145" s="1073">
        <v>0</v>
      </c>
      <c r="L145" s="1073"/>
      <c r="M145" s="1073">
        <v>0</v>
      </c>
      <c r="N145" s="1073">
        <v>0</v>
      </c>
      <c r="O145" s="1073">
        <v>0</v>
      </c>
      <c r="P145" s="1073">
        <v>124065</v>
      </c>
      <c r="Q145" s="1073">
        <v>14979</v>
      </c>
      <c r="R145" s="1072">
        <v>139044</v>
      </c>
      <c r="S145" s="1331" t="s">
        <v>888</v>
      </c>
      <c r="T145" s="1069" t="s">
        <v>860</v>
      </c>
      <c r="U145" s="1070" t="s">
        <v>539</v>
      </c>
      <c r="V145" s="1073">
        <v>87918</v>
      </c>
      <c r="W145" s="1073">
        <v>22808</v>
      </c>
      <c r="X145" s="1073">
        <v>28318</v>
      </c>
      <c r="Y145" s="1073">
        <v>10495</v>
      </c>
      <c r="Z145" s="1073"/>
      <c r="AA145" s="1073">
        <v>0</v>
      </c>
      <c r="AB145" s="1073"/>
      <c r="AC145" s="1073">
        <v>0</v>
      </c>
      <c r="AD145" s="1073">
        <v>0</v>
      </c>
      <c r="AE145" s="1073"/>
      <c r="AF145" s="1075">
        <v>139044</v>
      </c>
      <c r="AH145" s="1115">
        <v>139044</v>
      </c>
    </row>
    <row r="146" spans="1:34" ht="12.75" customHeight="1">
      <c r="A146" s="1331"/>
      <c r="B146" s="1069" t="s">
        <v>860</v>
      </c>
      <c r="C146" s="1070" t="s">
        <v>861</v>
      </c>
      <c r="D146" s="1073">
        <v>12198</v>
      </c>
      <c r="E146" s="1073">
        <v>0</v>
      </c>
      <c r="F146" s="1073">
        <v>2781</v>
      </c>
      <c r="G146" s="1073">
        <v>0</v>
      </c>
      <c r="H146" s="1073">
        <v>0</v>
      </c>
      <c r="I146" s="1073">
        <v>0</v>
      </c>
      <c r="J146" s="1073">
        <v>0</v>
      </c>
      <c r="K146" s="1073">
        <v>0</v>
      </c>
      <c r="L146" s="1073"/>
      <c r="M146" s="1073">
        <v>0</v>
      </c>
      <c r="N146" s="1073">
        <v>0</v>
      </c>
      <c r="O146" s="1073">
        <v>0</v>
      </c>
      <c r="P146" s="1073">
        <v>124065</v>
      </c>
      <c r="Q146" s="1073">
        <v>14979</v>
      </c>
      <c r="R146" s="1072">
        <v>139044</v>
      </c>
      <c r="S146" s="1331"/>
      <c r="T146" s="1069" t="s">
        <v>860</v>
      </c>
      <c r="U146" s="1070" t="s">
        <v>861</v>
      </c>
      <c r="V146" s="1073">
        <v>87918</v>
      </c>
      <c r="W146" s="1073">
        <v>22808</v>
      </c>
      <c r="X146" s="1073">
        <v>28318</v>
      </c>
      <c r="Y146" s="1073">
        <v>10495</v>
      </c>
      <c r="Z146" s="1073"/>
      <c r="AA146" s="1073">
        <v>0</v>
      </c>
      <c r="AB146" s="1073"/>
      <c r="AC146" s="1073">
        <v>0</v>
      </c>
      <c r="AD146" s="1073">
        <v>0</v>
      </c>
      <c r="AE146" s="1073"/>
      <c r="AF146" s="1075">
        <v>139044</v>
      </c>
      <c r="AH146" s="1115">
        <v>139044</v>
      </c>
    </row>
    <row r="147" spans="1:34" ht="13.5" customHeight="1">
      <c r="A147" s="1331"/>
      <c r="B147" s="1069" t="s">
        <v>860</v>
      </c>
      <c r="C147" s="1070" t="s">
        <v>862</v>
      </c>
      <c r="D147" s="1073">
        <v>12198</v>
      </c>
      <c r="E147" s="1073">
        <v>0</v>
      </c>
      <c r="F147" s="1073">
        <v>2781</v>
      </c>
      <c r="G147" s="1073">
        <v>0</v>
      </c>
      <c r="H147" s="1073">
        <v>0</v>
      </c>
      <c r="I147" s="1073">
        <v>0</v>
      </c>
      <c r="J147" s="1073">
        <v>2487</v>
      </c>
      <c r="K147" s="1073">
        <v>0</v>
      </c>
      <c r="L147" s="1073">
        <v>726</v>
      </c>
      <c r="M147" s="1073">
        <v>0</v>
      </c>
      <c r="N147" s="1071">
        <v>867</v>
      </c>
      <c r="O147" s="1071">
        <v>0</v>
      </c>
      <c r="P147" s="1073">
        <v>126055</v>
      </c>
      <c r="Q147" s="1073">
        <v>19059</v>
      </c>
      <c r="R147" s="1072">
        <v>145114</v>
      </c>
      <c r="S147" s="1331"/>
      <c r="T147" s="1069" t="s">
        <v>860</v>
      </c>
      <c r="U147" s="1070" t="s">
        <v>862</v>
      </c>
      <c r="V147" s="1073">
        <v>90393</v>
      </c>
      <c r="W147" s="1073">
        <v>23273</v>
      </c>
      <c r="X147" s="1073">
        <v>31448</v>
      </c>
      <c r="Y147" s="1073">
        <v>10495</v>
      </c>
      <c r="Z147" s="1073"/>
      <c r="AA147" s="1073">
        <v>0</v>
      </c>
      <c r="AB147" s="1073"/>
      <c r="AC147" s="1073">
        <v>0</v>
      </c>
      <c r="AD147" s="1073">
        <v>0</v>
      </c>
      <c r="AE147" s="1073"/>
      <c r="AF147" s="1075">
        <v>145114</v>
      </c>
      <c r="AH147" s="1115">
        <v>139044</v>
      </c>
    </row>
    <row r="148" spans="1:34" s="1117" customFormat="1" ht="12.75" customHeight="1">
      <c r="A148" s="1331"/>
      <c r="B148" s="1069" t="s">
        <v>860</v>
      </c>
      <c r="C148" s="1070" t="s">
        <v>863</v>
      </c>
      <c r="D148" s="1073">
        <v>5227</v>
      </c>
      <c r="E148" s="1073">
        <v>0</v>
      </c>
      <c r="F148" s="1073">
        <v>1113</v>
      </c>
      <c r="G148" s="1073">
        <v>0</v>
      </c>
      <c r="H148" s="1073">
        <v>0</v>
      </c>
      <c r="I148" s="1073">
        <v>0</v>
      </c>
      <c r="J148" s="1073">
        <v>2681</v>
      </c>
      <c r="K148" s="1073">
        <v>0</v>
      </c>
      <c r="L148" s="1073">
        <v>726</v>
      </c>
      <c r="M148" s="1073">
        <v>0</v>
      </c>
      <c r="N148" s="1073">
        <v>867</v>
      </c>
      <c r="O148" s="1073">
        <v>0</v>
      </c>
      <c r="P148" s="1073">
        <v>61872</v>
      </c>
      <c r="Q148" s="1073">
        <v>10614</v>
      </c>
      <c r="R148" s="1075">
        <v>72486</v>
      </c>
      <c r="S148" s="1331"/>
      <c r="T148" s="1069" t="s">
        <v>860</v>
      </c>
      <c r="U148" s="1070" t="s">
        <v>863</v>
      </c>
      <c r="V148" s="1073">
        <v>47351</v>
      </c>
      <c r="W148" s="1073">
        <v>11921</v>
      </c>
      <c r="X148" s="1073">
        <v>12764</v>
      </c>
      <c r="Y148" s="1073">
        <v>10495</v>
      </c>
      <c r="Z148" s="1073"/>
      <c r="AA148" s="1073">
        <v>0</v>
      </c>
      <c r="AB148" s="1073">
        <v>450</v>
      </c>
      <c r="AC148" s="1073">
        <v>0</v>
      </c>
      <c r="AD148" s="1073">
        <v>0</v>
      </c>
      <c r="AE148" s="1073"/>
      <c r="AF148" s="1075">
        <v>72486</v>
      </c>
      <c r="AH148" s="1118"/>
    </row>
    <row r="149" spans="1:34" s="1119" customFormat="1" ht="12.75" customHeight="1">
      <c r="A149" s="1414" t="s">
        <v>755</v>
      </c>
      <c r="B149" s="1084" t="s">
        <v>860</v>
      </c>
      <c r="C149" s="1085" t="s">
        <v>539</v>
      </c>
      <c r="D149" s="1077">
        <v>12678</v>
      </c>
      <c r="E149" s="1077">
        <v>0</v>
      </c>
      <c r="F149" s="1077">
        <v>2911</v>
      </c>
      <c r="G149" s="1077">
        <v>0</v>
      </c>
      <c r="H149" s="1077">
        <v>0</v>
      </c>
      <c r="I149" s="1077">
        <v>0</v>
      </c>
      <c r="J149" s="1077">
        <v>0</v>
      </c>
      <c r="K149" s="1077">
        <v>0</v>
      </c>
      <c r="L149" s="1077"/>
      <c r="M149" s="1077">
        <v>0</v>
      </c>
      <c r="N149" s="1077">
        <v>0</v>
      </c>
      <c r="O149" s="1077">
        <v>0</v>
      </c>
      <c r="P149" s="1077">
        <v>154885</v>
      </c>
      <c r="Q149" s="1077">
        <v>15589</v>
      </c>
      <c r="R149" s="1087">
        <v>170474</v>
      </c>
      <c r="S149" s="1414" t="s">
        <v>755</v>
      </c>
      <c r="T149" s="1084" t="s">
        <v>860</v>
      </c>
      <c r="U149" s="1085" t="s">
        <v>539</v>
      </c>
      <c r="V149" s="1077">
        <v>102913</v>
      </c>
      <c r="W149" s="1077">
        <v>26327</v>
      </c>
      <c r="X149" s="1077">
        <v>38521</v>
      </c>
      <c r="Y149" s="1077">
        <v>10495</v>
      </c>
      <c r="Z149" s="1077">
        <v>0</v>
      </c>
      <c r="AA149" s="1077">
        <v>0</v>
      </c>
      <c r="AB149" s="1077"/>
      <c r="AC149" s="1077">
        <v>2713</v>
      </c>
      <c r="AD149" s="1077">
        <v>0</v>
      </c>
      <c r="AE149" s="1077"/>
      <c r="AF149" s="1087">
        <v>170474</v>
      </c>
      <c r="AG149" s="1109">
        <v>0</v>
      </c>
      <c r="AH149" s="1077">
        <v>170474</v>
      </c>
    </row>
    <row r="150" spans="1:34" s="1116" customFormat="1" ht="12.75" customHeight="1">
      <c r="A150" s="1414"/>
      <c r="B150" s="1079" t="s">
        <v>860</v>
      </c>
      <c r="C150" s="1076" t="s">
        <v>861</v>
      </c>
      <c r="D150" s="1077">
        <v>12678</v>
      </c>
      <c r="E150" s="1077">
        <v>0</v>
      </c>
      <c r="F150" s="1077">
        <v>2911</v>
      </c>
      <c r="G150" s="1077">
        <v>0</v>
      </c>
      <c r="H150" s="1077">
        <v>0</v>
      </c>
      <c r="I150" s="1077">
        <v>0</v>
      </c>
      <c r="J150" s="1077">
        <v>0</v>
      </c>
      <c r="K150" s="1077">
        <v>0</v>
      </c>
      <c r="L150" s="1077"/>
      <c r="M150" s="1077">
        <v>0</v>
      </c>
      <c r="N150" s="1077">
        <v>0</v>
      </c>
      <c r="O150" s="1077">
        <v>0</v>
      </c>
      <c r="P150" s="1077">
        <v>154885</v>
      </c>
      <c r="Q150" s="1077">
        <v>15589</v>
      </c>
      <c r="R150" s="1087">
        <v>170474</v>
      </c>
      <c r="S150" s="1414"/>
      <c r="T150" s="1079" t="s">
        <v>860</v>
      </c>
      <c r="U150" s="1076" t="s">
        <v>861</v>
      </c>
      <c r="V150" s="1077">
        <v>102913</v>
      </c>
      <c r="W150" s="1077">
        <v>26327</v>
      </c>
      <c r="X150" s="1077">
        <v>38521</v>
      </c>
      <c r="Y150" s="1077">
        <v>10495</v>
      </c>
      <c r="Z150" s="1077">
        <v>0</v>
      </c>
      <c r="AA150" s="1077">
        <v>0</v>
      </c>
      <c r="AB150" s="1077"/>
      <c r="AC150" s="1077">
        <v>2713</v>
      </c>
      <c r="AD150" s="1077">
        <v>0</v>
      </c>
      <c r="AE150" s="1077"/>
      <c r="AF150" s="1087">
        <v>170474</v>
      </c>
      <c r="AG150" s="1109">
        <v>0</v>
      </c>
      <c r="AH150" s="1077">
        <v>170474</v>
      </c>
    </row>
    <row r="151" spans="1:34" s="1116" customFormat="1" ht="12.75" customHeight="1">
      <c r="A151" s="1414"/>
      <c r="B151" s="1079" t="s">
        <v>860</v>
      </c>
      <c r="C151" s="1076" t="s">
        <v>862</v>
      </c>
      <c r="D151" s="1077">
        <v>12678</v>
      </c>
      <c r="E151" s="1077">
        <v>0</v>
      </c>
      <c r="F151" s="1077">
        <v>2911</v>
      </c>
      <c r="G151" s="1077">
        <v>0</v>
      </c>
      <c r="H151" s="1077">
        <v>0</v>
      </c>
      <c r="I151" s="1077">
        <v>0</v>
      </c>
      <c r="J151" s="1077">
        <v>2487</v>
      </c>
      <c r="K151" s="1077">
        <v>0</v>
      </c>
      <c r="L151" s="1077">
        <v>726</v>
      </c>
      <c r="M151" s="1077">
        <v>0</v>
      </c>
      <c r="N151" s="1077">
        <v>867</v>
      </c>
      <c r="O151" s="1077">
        <v>0</v>
      </c>
      <c r="P151" s="1077">
        <v>157405</v>
      </c>
      <c r="Q151" s="1077">
        <v>19669</v>
      </c>
      <c r="R151" s="1087">
        <v>177074</v>
      </c>
      <c r="S151" s="1414"/>
      <c r="T151" s="1079" t="s">
        <v>860</v>
      </c>
      <c r="U151" s="1076" t="s">
        <v>862</v>
      </c>
      <c r="V151" s="1077">
        <v>105569</v>
      </c>
      <c r="W151" s="1077">
        <v>26841</v>
      </c>
      <c r="X151" s="1077">
        <v>41951</v>
      </c>
      <c r="Y151" s="1077">
        <v>10495</v>
      </c>
      <c r="Z151" s="1077">
        <v>0</v>
      </c>
      <c r="AA151" s="1077">
        <v>0</v>
      </c>
      <c r="AB151" s="1077"/>
      <c r="AC151" s="1077">
        <v>2713</v>
      </c>
      <c r="AD151" s="1077">
        <v>0</v>
      </c>
      <c r="AE151" s="1077"/>
      <c r="AF151" s="1087">
        <v>177074</v>
      </c>
      <c r="AH151" s="1120">
        <v>170474</v>
      </c>
    </row>
    <row r="152" spans="1:34" s="1119" customFormat="1" ht="12.75" customHeight="1">
      <c r="A152" s="1414"/>
      <c r="B152" s="1084" t="s">
        <v>860</v>
      </c>
      <c r="C152" s="1076" t="s">
        <v>863</v>
      </c>
      <c r="D152" s="1077">
        <v>5227</v>
      </c>
      <c r="E152" s="1077">
        <v>0</v>
      </c>
      <c r="F152" s="1077">
        <v>1113</v>
      </c>
      <c r="G152" s="1077">
        <v>0</v>
      </c>
      <c r="H152" s="1077">
        <v>0</v>
      </c>
      <c r="I152" s="1077">
        <v>0</v>
      </c>
      <c r="J152" s="1077">
        <v>2681</v>
      </c>
      <c r="K152" s="1077">
        <v>0</v>
      </c>
      <c r="L152" s="1077">
        <v>726</v>
      </c>
      <c r="M152" s="1077">
        <v>0</v>
      </c>
      <c r="N152" s="1077">
        <v>867</v>
      </c>
      <c r="O152" s="1077">
        <v>0</v>
      </c>
      <c r="P152" s="1077">
        <v>76869</v>
      </c>
      <c r="Q152" s="1077">
        <v>10614</v>
      </c>
      <c r="R152" s="1087">
        <v>87483</v>
      </c>
      <c r="S152" s="1414"/>
      <c r="T152" s="1084" t="s">
        <v>860</v>
      </c>
      <c r="U152" s="1076" t="s">
        <v>863</v>
      </c>
      <c r="V152" s="1077">
        <v>57170</v>
      </c>
      <c r="W152" s="1077">
        <v>13935</v>
      </c>
      <c r="X152" s="1077">
        <v>15928</v>
      </c>
      <c r="Y152" s="1077">
        <v>10495</v>
      </c>
      <c r="Z152" s="1077">
        <v>0</v>
      </c>
      <c r="AA152" s="1077">
        <v>0</v>
      </c>
      <c r="AB152" s="1077">
        <v>450</v>
      </c>
      <c r="AC152" s="1077">
        <v>0</v>
      </c>
      <c r="AD152" s="1077">
        <v>0</v>
      </c>
      <c r="AE152" s="1077">
        <v>0</v>
      </c>
      <c r="AF152" s="1087">
        <v>87483</v>
      </c>
      <c r="AH152" s="1121"/>
    </row>
    <row r="153" spans="1:34" s="1122" customFormat="1" ht="3" customHeight="1" hidden="1">
      <c r="A153" s="1415" t="s">
        <v>889</v>
      </c>
      <c r="B153" s="1084" t="s">
        <v>860</v>
      </c>
      <c r="C153" s="1076" t="s">
        <v>863</v>
      </c>
      <c r="D153" s="1077"/>
      <c r="E153" s="1077"/>
      <c r="F153" s="1077"/>
      <c r="G153" s="1077"/>
      <c r="H153" s="1077"/>
      <c r="I153" s="1077"/>
      <c r="J153" s="1077"/>
      <c r="K153" s="1077"/>
      <c r="L153" s="1077"/>
      <c r="M153" s="1077"/>
      <c r="N153" s="1082"/>
      <c r="O153" s="1082"/>
      <c r="P153" s="1082">
        <v>0</v>
      </c>
      <c r="Q153" s="1082">
        <v>0</v>
      </c>
      <c r="R153" s="1107">
        <v>0</v>
      </c>
      <c r="S153" s="1415" t="s">
        <v>889</v>
      </c>
      <c r="T153" s="1084" t="s">
        <v>860</v>
      </c>
      <c r="U153" s="1076" t="s">
        <v>863</v>
      </c>
      <c r="V153" s="1077"/>
      <c r="W153" s="1077"/>
      <c r="X153" s="1077"/>
      <c r="Y153" s="1077"/>
      <c r="Z153" s="1077"/>
      <c r="AA153" s="1077"/>
      <c r="AB153" s="1077"/>
      <c r="AC153" s="1077"/>
      <c r="AD153" s="1077"/>
      <c r="AE153" s="1077"/>
      <c r="AF153" s="1087">
        <v>0</v>
      </c>
      <c r="AH153" s="1123"/>
    </row>
    <row r="154" spans="1:34" s="1124" customFormat="1" ht="14.25" customHeight="1">
      <c r="A154" s="1414" t="s">
        <v>890</v>
      </c>
      <c r="B154" s="1084" t="s">
        <v>860</v>
      </c>
      <c r="C154" s="1076" t="s">
        <v>864</v>
      </c>
      <c r="D154" s="1077"/>
      <c r="E154" s="1077"/>
      <c r="F154" s="1077"/>
      <c r="G154" s="1077"/>
      <c r="H154" s="1077"/>
      <c r="I154" s="1077"/>
      <c r="J154" s="1077"/>
      <c r="K154" s="1077"/>
      <c r="L154" s="1077"/>
      <c r="M154" s="1077">
        <v>23363</v>
      </c>
      <c r="N154" s="1077"/>
      <c r="O154" s="1077"/>
      <c r="P154" s="1073">
        <v>3336</v>
      </c>
      <c r="Q154" s="1073">
        <v>23363</v>
      </c>
      <c r="R154" s="1075">
        <v>26699</v>
      </c>
      <c r="S154" s="1414" t="s">
        <v>890</v>
      </c>
      <c r="T154" s="1084" t="s">
        <v>860</v>
      </c>
      <c r="U154" s="1076" t="s">
        <v>864</v>
      </c>
      <c r="V154" s="1077">
        <v>11832</v>
      </c>
      <c r="W154" s="1077">
        <v>3195</v>
      </c>
      <c r="X154" s="1077">
        <v>10672</v>
      </c>
      <c r="Y154" s="1083"/>
      <c r="Z154" s="1083"/>
      <c r="AA154" s="1083"/>
      <c r="AB154" s="1083"/>
      <c r="AC154" s="1077">
        <v>1000</v>
      </c>
      <c r="AD154" s="1077"/>
      <c r="AE154" s="1077"/>
      <c r="AF154" s="1087">
        <v>26699</v>
      </c>
      <c r="AH154" s="1125"/>
    </row>
    <row r="155" spans="1:34" s="1124" customFormat="1" ht="13.5" customHeight="1">
      <c r="A155" s="1414"/>
      <c r="B155" s="1079" t="s">
        <v>860</v>
      </c>
      <c r="C155" s="1076" t="s">
        <v>865</v>
      </c>
      <c r="D155" s="1077"/>
      <c r="E155" s="1077"/>
      <c r="F155" s="1077"/>
      <c r="G155" s="1077"/>
      <c r="H155" s="1077"/>
      <c r="I155" s="1077"/>
      <c r="J155" s="1077"/>
      <c r="K155" s="1077"/>
      <c r="L155" s="1077"/>
      <c r="M155" s="1077">
        <v>25993</v>
      </c>
      <c r="N155" s="1077"/>
      <c r="O155" s="1077"/>
      <c r="P155" s="1073">
        <v>3427</v>
      </c>
      <c r="Q155" s="1073">
        <v>25993</v>
      </c>
      <c r="R155" s="1075">
        <v>29420</v>
      </c>
      <c r="S155" s="1414"/>
      <c r="T155" s="1079" t="s">
        <v>860</v>
      </c>
      <c r="U155" s="1076" t="s">
        <v>865</v>
      </c>
      <c r="V155" s="1077">
        <v>11904</v>
      </c>
      <c r="W155" s="1077">
        <v>3214</v>
      </c>
      <c r="X155" s="1077">
        <v>13302</v>
      </c>
      <c r="Y155" s="1083"/>
      <c r="Z155" s="1083"/>
      <c r="AA155" s="1083"/>
      <c r="AB155" s="1083"/>
      <c r="AC155" s="1077">
        <v>1000</v>
      </c>
      <c r="AD155" s="1077"/>
      <c r="AE155" s="1077"/>
      <c r="AF155" s="1087">
        <v>29420</v>
      </c>
      <c r="AH155" s="1125"/>
    </row>
    <row r="156" spans="1:34" s="1116" customFormat="1" ht="13.5" customHeight="1">
      <c r="A156" s="1416" t="s">
        <v>891</v>
      </c>
      <c r="B156" s="1079" t="s">
        <v>883</v>
      </c>
      <c r="C156" s="1076" t="s">
        <v>539</v>
      </c>
      <c r="D156" s="1077">
        <v>129030</v>
      </c>
      <c r="E156" s="1077">
        <v>75180</v>
      </c>
      <c r="F156" s="1077">
        <v>39341</v>
      </c>
      <c r="G156" s="1077">
        <v>0</v>
      </c>
      <c r="H156" s="1077">
        <v>9880</v>
      </c>
      <c r="I156" s="1077">
        <v>0</v>
      </c>
      <c r="J156" s="1077">
        <v>10000</v>
      </c>
      <c r="K156" s="1077">
        <v>0</v>
      </c>
      <c r="L156" s="1077"/>
      <c r="M156" s="1077">
        <v>0</v>
      </c>
      <c r="N156" s="1078">
        <v>0</v>
      </c>
      <c r="O156" s="1078">
        <v>0</v>
      </c>
      <c r="P156" s="1078">
        <v>779538</v>
      </c>
      <c r="Q156" s="1078">
        <v>188251</v>
      </c>
      <c r="R156" s="1105">
        <v>967789</v>
      </c>
      <c r="S156" s="1416" t="s">
        <v>891</v>
      </c>
      <c r="T156" s="1079" t="s">
        <v>883</v>
      </c>
      <c r="U156" s="1076" t="s">
        <v>539</v>
      </c>
      <c r="V156" s="1077">
        <v>384911</v>
      </c>
      <c r="W156" s="1077">
        <v>100643</v>
      </c>
      <c r="X156" s="1077">
        <v>468022</v>
      </c>
      <c r="Y156" s="1077">
        <v>171834</v>
      </c>
      <c r="Z156" s="1077">
        <v>0</v>
      </c>
      <c r="AA156" s="1077">
        <v>0</v>
      </c>
      <c r="AB156" s="1077"/>
      <c r="AC156" s="1077">
        <v>4813</v>
      </c>
      <c r="AD156" s="1077">
        <v>9400</v>
      </c>
      <c r="AE156" s="1077"/>
      <c r="AF156" s="1087">
        <v>967789</v>
      </c>
      <c r="AH156" s="1115">
        <v>967789</v>
      </c>
    </row>
    <row r="157" spans="1:34" ht="21.75" customHeight="1" hidden="1">
      <c r="A157" s="1416"/>
      <c r="B157" s="1129"/>
      <c r="C157" s="1129"/>
      <c r="D157" s="1077">
        <v>118856</v>
      </c>
      <c r="E157" s="1077">
        <v>75180</v>
      </c>
      <c r="F157" s="1128">
        <v>32796</v>
      </c>
      <c r="G157" s="1128"/>
      <c r="H157" s="1128">
        <v>2300</v>
      </c>
      <c r="I157" s="1128">
        <v>0</v>
      </c>
      <c r="J157" s="1128">
        <v>46595</v>
      </c>
      <c r="K157" s="1128"/>
      <c r="L157" s="1128"/>
      <c r="M157" s="1128">
        <v>750</v>
      </c>
      <c r="N157" s="1129"/>
      <c r="O157" s="1129"/>
      <c r="P157" s="1071">
        <v>491680</v>
      </c>
      <c r="Q157" s="1071">
        <v>201297</v>
      </c>
      <c r="R157" s="1072">
        <v>692977</v>
      </c>
      <c r="S157" s="1416"/>
      <c r="T157" s="1129"/>
      <c r="U157" s="1129"/>
      <c r="V157" s="1128"/>
      <c r="W157" s="1130">
        <v>229288</v>
      </c>
      <c r="X157" s="1130">
        <v>447550</v>
      </c>
      <c r="Y157" s="1130">
        <v>158798</v>
      </c>
      <c r="Z157" s="1130"/>
      <c r="AA157" s="1130">
        <v>9420</v>
      </c>
      <c r="AB157" s="1130"/>
      <c r="AC157" s="1130">
        <v>6719</v>
      </c>
      <c r="AD157" s="1130">
        <v>0</v>
      </c>
      <c r="AE157" s="1130"/>
      <c r="AF157" s="1075">
        <v>692977</v>
      </c>
      <c r="AH157" s="1115"/>
    </row>
    <row r="158" spans="1:34" s="1116" customFormat="1" ht="21.75" customHeight="1" hidden="1">
      <c r="A158" s="1416"/>
      <c r="B158" s="1127"/>
      <c r="C158" s="1127"/>
      <c r="D158" s="1077">
        <v>143983</v>
      </c>
      <c r="E158" s="1077">
        <v>75180</v>
      </c>
      <c r="F158" s="1132">
        <v>6545</v>
      </c>
      <c r="G158" s="1132">
        <v>0</v>
      </c>
      <c r="H158" s="1132">
        <v>7580</v>
      </c>
      <c r="I158" s="1132">
        <v>0</v>
      </c>
      <c r="J158" s="1132">
        <v>-36595</v>
      </c>
      <c r="K158" s="1132">
        <v>0</v>
      </c>
      <c r="L158" s="1132"/>
      <c r="M158" s="1132">
        <v>-750</v>
      </c>
      <c r="N158" s="1133">
        <v>0</v>
      </c>
      <c r="O158" s="1133">
        <v>0</v>
      </c>
      <c r="P158" s="1071">
        <v>-230862</v>
      </c>
      <c r="Q158" s="1071">
        <v>120763</v>
      </c>
      <c r="R158" s="1072">
        <v>-110099</v>
      </c>
      <c r="S158" s="1416"/>
      <c r="T158" s="1127"/>
      <c r="U158" s="1127"/>
      <c r="V158" s="1428"/>
      <c r="W158" s="1132">
        <v>-128645</v>
      </c>
      <c r="X158" s="1132">
        <v>20472</v>
      </c>
      <c r="Y158" s="1132">
        <v>13036</v>
      </c>
      <c r="Z158" s="1132"/>
      <c r="AA158" s="1132">
        <v>-9420</v>
      </c>
      <c r="AB158" s="1132"/>
      <c r="AC158" s="1132">
        <v>-1906</v>
      </c>
      <c r="AD158" s="1132">
        <v>9400</v>
      </c>
      <c r="AE158" s="1132"/>
      <c r="AF158" s="1075">
        <v>-110099</v>
      </c>
      <c r="AG158" s="1120">
        <v>0</v>
      </c>
      <c r="AH158" s="1120">
        <v>967789</v>
      </c>
    </row>
    <row r="159" spans="1:34" ht="21.75" customHeight="1" hidden="1">
      <c r="A159" s="1416"/>
      <c r="B159" s="1129"/>
      <c r="C159" s="1129"/>
      <c r="D159" s="1077">
        <v>194112</v>
      </c>
      <c r="E159" s="1077">
        <v>75180</v>
      </c>
      <c r="F159" s="1128"/>
      <c r="G159" s="1128"/>
      <c r="H159" s="1128"/>
      <c r="I159" s="1128"/>
      <c r="J159" s="1128"/>
      <c r="K159" s="1128"/>
      <c r="L159" s="1128"/>
      <c r="M159" s="1128"/>
      <c r="N159" s="1129"/>
      <c r="O159" s="1129"/>
      <c r="P159" s="1071">
        <v>-193950</v>
      </c>
      <c r="Q159" s="1071">
        <v>194112</v>
      </c>
      <c r="R159" s="1072">
        <v>162</v>
      </c>
      <c r="S159" s="1416"/>
      <c r="T159" s="1129"/>
      <c r="U159" s="1129"/>
      <c r="V159" s="1128"/>
      <c r="W159" s="1130">
        <v>162</v>
      </c>
      <c r="X159" s="1130"/>
      <c r="Y159" s="1130"/>
      <c r="Z159" s="1130"/>
      <c r="AA159" s="1130"/>
      <c r="AB159" s="1130"/>
      <c r="AC159" s="1130"/>
      <c r="AD159" s="1130"/>
      <c r="AE159" s="1130"/>
      <c r="AF159" s="1075">
        <v>162</v>
      </c>
      <c r="AH159" s="1115"/>
    </row>
    <row r="160" spans="1:34" ht="21.75" customHeight="1" hidden="1">
      <c r="A160" s="1416"/>
      <c r="B160" s="1129"/>
      <c r="C160" s="1129"/>
      <c r="D160" s="1077">
        <v>180701</v>
      </c>
      <c r="E160" s="1077">
        <v>75180</v>
      </c>
      <c r="F160" s="1128"/>
      <c r="G160" s="1128"/>
      <c r="H160" s="1128"/>
      <c r="I160" s="1128"/>
      <c r="J160" s="1128"/>
      <c r="K160" s="1128"/>
      <c r="L160" s="1128"/>
      <c r="M160" s="1128"/>
      <c r="N160" s="1129"/>
      <c r="O160" s="1129"/>
      <c r="P160" s="1071">
        <v>-177353</v>
      </c>
      <c r="Q160" s="1071">
        <v>180701</v>
      </c>
      <c r="R160" s="1072">
        <v>3348</v>
      </c>
      <c r="S160" s="1416"/>
      <c r="T160" s="1129"/>
      <c r="U160" s="1129"/>
      <c r="V160" s="1128"/>
      <c r="W160" s="1130">
        <v>3348</v>
      </c>
      <c r="X160" s="1130"/>
      <c r="Y160" s="1130"/>
      <c r="Z160" s="1130"/>
      <c r="AA160" s="1130"/>
      <c r="AB160" s="1130"/>
      <c r="AC160" s="1130"/>
      <c r="AD160" s="1130"/>
      <c r="AE160" s="1130"/>
      <c r="AF160" s="1075">
        <v>3348</v>
      </c>
      <c r="AH160" s="1115"/>
    </row>
    <row r="161" spans="1:34" ht="21.75" customHeight="1" hidden="1">
      <c r="A161" s="1416"/>
      <c r="B161" s="1129"/>
      <c r="C161" s="1129"/>
      <c r="D161" s="1077">
        <v>203973</v>
      </c>
      <c r="E161" s="1077">
        <v>75180</v>
      </c>
      <c r="F161" s="1128"/>
      <c r="G161" s="1128"/>
      <c r="H161" s="1128"/>
      <c r="I161" s="1128"/>
      <c r="J161" s="1128"/>
      <c r="K161" s="1128"/>
      <c r="L161" s="1128"/>
      <c r="M161" s="1128"/>
      <c r="N161" s="1129"/>
      <c r="O161" s="1129"/>
      <c r="P161" s="1071">
        <v>-204243</v>
      </c>
      <c r="Q161" s="1071">
        <v>203973</v>
      </c>
      <c r="R161" s="1072">
        <v>-270</v>
      </c>
      <c r="S161" s="1416"/>
      <c r="T161" s="1129"/>
      <c r="U161" s="1129"/>
      <c r="V161" s="1128"/>
      <c r="W161" s="1130">
        <v>-270</v>
      </c>
      <c r="X161" s="1130"/>
      <c r="Y161" s="1130"/>
      <c r="Z161" s="1130"/>
      <c r="AA161" s="1130"/>
      <c r="AB161" s="1130"/>
      <c r="AC161" s="1130"/>
      <c r="AD161" s="1130"/>
      <c r="AE161" s="1130"/>
      <c r="AF161" s="1075">
        <v>-270</v>
      </c>
      <c r="AH161" s="1115"/>
    </row>
    <row r="162" spans="1:34" ht="21.75" customHeight="1" hidden="1">
      <c r="A162" s="1416"/>
      <c r="B162" s="1129"/>
      <c r="C162" s="1129"/>
      <c r="D162" s="1077">
        <v>245918</v>
      </c>
      <c r="E162" s="1077">
        <v>75180</v>
      </c>
      <c r="F162" s="1128"/>
      <c r="G162" s="1128"/>
      <c r="H162" s="1128"/>
      <c r="I162" s="1128"/>
      <c r="J162" s="1128"/>
      <c r="K162" s="1128"/>
      <c r="L162" s="1128"/>
      <c r="M162" s="1128"/>
      <c r="N162" s="1129"/>
      <c r="O162" s="1129"/>
      <c r="P162" s="1071">
        <v>-245918</v>
      </c>
      <c r="Q162" s="1071">
        <v>245918</v>
      </c>
      <c r="R162" s="1072">
        <v>0</v>
      </c>
      <c r="S162" s="1416"/>
      <c r="T162" s="1129"/>
      <c r="U162" s="1129"/>
      <c r="V162" s="1128"/>
      <c r="W162" s="1130"/>
      <c r="X162" s="1130"/>
      <c r="Y162" s="1130"/>
      <c r="Z162" s="1130"/>
      <c r="AA162" s="1130"/>
      <c r="AB162" s="1130"/>
      <c r="AC162" s="1130"/>
      <c r="AD162" s="1130"/>
      <c r="AE162" s="1130"/>
      <c r="AF162" s="1075">
        <v>0</v>
      </c>
      <c r="AH162" s="1115"/>
    </row>
    <row r="163" spans="1:32" ht="21.75" customHeight="1" hidden="1">
      <c r="A163" s="1416"/>
      <c r="B163" s="1129"/>
      <c r="C163" s="1129"/>
      <c r="D163" s="1077">
        <v>236234</v>
      </c>
      <c r="E163" s="1077">
        <v>75180</v>
      </c>
      <c r="F163" s="1128"/>
      <c r="G163" s="1128"/>
      <c r="H163" s="1128"/>
      <c r="I163" s="1128"/>
      <c r="J163" s="1128"/>
      <c r="K163" s="1128"/>
      <c r="L163" s="1128"/>
      <c r="M163" s="1128"/>
      <c r="N163" s="1129"/>
      <c r="O163" s="1129"/>
      <c r="P163" s="1071">
        <v>-236234</v>
      </c>
      <c r="Q163" s="1071">
        <v>236234</v>
      </c>
      <c r="R163" s="1072">
        <v>0</v>
      </c>
      <c r="S163" s="1416"/>
      <c r="T163" s="1129"/>
      <c r="U163" s="1129"/>
      <c r="V163" s="1128"/>
      <c r="W163" s="1130">
        <v>0</v>
      </c>
      <c r="X163" s="1130"/>
      <c r="Y163" s="1130"/>
      <c r="Z163" s="1130"/>
      <c r="AA163" s="1130"/>
      <c r="AB163" s="1130"/>
      <c r="AC163" s="1130"/>
      <c r="AD163" s="1130"/>
      <c r="AE163" s="1130"/>
      <c r="AF163" s="1075">
        <v>0</v>
      </c>
    </row>
    <row r="164" spans="1:32" ht="21.75" customHeight="1" hidden="1">
      <c r="A164" s="1416"/>
      <c r="B164" s="1129"/>
      <c r="C164" s="1129"/>
      <c r="D164" s="1077">
        <v>262733</v>
      </c>
      <c r="E164" s="1077">
        <v>75180</v>
      </c>
      <c r="F164" s="1128"/>
      <c r="G164" s="1128"/>
      <c r="H164" s="1128"/>
      <c r="I164" s="1128"/>
      <c r="J164" s="1128"/>
      <c r="K164" s="1128"/>
      <c r="L164" s="1128"/>
      <c r="M164" s="1128"/>
      <c r="N164" s="1129"/>
      <c r="O164" s="1129"/>
      <c r="P164" s="1071">
        <v>-262367</v>
      </c>
      <c r="Q164" s="1071">
        <v>262733</v>
      </c>
      <c r="R164" s="1072">
        <v>366</v>
      </c>
      <c r="S164" s="1416"/>
      <c r="T164" s="1129"/>
      <c r="U164" s="1129"/>
      <c r="V164" s="1128"/>
      <c r="W164" s="1130">
        <v>366</v>
      </c>
      <c r="X164" s="1130"/>
      <c r="Y164" s="1130"/>
      <c r="Z164" s="1130"/>
      <c r="AA164" s="1130"/>
      <c r="AB164" s="1130"/>
      <c r="AC164" s="1130"/>
      <c r="AD164" s="1130"/>
      <c r="AE164" s="1130"/>
      <c r="AF164" s="1075">
        <v>366</v>
      </c>
    </row>
    <row r="165" spans="1:32" ht="21.75" customHeight="1" hidden="1">
      <c r="A165" s="1416"/>
      <c r="B165" s="1129"/>
      <c r="C165" s="1129"/>
      <c r="D165" s="1077">
        <v>297553</v>
      </c>
      <c r="E165" s="1077">
        <v>75180</v>
      </c>
      <c r="F165" s="1128"/>
      <c r="G165" s="1128"/>
      <c r="H165" s="1128"/>
      <c r="I165" s="1128"/>
      <c r="J165" s="1128"/>
      <c r="K165" s="1128"/>
      <c r="L165" s="1128"/>
      <c r="M165" s="1128"/>
      <c r="N165" s="1129"/>
      <c r="O165" s="1129"/>
      <c r="P165" s="1071">
        <v>-298088</v>
      </c>
      <c r="Q165" s="1071">
        <v>297553</v>
      </c>
      <c r="R165" s="1072">
        <v>-535</v>
      </c>
      <c r="S165" s="1416"/>
      <c r="T165" s="1129"/>
      <c r="U165" s="1129"/>
      <c r="V165" s="1128"/>
      <c r="W165" s="1130">
        <v>-535</v>
      </c>
      <c r="X165" s="1130"/>
      <c r="Y165" s="1130"/>
      <c r="Z165" s="1130"/>
      <c r="AA165" s="1130"/>
      <c r="AB165" s="1130"/>
      <c r="AC165" s="1130"/>
      <c r="AD165" s="1130"/>
      <c r="AE165" s="1130"/>
      <c r="AF165" s="1075">
        <v>-535</v>
      </c>
    </row>
    <row r="166" spans="1:32" ht="21.75" customHeight="1" hidden="1">
      <c r="A166" s="1416"/>
      <c r="B166" s="1129"/>
      <c r="C166" s="1129"/>
      <c r="D166" s="1077">
        <v>294008</v>
      </c>
      <c r="E166" s="1077">
        <v>75180</v>
      </c>
      <c r="F166" s="1128"/>
      <c r="G166" s="1128"/>
      <c r="H166" s="1128"/>
      <c r="I166" s="1128"/>
      <c r="J166" s="1128"/>
      <c r="K166" s="1128"/>
      <c r="L166" s="1128"/>
      <c r="M166" s="1128"/>
      <c r="N166" s="1129"/>
      <c r="O166" s="1129"/>
      <c r="P166" s="1071">
        <v>-294112</v>
      </c>
      <c r="Q166" s="1071">
        <v>294008</v>
      </c>
      <c r="R166" s="1072">
        <v>-104</v>
      </c>
      <c r="S166" s="1416"/>
      <c r="T166" s="1129"/>
      <c r="U166" s="1129"/>
      <c r="V166" s="1128"/>
      <c r="W166" s="1130">
        <v>-104</v>
      </c>
      <c r="X166" s="1130"/>
      <c r="Y166" s="1130"/>
      <c r="Z166" s="1130"/>
      <c r="AA166" s="1130"/>
      <c r="AB166" s="1130"/>
      <c r="AC166" s="1130"/>
      <c r="AD166" s="1130"/>
      <c r="AE166" s="1130"/>
      <c r="AF166" s="1075">
        <v>-104</v>
      </c>
    </row>
    <row r="167" spans="1:32" ht="21.75" customHeight="1" hidden="1">
      <c r="A167" s="1416"/>
      <c r="B167" s="1129"/>
      <c r="C167" s="1129"/>
      <c r="D167" s="1077">
        <v>324234</v>
      </c>
      <c r="E167" s="1077">
        <v>75180</v>
      </c>
      <c r="F167" s="1128"/>
      <c r="G167" s="1128"/>
      <c r="H167" s="1128"/>
      <c r="I167" s="1128"/>
      <c r="J167" s="1128"/>
      <c r="K167" s="1128"/>
      <c r="L167" s="1128"/>
      <c r="M167" s="1128"/>
      <c r="N167" s="1129"/>
      <c r="O167" s="1129"/>
      <c r="P167" s="1071">
        <v>-324234</v>
      </c>
      <c r="Q167" s="1071">
        <v>324234</v>
      </c>
      <c r="R167" s="1072">
        <v>0</v>
      </c>
      <c r="S167" s="1416"/>
      <c r="T167" s="1129"/>
      <c r="U167" s="1129"/>
      <c r="V167" s="1128"/>
      <c r="W167" s="1130"/>
      <c r="X167" s="1130"/>
      <c r="Y167" s="1130"/>
      <c r="Z167" s="1130"/>
      <c r="AA167" s="1130"/>
      <c r="AB167" s="1130"/>
      <c r="AC167" s="1130"/>
      <c r="AD167" s="1130"/>
      <c r="AE167" s="1130"/>
      <c r="AF167" s="1075">
        <v>0</v>
      </c>
    </row>
    <row r="168" spans="1:32" ht="21.75" customHeight="1" hidden="1">
      <c r="A168" s="1416"/>
      <c r="B168" s="1129"/>
      <c r="C168" s="1129"/>
      <c r="D168" s="1077">
        <v>366215</v>
      </c>
      <c r="E168" s="1077">
        <v>75180</v>
      </c>
      <c r="F168" s="1128"/>
      <c r="G168" s="1128"/>
      <c r="H168" s="1128"/>
      <c r="I168" s="1128"/>
      <c r="J168" s="1128"/>
      <c r="K168" s="1128"/>
      <c r="L168" s="1128"/>
      <c r="M168" s="1128"/>
      <c r="N168" s="1129"/>
      <c r="O168" s="1129"/>
      <c r="P168" s="1071">
        <v>-366215</v>
      </c>
      <c r="Q168" s="1071">
        <v>366215</v>
      </c>
      <c r="R168" s="1072">
        <v>0</v>
      </c>
      <c r="S168" s="1416"/>
      <c r="T168" s="1129"/>
      <c r="U168" s="1129"/>
      <c r="V168" s="1128"/>
      <c r="W168" s="1130"/>
      <c r="X168" s="1130"/>
      <c r="Y168" s="1130"/>
      <c r="Z168" s="1130"/>
      <c r="AA168" s="1130"/>
      <c r="AB168" s="1130"/>
      <c r="AC168" s="1130"/>
      <c r="AD168" s="1130"/>
      <c r="AE168" s="1130"/>
      <c r="AF168" s="1075">
        <v>0</v>
      </c>
    </row>
    <row r="169" spans="1:32" ht="21.75" customHeight="1" hidden="1">
      <c r="A169" s="1416"/>
      <c r="B169" s="1129"/>
      <c r="C169" s="1129"/>
      <c r="D169" s="1077">
        <v>352759</v>
      </c>
      <c r="E169" s="1077">
        <v>75180</v>
      </c>
      <c r="F169" s="1128"/>
      <c r="G169" s="1128"/>
      <c r="H169" s="1128"/>
      <c r="I169" s="1128"/>
      <c r="J169" s="1128"/>
      <c r="K169" s="1128"/>
      <c r="L169" s="1128"/>
      <c r="M169" s="1128"/>
      <c r="N169" s="1129"/>
      <c r="O169" s="1129"/>
      <c r="P169" s="1071">
        <v>-349792</v>
      </c>
      <c r="Q169" s="1071">
        <v>352759</v>
      </c>
      <c r="R169" s="1072">
        <v>2967</v>
      </c>
      <c r="S169" s="1416"/>
      <c r="T169" s="1129"/>
      <c r="U169" s="1129"/>
      <c r="V169" s="1128"/>
      <c r="W169" s="1130">
        <v>2967</v>
      </c>
      <c r="X169" s="1130"/>
      <c r="Y169" s="1130"/>
      <c r="Z169" s="1130"/>
      <c r="AA169" s="1130"/>
      <c r="AB169" s="1130"/>
      <c r="AC169" s="1130"/>
      <c r="AD169" s="1130"/>
      <c r="AE169" s="1130"/>
      <c r="AF169" s="1075">
        <v>2967</v>
      </c>
    </row>
    <row r="170" spans="1:32" ht="21.75" customHeight="1" hidden="1">
      <c r="A170" s="1416"/>
      <c r="B170" s="1129"/>
      <c r="C170" s="1129"/>
      <c r="D170" s="1077">
        <v>389124</v>
      </c>
      <c r="E170" s="1077">
        <v>75180</v>
      </c>
      <c r="F170" s="1128"/>
      <c r="G170" s="1128"/>
      <c r="H170" s="1128"/>
      <c r="I170" s="1128"/>
      <c r="J170" s="1128"/>
      <c r="K170" s="1128"/>
      <c r="L170" s="1128"/>
      <c r="M170" s="1128"/>
      <c r="N170" s="1129"/>
      <c r="O170" s="1129"/>
      <c r="P170" s="1071">
        <v>-389124</v>
      </c>
      <c r="Q170" s="1071">
        <v>389124</v>
      </c>
      <c r="R170" s="1072">
        <v>0</v>
      </c>
      <c r="S170" s="1416"/>
      <c r="T170" s="1129"/>
      <c r="U170" s="1129"/>
      <c r="V170" s="1128"/>
      <c r="W170" s="1130"/>
      <c r="X170" s="1130"/>
      <c r="Y170" s="1130"/>
      <c r="Z170" s="1130"/>
      <c r="AA170" s="1130"/>
      <c r="AB170" s="1130"/>
      <c r="AC170" s="1130"/>
      <c r="AD170" s="1130"/>
      <c r="AE170" s="1130"/>
      <c r="AF170" s="1075">
        <v>0</v>
      </c>
    </row>
    <row r="171" spans="1:32" ht="21.75" customHeight="1" hidden="1">
      <c r="A171" s="1416"/>
      <c r="B171" s="1129"/>
      <c r="C171" s="1129"/>
      <c r="D171" s="1077">
        <v>466519</v>
      </c>
      <c r="E171" s="1077">
        <v>75180</v>
      </c>
      <c r="F171" s="1128"/>
      <c r="G171" s="1128"/>
      <c r="H171" s="1128"/>
      <c r="I171" s="1128"/>
      <c r="J171" s="1128"/>
      <c r="K171" s="1128"/>
      <c r="L171" s="1128"/>
      <c r="M171" s="1128"/>
      <c r="N171" s="1129"/>
      <c r="O171" s="1129"/>
      <c r="P171" s="1071">
        <v>228528</v>
      </c>
      <c r="Q171" s="1071">
        <v>466519</v>
      </c>
      <c r="R171" s="1072">
        <v>695047</v>
      </c>
      <c r="S171" s="1416"/>
      <c r="T171" s="1129"/>
      <c r="U171" s="1129"/>
      <c r="V171" s="1128"/>
      <c r="W171" s="1130">
        <v>231427</v>
      </c>
      <c r="X171" s="1130">
        <v>447481</v>
      </c>
      <c r="Y171" s="1130"/>
      <c r="Z171" s="1130"/>
      <c r="AA171" s="1130">
        <v>9420</v>
      </c>
      <c r="AB171" s="1130"/>
      <c r="AC171" s="1130">
        <v>6719</v>
      </c>
      <c r="AD171" s="1130"/>
      <c r="AE171" s="1130"/>
      <c r="AF171" s="1075">
        <v>695047</v>
      </c>
    </row>
    <row r="172" spans="1:32" ht="21.75" customHeight="1" hidden="1">
      <c r="A172" s="1416"/>
      <c r="B172" s="1129"/>
      <c r="C172" s="1129"/>
      <c r="D172" s="1077">
        <v>449213</v>
      </c>
      <c r="E172" s="1077">
        <v>75180</v>
      </c>
      <c r="F172" s="1128"/>
      <c r="G172" s="1128"/>
      <c r="H172" s="1128"/>
      <c r="I172" s="1128"/>
      <c r="J172" s="1128"/>
      <c r="K172" s="1128"/>
      <c r="L172" s="1128"/>
      <c r="M172" s="1128"/>
      <c r="N172" s="1129"/>
      <c r="O172" s="1129"/>
      <c r="P172" s="1071">
        <v>-449213</v>
      </c>
      <c r="Q172" s="1071">
        <v>449213</v>
      </c>
      <c r="R172" s="1072">
        <v>0</v>
      </c>
      <c r="S172" s="1416"/>
      <c r="T172" s="1129"/>
      <c r="U172" s="1129"/>
      <c r="V172" s="1128"/>
      <c r="W172" s="1130"/>
      <c r="X172" s="1130"/>
      <c r="Y172" s="1130"/>
      <c r="Z172" s="1130"/>
      <c r="AA172" s="1130"/>
      <c r="AB172" s="1130"/>
      <c r="AC172" s="1130"/>
      <c r="AD172" s="1130"/>
      <c r="AE172" s="1130"/>
      <c r="AF172" s="1075">
        <v>0</v>
      </c>
    </row>
    <row r="173" spans="1:34" s="1119" customFormat="1" ht="12.75" customHeight="1">
      <c r="A173" s="1416"/>
      <c r="B173" s="1084" t="s">
        <v>883</v>
      </c>
      <c r="C173" s="1085" t="s">
        <v>861</v>
      </c>
      <c r="D173" s="1077">
        <v>129030</v>
      </c>
      <c r="E173" s="1077">
        <v>75180</v>
      </c>
      <c r="F173" s="1077">
        <v>39341</v>
      </c>
      <c r="G173" s="1077">
        <v>0</v>
      </c>
      <c r="H173" s="1077">
        <v>9880</v>
      </c>
      <c r="I173" s="1077">
        <v>0</v>
      </c>
      <c r="J173" s="1077">
        <v>10000</v>
      </c>
      <c r="K173" s="1077">
        <v>0</v>
      </c>
      <c r="L173" s="1077">
        <v>0</v>
      </c>
      <c r="M173" s="1077">
        <v>0</v>
      </c>
      <c r="N173" s="1078">
        <v>0</v>
      </c>
      <c r="O173" s="1078">
        <v>0</v>
      </c>
      <c r="P173" s="1071">
        <v>779538</v>
      </c>
      <c r="Q173" s="1071">
        <v>188251</v>
      </c>
      <c r="R173" s="1072">
        <v>967789</v>
      </c>
      <c r="S173" s="1416"/>
      <c r="T173" s="1084" t="s">
        <v>883</v>
      </c>
      <c r="U173" s="1085" t="s">
        <v>861</v>
      </c>
      <c r="V173" s="1077">
        <v>384911</v>
      </c>
      <c r="W173" s="1077">
        <v>100643</v>
      </c>
      <c r="X173" s="1077">
        <v>468022</v>
      </c>
      <c r="Y173" s="1077">
        <v>171834</v>
      </c>
      <c r="Z173" s="1077">
        <v>0</v>
      </c>
      <c r="AA173" s="1077">
        <v>0</v>
      </c>
      <c r="AB173" s="1077"/>
      <c r="AC173" s="1077">
        <v>4813</v>
      </c>
      <c r="AD173" s="1077">
        <v>9400</v>
      </c>
      <c r="AE173" s="1077"/>
      <c r="AF173" s="1087">
        <v>967789</v>
      </c>
      <c r="AG173" s="1109">
        <v>0</v>
      </c>
      <c r="AH173" s="1077">
        <v>846302</v>
      </c>
    </row>
    <row r="174" spans="1:34" s="1119" customFormat="1" ht="12.75" customHeight="1">
      <c r="A174" s="1416"/>
      <c r="B174" s="1084" t="s">
        <v>883</v>
      </c>
      <c r="C174" s="1076" t="s">
        <v>862</v>
      </c>
      <c r="D174" s="1077">
        <v>143983</v>
      </c>
      <c r="E174" s="1077">
        <v>90068</v>
      </c>
      <c r="F174" s="1077">
        <v>39341</v>
      </c>
      <c r="G174" s="1077">
        <v>0</v>
      </c>
      <c r="H174" s="1077">
        <v>9880</v>
      </c>
      <c r="I174" s="1077">
        <v>0</v>
      </c>
      <c r="J174" s="1077">
        <v>13848</v>
      </c>
      <c r="K174" s="1077">
        <v>285</v>
      </c>
      <c r="L174" s="1077">
        <v>17676</v>
      </c>
      <c r="M174" s="1077">
        <v>0</v>
      </c>
      <c r="N174" s="1078">
        <v>27601</v>
      </c>
      <c r="O174" s="1078">
        <v>0</v>
      </c>
      <c r="P174" s="1071">
        <v>804082</v>
      </c>
      <c r="Q174" s="1071">
        <v>252614</v>
      </c>
      <c r="R174" s="1072">
        <v>1056696</v>
      </c>
      <c r="S174" s="1416"/>
      <c r="T174" s="1084" t="s">
        <v>883</v>
      </c>
      <c r="U174" s="1076" t="s">
        <v>862</v>
      </c>
      <c r="V174" s="1077">
        <v>397127</v>
      </c>
      <c r="W174" s="1077">
        <v>103488</v>
      </c>
      <c r="X174" s="1077">
        <v>523907</v>
      </c>
      <c r="Y174" s="1077">
        <v>200542</v>
      </c>
      <c r="Z174" s="1077">
        <v>0</v>
      </c>
      <c r="AA174" s="1077">
        <v>17676</v>
      </c>
      <c r="AB174" s="1077"/>
      <c r="AC174" s="1077">
        <v>5098</v>
      </c>
      <c r="AD174" s="1077">
        <v>9400</v>
      </c>
      <c r="AE174" s="1077"/>
      <c r="AF174" s="1087">
        <v>1056696</v>
      </c>
      <c r="AH174" s="1118">
        <v>967789</v>
      </c>
    </row>
    <row r="175" spans="1:34" s="1119" customFormat="1" ht="12.75" customHeight="1">
      <c r="A175" s="1416"/>
      <c r="B175" s="1079" t="s">
        <v>860</v>
      </c>
      <c r="C175" s="1076" t="s">
        <v>863</v>
      </c>
      <c r="D175" s="1077">
        <v>138111</v>
      </c>
      <c r="E175" s="1077">
        <v>90068</v>
      </c>
      <c r="F175" s="1077">
        <v>37564</v>
      </c>
      <c r="G175" s="1077">
        <v>0</v>
      </c>
      <c r="H175" s="1077">
        <v>1921</v>
      </c>
      <c r="I175" s="1077">
        <v>0</v>
      </c>
      <c r="J175" s="1077">
        <v>14042</v>
      </c>
      <c r="K175" s="1077">
        <v>285</v>
      </c>
      <c r="L175" s="1077">
        <v>17676</v>
      </c>
      <c r="M175" s="1077">
        <v>0</v>
      </c>
      <c r="N175" s="1077">
        <v>27601</v>
      </c>
      <c r="O175" s="1077">
        <v>0</v>
      </c>
      <c r="P175" s="1073">
        <v>732082</v>
      </c>
      <c r="Q175" s="1073">
        <v>237200</v>
      </c>
      <c r="R175" s="1075">
        <v>969282</v>
      </c>
      <c r="S175" s="1416"/>
      <c r="T175" s="1079" t="s">
        <v>860</v>
      </c>
      <c r="U175" s="1076" t="s">
        <v>863</v>
      </c>
      <c r="V175" s="1077">
        <v>352578</v>
      </c>
      <c r="W175" s="1077">
        <v>91494</v>
      </c>
      <c r="X175" s="1077">
        <v>490883</v>
      </c>
      <c r="Y175" s="1077">
        <v>204242</v>
      </c>
      <c r="Z175" s="1077">
        <v>0</v>
      </c>
      <c r="AA175" s="1077">
        <v>17676</v>
      </c>
      <c r="AB175" s="1077">
        <v>766</v>
      </c>
      <c r="AC175" s="1077">
        <v>5865</v>
      </c>
      <c r="AD175" s="1077">
        <v>10020</v>
      </c>
      <c r="AE175" s="1077">
        <v>0</v>
      </c>
      <c r="AF175" s="1087">
        <v>969282</v>
      </c>
      <c r="AH175" s="1118"/>
    </row>
    <row r="176" spans="1:34" s="1119" customFormat="1" ht="12.75" customHeight="1">
      <c r="A176" s="1416"/>
      <c r="B176" s="1079" t="s">
        <v>860</v>
      </c>
      <c r="C176" s="1076" t="s">
        <v>864</v>
      </c>
      <c r="D176" s="1077">
        <v>147865</v>
      </c>
      <c r="E176" s="1077">
        <v>90068</v>
      </c>
      <c r="F176" s="1077">
        <v>40949</v>
      </c>
      <c r="G176" s="1077">
        <v>0</v>
      </c>
      <c r="H176" s="1077">
        <v>1640</v>
      </c>
      <c r="I176" s="1077">
        <v>0</v>
      </c>
      <c r="J176" s="1077">
        <v>18350</v>
      </c>
      <c r="K176" s="1077">
        <v>285</v>
      </c>
      <c r="L176" s="1077">
        <v>17676</v>
      </c>
      <c r="M176" s="1077">
        <v>23363</v>
      </c>
      <c r="N176" s="1077">
        <v>27601</v>
      </c>
      <c r="O176" s="1077">
        <v>0</v>
      </c>
      <c r="P176" s="1077">
        <v>757958</v>
      </c>
      <c r="Q176" s="1077">
        <v>277729</v>
      </c>
      <c r="R176" s="1087">
        <v>1035687</v>
      </c>
      <c r="S176" s="1416"/>
      <c r="T176" s="1079" t="s">
        <v>860</v>
      </c>
      <c r="U176" s="1076" t="s">
        <v>864</v>
      </c>
      <c r="V176" s="1077">
        <v>385358</v>
      </c>
      <c r="W176" s="1077">
        <v>100471</v>
      </c>
      <c r="X176" s="1077">
        <v>517975</v>
      </c>
      <c r="Y176" s="1077">
        <v>200542</v>
      </c>
      <c r="Z176" s="1077">
        <v>0</v>
      </c>
      <c r="AA176" s="1077">
        <v>17676</v>
      </c>
      <c r="AB176" s="1077">
        <v>766</v>
      </c>
      <c r="AC176" s="1077">
        <v>4041</v>
      </c>
      <c r="AD176" s="1077">
        <v>9400</v>
      </c>
      <c r="AE176" s="1077">
        <v>0</v>
      </c>
      <c r="AF176" s="1087">
        <v>1035687</v>
      </c>
      <c r="AH176" s="1118"/>
    </row>
    <row r="177" spans="1:34" s="1119" customFormat="1" ht="13.5" customHeight="1">
      <c r="A177" s="1416"/>
      <c r="B177" s="1079" t="s">
        <v>860</v>
      </c>
      <c r="C177" s="1076" t="s">
        <v>865</v>
      </c>
      <c r="D177" s="1077">
        <v>151816</v>
      </c>
      <c r="E177" s="1077">
        <v>86903</v>
      </c>
      <c r="F177" s="1077">
        <v>47414</v>
      </c>
      <c r="G177" s="1077"/>
      <c r="H177" s="1077">
        <v>1721</v>
      </c>
      <c r="I177" s="1077">
        <v>0</v>
      </c>
      <c r="J177" s="1077">
        <v>30198</v>
      </c>
      <c r="K177" s="1077">
        <v>285</v>
      </c>
      <c r="L177" s="1077">
        <v>17676</v>
      </c>
      <c r="M177" s="1077">
        <v>25993</v>
      </c>
      <c r="N177" s="1077">
        <v>27601</v>
      </c>
      <c r="O177" s="1077">
        <v>0</v>
      </c>
      <c r="P177" s="1077">
        <v>758153</v>
      </c>
      <c r="Q177" s="1077">
        <v>302704</v>
      </c>
      <c r="R177" s="1087">
        <v>1060857</v>
      </c>
      <c r="S177" s="1416"/>
      <c r="T177" s="1079" t="s">
        <v>860</v>
      </c>
      <c r="U177" s="1076" t="s">
        <v>865</v>
      </c>
      <c r="V177" s="1077">
        <v>385550</v>
      </c>
      <c r="W177" s="1077">
        <v>100523</v>
      </c>
      <c r="X177" s="1077">
        <v>527708</v>
      </c>
      <c r="Y177" s="1077">
        <v>197074</v>
      </c>
      <c r="Z177" s="1077"/>
      <c r="AA177" s="1077">
        <v>17676</v>
      </c>
      <c r="AB177" s="1077">
        <v>12463</v>
      </c>
      <c r="AC177" s="1077">
        <v>5653</v>
      </c>
      <c r="AD177" s="1077">
        <v>11284</v>
      </c>
      <c r="AE177" s="1077"/>
      <c r="AF177" s="1087">
        <v>1060857</v>
      </c>
      <c r="AH177" s="1118"/>
    </row>
    <row r="178" spans="1:32" s="1117" customFormat="1" ht="12.75" customHeight="1">
      <c r="A178" s="1414" t="s">
        <v>892</v>
      </c>
      <c r="B178" s="1084" t="s">
        <v>893</v>
      </c>
      <c r="C178" s="1085" t="s">
        <v>539</v>
      </c>
      <c r="D178" s="1077">
        <v>128364</v>
      </c>
      <c r="E178" s="1077">
        <v>75180</v>
      </c>
      <c r="F178" s="1077">
        <v>31161</v>
      </c>
      <c r="G178" s="1077">
        <v>0</v>
      </c>
      <c r="H178" s="1077">
        <v>9880</v>
      </c>
      <c r="I178" s="1077">
        <v>0</v>
      </c>
      <c r="J178" s="1077">
        <v>10000</v>
      </c>
      <c r="K178" s="1077">
        <v>0</v>
      </c>
      <c r="L178" s="1077">
        <v>0</v>
      </c>
      <c r="M178" s="1077">
        <v>0</v>
      </c>
      <c r="N178" s="1077">
        <v>0</v>
      </c>
      <c r="O178" s="1077">
        <v>0</v>
      </c>
      <c r="P178" s="1071">
        <v>756050</v>
      </c>
      <c r="Q178" s="1071">
        <v>179405</v>
      </c>
      <c r="R178" s="1072">
        <v>935455</v>
      </c>
      <c r="S178" s="1414" t="s">
        <v>892</v>
      </c>
      <c r="T178" s="1084" t="s">
        <v>893</v>
      </c>
      <c r="U178" s="1085" t="s">
        <v>539</v>
      </c>
      <c r="V178" s="1086">
        <v>367129</v>
      </c>
      <c r="W178" s="1077">
        <v>95905</v>
      </c>
      <c r="X178" s="1077">
        <v>458208</v>
      </c>
      <c r="Y178" s="1077">
        <v>171834</v>
      </c>
      <c r="Z178" s="1077">
        <v>0</v>
      </c>
      <c r="AA178" s="1077">
        <v>0</v>
      </c>
      <c r="AB178" s="1077"/>
      <c r="AC178" s="1077">
        <v>4813</v>
      </c>
      <c r="AD178" s="1077">
        <v>9400</v>
      </c>
      <c r="AE178" s="1077"/>
      <c r="AF178" s="1087">
        <v>935455</v>
      </c>
    </row>
    <row r="179" spans="1:32" ht="10.5" customHeight="1" hidden="1">
      <c r="A179" s="1414"/>
      <c r="B179" s="1127"/>
      <c r="C179" s="1127"/>
      <c r="D179" s="1077">
        <v>118190</v>
      </c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9"/>
      <c r="O179" s="1129"/>
      <c r="P179" s="1071">
        <v>-118190</v>
      </c>
      <c r="Q179" s="1071">
        <v>118190</v>
      </c>
      <c r="R179" s="1072">
        <v>0</v>
      </c>
      <c r="S179" s="1414"/>
      <c r="T179" s="1127"/>
      <c r="U179" s="1127"/>
      <c r="V179" s="1128"/>
      <c r="W179" s="1130"/>
      <c r="X179" s="1130"/>
      <c r="Y179" s="1130"/>
      <c r="Z179" s="1130"/>
      <c r="AA179" s="1130"/>
      <c r="AB179" s="1130"/>
      <c r="AC179" s="1130"/>
      <c r="AD179" s="1130"/>
      <c r="AE179" s="1130"/>
      <c r="AF179" s="1075">
        <v>0</v>
      </c>
    </row>
    <row r="180" spans="1:32" ht="12.75" customHeight="1" hidden="1">
      <c r="A180" s="1414"/>
      <c r="B180" s="1127"/>
      <c r="C180" s="1127"/>
      <c r="D180" s="1077">
        <v>143317</v>
      </c>
      <c r="E180" s="1128">
        <v>69489</v>
      </c>
      <c r="F180" s="1128">
        <v>36954</v>
      </c>
      <c r="G180" s="1128">
        <v>0</v>
      </c>
      <c r="H180" s="1128">
        <v>3540</v>
      </c>
      <c r="I180" s="1128">
        <v>0</v>
      </c>
      <c r="J180" s="1128">
        <v>46595</v>
      </c>
      <c r="K180" s="1128">
        <v>0</v>
      </c>
      <c r="L180" s="1128"/>
      <c r="M180" s="1128">
        <v>750</v>
      </c>
      <c r="N180" s="1129">
        <v>0</v>
      </c>
      <c r="O180" s="1129">
        <v>0</v>
      </c>
      <c r="P180" s="1071">
        <v>463891</v>
      </c>
      <c r="Q180" s="1071">
        <v>231156</v>
      </c>
      <c r="R180" s="1072">
        <v>695047</v>
      </c>
      <c r="S180" s="1414"/>
      <c r="T180" s="1127"/>
      <c r="U180" s="1127"/>
      <c r="V180" s="1128"/>
      <c r="W180" s="1130">
        <v>231427</v>
      </c>
      <c r="X180" s="1130">
        <v>447481</v>
      </c>
      <c r="Y180" s="1130">
        <v>158798</v>
      </c>
      <c r="Z180" s="1130"/>
      <c r="AA180" s="1130">
        <v>9420</v>
      </c>
      <c r="AB180" s="1130"/>
      <c r="AC180" s="1130">
        <v>6719</v>
      </c>
      <c r="AD180" s="1130">
        <v>0</v>
      </c>
      <c r="AE180" s="1130"/>
      <c r="AF180" s="1075">
        <v>695047</v>
      </c>
    </row>
    <row r="181" spans="1:32" ht="12.75" customHeight="1" hidden="1">
      <c r="A181" s="1414"/>
      <c r="B181" s="1127"/>
      <c r="C181" s="1127"/>
      <c r="D181" s="1077">
        <v>131824</v>
      </c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9"/>
      <c r="O181" s="1129"/>
      <c r="P181" s="1071">
        <v>-131824</v>
      </c>
      <c r="Q181" s="1071">
        <v>131824</v>
      </c>
      <c r="R181" s="1072">
        <v>0</v>
      </c>
      <c r="S181" s="1414"/>
      <c r="T181" s="1127"/>
      <c r="U181" s="1127"/>
      <c r="V181" s="1128"/>
      <c r="W181" s="1130"/>
      <c r="X181" s="1130"/>
      <c r="Y181" s="1130"/>
      <c r="Z181" s="1130"/>
      <c r="AA181" s="1130"/>
      <c r="AB181" s="1130"/>
      <c r="AC181" s="1130"/>
      <c r="AD181" s="1130"/>
      <c r="AE181" s="1130"/>
      <c r="AF181" s="1075">
        <v>0</v>
      </c>
    </row>
    <row r="182" spans="1:32" ht="12.75" customHeight="1" hidden="1">
      <c r="A182" s="1414"/>
      <c r="B182" s="1127"/>
      <c r="C182" s="1127"/>
      <c r="D182" s="1077">
        <v>118413</v>
      </c>
      <c r="E182" s="1130">
        <v>5691</v>
      </c>
      <c r="F182" s="1130">
        <v>2387</v>
      </c>
      <c r="G182" s="1130">
        <v>0</v>
      </c>
      <c r="H182" s="1130">
        <v>6340</v>
      </c>
      <c r="I182" s="1130">
        <v>0</v>
      </c>
      <c r="J182" s="1130">
        <v>-36595</v>
      </c>
      <c r="K182" s="1130">
        <v>0</v>
      </c>
      <c r="L182" s="1130"/>
      <c r="M182" s="1130">
        <v>-750</v>
      </c>
      <c r="N182" s="1131">
        <v>0</v>
      </c>
      <c r="O182" s="1131">
        <v>0</v>
      </c>
      <c r="P182" s="1071">
        <v>-201964</v>
      </c>
      <c r="Q182" s="1071">
        <v>89795</v>
      </c>
      <c r="R182" s="1072">
        <v>-112169</v>
      </c>
      <c r="S182" s="1414"/>
      <c r="T182" s="1127"/>
      <c r="U182" s="1127"/>
      <c r="V182" s="1128"/>
      <c r="W182" s="1130">
        <v>-130784</v>
      </c>
      <c r="X182" s="1130">
        <v>20541</v>
      </c>
      <c r="Y182" s="1130">
        <v>13036</v>
      </c>
      <c r="Z182" s="1130"/>
      <c r="AA182" s="1130">
        <v>-9420</v>
      </c>
      <c r="AB182" s="1130"/>
      <c r="AC182" s="1130">
        <v>-1906</v>
      </c>
      <c r="AD182" s="1130">
        <v>9400</v>
      </c>
      <c r="AE182" s="1130"/>
      <c r="AF182" s="1075">
        <v>-112169</v>
      </c>
    </row>
    <row r="183" spans="1:32" ht="12.75" customHeight="1">
      <c r="A183" s="1414"/>
      <c r="B183" s="1079" t="s">
        <v>893</v>
      </c>
      <c r="C183" s="1076" t="s">
        <v>861</v>
      </c>
      <c r="D183" s="1077">
        <v>128364</v>
      </c>
      <c r="E183" s="1077">
        <v>75180</v>
      </c>
      <c r="F183" s="1077">
        <v>31161</v>
      </c>
      <c r="G183" s="1077">
        <v>0</v>
      </c>
      <c r="H183" s="1077">
        <v>9880</v>
      </c>
      <c r="I183" s="1077">
        <v>0</v>
      </c>
      <c r="J183" s="1077">
        <v>10000</v>
      </c>
      <c r="K183" s="1077">
        <v>0</v>
      </c>
      <c r="L183" s="1077">
        <v>0</v>
      </c>
      <c r="M183" s="1077">
        <v>0</v>
      </c>
      <c r="N183" s="1077">
        <v>0</v>
      </c>
      <c r="O183" s="1077">
        <v>0</v>
      </c>
      <c r="P183" s="1071">
        <v>756050</v>
      </c>
      <c r="Q183" s="1071">
        <v>179405</v>
      </c>
      <c r="R183" s="1072">
        <v>935455</v>
      </c>
      <c r="S183" s="1414"/>
      <c r="T183" s="1079" t="s">
        <v>893</v>
      </c>
      <c r="U183" s="1076" t="s">
        <v>861</v>
      </c>
      <c r="V183" s="1086">
        <v>367129</v>
      </c>
      <c r="W183" s="1086">
        <v>95905</v>
      </c>
      <c r="X183" s="1086">
        <v>458208</v>
      </c>
      <c r="Y183" s="1086">
        <v>171834</v>
      </c>
      <c r="Z183" s="1086">
        <v>0</v>
      </c>
      <c r="AA183" s="1086">
        <v>0</v>
      </c>
      <c r="AB183" s="1086"/>
      <c r="AC183" s="1086">
        <v>4813</v>
      </c>
      <c r="AD183" s="1086">
        <v>9400</v>
      </c>
      <c r="AE183" s="1086"/>
      <c r="AF183" s="1112">
        <v>935455</v>
      </c>
    </row>
    <row r="184" spans="1:34" ht="12.75" customHeight="1">
      <c r="A184" s="1414"/>
      <c r="B184" s="1079" t="s">
        <v>893</v>
      </c>
      <c r="C184" s="1076" t="s">
        <v>862</v>
      </c>
      <c r="D184" s="1077">
        <v>143317</v>
      </c>
      <c r="E184" s="1077">
        <v>90068</v>
      </c>
      <c r="F184" s="1077">
        <v>31161</v>
      </c>
      <c r="G184" s="1077">
        <v>0</v>
      </c>
      <c r="H184" s="1077">
        <v>9880</v>
      </c>
      <c r="I184" s="1077">
        <v>0</v>
      </c>
      <c r="J184" s="1077">
        <v>13848</v>
      </c>
      <c r="K184" s="1077">
        <v>285</v>
      </c>
      <c r="L184" s="1077">
        <v>17676</v>
      </c>
      <c r="M184" s="1077">
        <v>0</v>
      </c>
      <c r="N184" s="1077">
        <v>8294</v>
      </c>
      <c r="O184" s="1077">
        <v>0</v>
      </c>
      <c r="P184" s="1071">
        <v>779343</v>
      </c>
      <c r="Q184" s="1071">
        <v>224461</v>
      </c>
      <c r="R184" s="1072">
        <v>1003804</v>
      </c>
      <c r="S184" s="1414"/>
      <c r="T184" s="1079" t="s">
        <v>893</v>
      </c>
      <c r="U184" s="1076" t="s">
        <v>862</v>
      </c>
      <c r="V184" s="1088">
        <v>377852</v>
      </c>
      <c r="W184" s="1088">
        <v>98347</v>
      </c>
      <c r="X184" s="1088">
        <v>513107</v>
      </c>
      <c r="Y184" s="1088">
        <v>200542</v>
      </c>
      <c r="Z184" s="1088">
        <v>0</v>
      </c>
      <c r="AA184" s="1088">
        <v>0</v>
      </c>
      <c r="AB184" s="1088"/>
      <c r="AC184" s="1088">
        <v>5098</v>
      </c>
      <c r="AD184" s="1088">
        <v>9400</v>
      </c>
      <c r="AE184" s="1088"/>
      <c r="AF184" s="1113">
        <v>1003804</v>
      </c>
      <c r="AG184" s="1110">
        <v>0</v>
      </c>
      <c r="AH184" s="1088">
        <v>935455</v>
      </c>
    </row>
    <row r="185" spans="1:34" ht="12.75" customHeight="1">
      <c r="A185" s="1414"/>
      <c r="B185" s="1079" t="s">
        <v>860</v>
      </c>
      <c r="C185" s="1076" t="s">
        <v>863</v>
      </c>
      <c r="D185" s="1077">
        <v>137445</v>
      </c>
      <c r="E185" s="1077">
        <v>90068</v>
      </c>
      <c r="F185" s="1077">
        <v>29384</v>
      </c>
      <c r="G185" s="1077">
        <v>0</v>
      </c>
      <c r="H185" s="1077">
        <v>1244</v>
      </c>
      <c r="I185" s="1077">
        <v>0</v>
      </c>
      <c r="J185" s="1077">
        <v>14042</v>
      </c>
      <c r="K185" s="1077">
        <v>285</v>
      </c>
      <c r="L185" s="1077">
        <v>17676</v>
      </c>
      <c r="M185" s="1077">
        <v>0</v>
      </c>
      <c r="N185" s="1077">
        <v>8294</v>
      </c>
      <c r="O185" s="1077">
        <v>0</v>
      </c>
      <c r="P185" s="1071">
        <v>704374</v>
      </c>
      <c r="Q185" s="1071">
        <v>208370</v>
      </c>
      <c r="R185" s="1072">
        <v>912744</v>
      </c>
      <c r="S185" s="1414"/>
      <c r="T185" s="1079" t="s">
        <v>860</v>
      </c>
      <c r="U185" s="1076" t="s">
        <v>863</v>
      </c>
      <c r="V185" s="1088">
        <v>332470</v>
      </c>
      <c r="W185" s="1088">
        <v>86140</v>
      </c>
      <c r="X185" s="1088">
        <v>480083</v>
      </c>
      <c r="Y185" s="1088">
        <v>204242</v>
      </c>
      <c r="Z185" s="1088">
        <v>0</v>
      </c>
      <c r="AA185" s="1088">
        <v>0</v>
      </c>
      <c r="AB185" s="1088">
        <v>766</v>
      </c>
      <c r="AC185" s="1088">
        <v>3265</v>
      </c>
      <c r="AD185" s="1088">
        <v>10020</v>
      </c>
      <c r="AE185" s="1088">
        <v>0</v>
      </c>
      <c r="AF185" s="1113">
        <v>912744</v>
      </c>
      <c r="AG185" s="1110"/>
      <c r="AH185" s="1088"/>
    </row>
    <row r="186" spans="1:34" ht="12.75" customHeight="1">
      <c r="A186" s="1414"/>
      <c r="B186" s="1079" t="s">
        <v>860</v>
      </c>
      <c r="C186" s="1076" t="s">
        <v>864</v>
      </c>
      <c r="D186" s="1077">
        <v>147199</v>
      </c>
      <c r="E186" s="1077">
        <v>90068</v>
      </c>
      <c r="F186" s="1077">
        <v>31648</v>
      </c>
      <c r="G186" s="1077">
        <v>0</v>
      </c>
      <c r="H186" s="1077">
        <v>963</v>
      </c>
      <c r="I186" s="1077">
        <v>0</v>
      </c>
      <c r="J186" s="1077">
        <v>18350</v>
      </c>
      <c r="K186" s="1077">
        <v>285</v>
      </c>
      <c r="L186" s="1077">
        <v>17676</v>
      </c>
      <c r="M186" s="1077">
        <v>23363</v>
      </c>
      <c r="N186" s="1077">
        <v>8294</v>
      </c>
      <c r="O186" s="1077">
        <v>0</v>
      </c>
      <c r="P186" s="1071">
        <v>732022</v>
      </c>
      <c r="Q186" s="1071">
        <v>247778</v>
      </c>
      <c r="R186" s="1072">
        <v>979800</v>
      </c>
      <c r="S186" s="1414"/>
      <c r="T186" s="1079" t="s">
        <v>860</v>
      </c>
      <c r="U186" s="1076" t="s">
        <v>864</v>
      </c>
      <c r="V186" s="1088">
        <v>364904</v>
      </c>
      <c r="W186" s="1088">
        <v>95025</v>
      </c>
      <c r="X186" s="1088">
        <v>505664</v>
      </c>
      <c r="Y186" s="1088">
        <v>200542</v>
      </c>
      <c r="Z186" s="1088">
        <v>0</v>
      </c>
      <c r="AA186" s="1088">
        <v>0</v>
      </c>
      <c r="AB186" s="1088">
        <v>766</v>
      </c>
      <c r="AC186" s="1088">
        <v>4041</v>
      </c>
      <c r="AD186" s="1088">
        <v>9400</v>
      </c>
      <c r="AE186" s="1088">
        <v>0</v>
      </c>
      <c r="AF186" s="1113">
        <v>979800</v>
      </c>
      <c r="AG186" s="1110"/>
      <c r="AH186" s="1088"/>
    </row>
    <row r="187" spans="1:34" ht="12.75" customHeight="1">
      <c r="A187" s="1414"/>
      <c r="B187" s="1079" t="s">
        <v>860</v>
      </c>
      <c r="C187" s="1076" t="s">
        <v>865</v>
      </c>
      <c r="D187" s="1077">
        <v>151161</v>
      </c>
      <c r="E187" s="1077">
        <v>86903</v>
      </c>
      <c r="F187" s="1077">
        <v>36359</v>
      </c>
      <c r="G187" s="1077">
        <v>0</v>
      </c>
      <c r="H187" s="1077">
        <v>1044</v>
      </c>
      <c r="I187" s="1077">
        <v>0</v>
      </c>
      <c r="J187" s="1077">
        <v>18501</v>
      </c>
      <c r="K187" s="1077">
        <v>285</v>
      </c>
      <c r="L187" s="1077">
        <v>17676</v>
      </c>
      <c r="M187" s="1077">
        <v>25993</v>
      </c>
      <c r="N187" s="1077">
        <v>8294</v>
      </c>
      <c r="O187" s="1077">
        <v>0</v>
      </c>
      <c r="P187" s="1071">
        <v>744845</v>
      </c>
      <c r="Q187" s="1071">
        <v>259313</v>
      </c>
      <c r="R187" s="1072">
        <v>1004158</v>
      </c>
      <c r="S187" s="1414"/>
      <c r="T187" s="1079" t="s">
        <v>860</v>
      </c>
      <c r="U187" s="1076" t="s">
        <v>865</v>
      </c>
      <c r="V187" s="1088">
        <v>365825</v>
      </c>
      <c r="W187" s="1088">
        <v>95290</v>
      </c>
      <c r="X187" s="1088">
        <v>513643</v>
      </c>
      <c r="Y187" s="1088">
        <v>197074</v>
      </c>
      <c r="Z187" s="1088">
        <v>0</v>
      </c>
      <c r="AA187" s="1088">
        <v>0</v>
      </c>
      <c r="AB187" s="1088">
        <v>12463</v>
      </c>
      <c r="AC187" s="1088">
        <v>5653</v>
      </c>
      <c r="AD187" s="1088">
        <v>11284</v>
      </c>
      <c r="AE187" s="1088">
        <v>0</v>
      </c>
      <c r="AF187" s="1113">
        <v>1004158</v>
      </c>
      <c r="AG187" s="1110"/>
      <c r="AH187" s="1088"/>
    </row>
    <row r="188" spans="1:34" ht="12" customHeight="1">
      <c r="A188" s="1416" t="s">
        <v>894</v>
      </c>
      <c r="B188" s="1079" t="s">
        <v>895</v>
      </c>
      <c r="C188" s="1076" t="s">
        <v>539</v>
      </c>
      <c r="D188" s="1132">
        <v>666</v>
      </c>
      <c r="E188" s="1132">
        <v>0</v>
      </c>
      <c r="F188" s="1132">
        <v>8180</v>
      </c>
      <c r="G188" s="1132">
        <v>0</v>
      </c>
      <c r="H188" s="1132">
        <v>0</v>
      </c>
      <c r="I188" s="1132">
        <v>0</v>
      </c>
      <c r="J188" s="1132">
        <v>0</v>
      </c>
      <c r="K188" s="1132">
        <v>0</v>
      </c>
      <c r="L188" s="1132"/>
      <c r="M188" s="1132">
        <v>0</v>
      </c>
      <c r="N188" s="1133">
        <v>0</v>
      </c>
      <c r="O188" s="1133">
        <v>0</v>
      </c>
      <c r="P188" s="1133">
        <v>23488</v>
      </c>
      <c r="Q188" s="1133">
        <v>8846</v>
      </c>
      <c r="R188" s="1134">
        <v>32334</v>
      </c>
      <c r="S188" s="1416" t="s">
        <v>894</v>
      </c>
      <c r="T188" s="1079" t="s">
        <v>895</v>
      </c>
      <c r="U188" s="1076" t="s">
        <v>539</v>
      </c>
      <c r="V188" s="1088">
        <v>17782</v>
      </c>
      <c r="W188" s="1088">
        <v>4738</v>
      </c>
      <c r="X188" s="1088">
        <v>9814</v>
      </c>
      <c r="Y188" s="1088">
        <v>0</v>
      </c>
      <c r="Z188" s="1088">
        <v>0</v>
      </c>
      <c r="AA188" s="1088">
        <v>0</v>
      </c>
      <c r="AB188" s="1088"/>
      <c r="AC188" s="1088">
        <v>0</v>
      </c>
      <c r="AD188" s="1088">
        <v>0</v>
      </c>
      <c r="AE188" s="1088"/>
      <c r="AF188" s="1113">
        <v>32334</v>
      </c>
      <c r="AG188" s="1110">
        <v>0</v>
      </c>
      <c r="AH188" s="1088">
        <v>32334</v>
      </c>
    </row>
    <row r="189" spans="1:32" ht="12.75" customHeight="1" hidden="1">
      <c r="A189" s="1416"/>
      <c r="B189" s="1127"/>
      <c r="C189" s="1127"/>
      <c r="D189" s="1132">
        <v>666</v>
      </c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9"/>
      <c r="O189" s="1129"/>
      <c r="P189" s="1071">
        <v>-666</v>
      </c>
      <c r="Q189" s="1071">
        <v>666</v>
      </c>
      <c r="R189" s="1072">
        <v>0</v>
      </c>
      <c r="S189" s="1416"/>
      <c r="T189" s="1127"/>
      <c r="U189" s="1127"/>
      <c r="V189" s="1129"/>
      <c r="W189" s="1131"/>
      <c r="X189" s="1131"/>
      <c r="Y189" s="1131"/>
      <c r="Z189" s="1131"/>
      <c r="AA189" s="1131"/>
      <c r="AB189" s="1131"/>
      <c r="AC189" s="1131"/>
      <c r="AD189" s="1131"/>
      <c r="AE189" s="1131"/>
      <c r="AF189" s="1072">
        <v>0</v>
      </c>
    </row>
    <row r="190" spans="1:34" ht="12.75" customHeight="1" thickBot="1">
      <c r="A190" s="1416"/>
      <c r="B190" s="1079" t="s">
        <v>895</v>
      </c>
      <c r="C190" s="1076" t="s">
        <v>861</v>
      </c>
      <c r="D190" s="1132">
        <v>666</v>
      </c>
      <c r="E190" s="1132">
        <v>0</v>
      </c>
      <c r="F190" s="1132">
        <v>8180</v>
      </c>
      <c r="G190" s="1132">
        <v>0</v>
      </c>
      <c r="H190" s="1132">
        <v>0</v>
      </c>
      <c r="I190" s="1132">
        <v>0</v>
      </c>
      <c r="J190" s="1132">
        <v>0</v>
      </c>
      <c r="K190" s="1132">
        <v>0</v>
      </c>
      <c r="L190" s="1132"/>
      <c r="M190" s="1132">
        <v>0</v>
      </c>
      <c r="N190" s="1133">
        <v>0</v>
      </c>
      <c r="O190" s="1133">
        <v>0</v>
      </c>
      <c r="P190" s="1133">
        <v>23488</v>
      </c>
      <c r="Q190" s="1133">
        <v>8846</v>
      </c>
      <c r="R190" s="1134">
        <v>32334</v>
      </c>
      <c r="S190" s="1416"/>
      <c r="T190" s="1079" t="s">
        <v>895</v>
      </c>
      <c r="U190" s="1076" t="s">
        <v>861</v>
      </c>
      <c r="V190" s="1088">
        <v>17782</v>
      </c>
      <c r="W190" s="1088">
        <v>4738</v>
      </c>
      <c r="X190" s="1088">
        <v>9814</v>
      </c>
      <c r="Y190" s="1088">
        <v>0</v>
      </c>
      <c r="Z190" s="1088">
        <v>0</v>
      </c>
      <c r="AA190" s="1088">
        <v>0</v>
      </c>
      <c r="AB190" s="1088"/>
      <c r="AC190" s="1088">
        <v>0</v>
      </c>
      <c r="AD190" s="1088">
        <v>0</v>
      </c>
      <c r="AE190" s="1088"/>
      <c r="AF190" s="1113">
        <v>32334</v>
      </c>
      <c r="AG190" s="1111">
        <v>0</v>
      </c>
      <c r="AH190" s="1089">
        <v>32334</v>
      </c>
    </row>
    <row r="191" spans="1:32" ht="12.75" customHeight="1">
      <c r="A191" s="1416"/>
      <c r="B191" s="1079" t="s">
        <v>895</v>
      </c>
      <c r="C191" s="1076" t="s">
        <v>862</v>
      </c>
      <c r="D191" s="1132">
        <v>666</v>
      </c>
      <c r="E191" s="1132">
        <v>0</v>
      </c>
      <c r="F191" s="1132">
        <v>8180</v>
      </c>
      <c r="G191" s="1132">
        <v>0</v>
      </c>
      <c r="H191" s="1132">
        <v>0</v>
      </c>
      <c r="I191" s="1132">
        <v>0</v>
      </c>
      <c r="J191" s="1132">
        <v>0</v>
      </c>
      <c r="K191" s="1132">
        <v>0</v>
      </c>
      <c r="L191" s="1132"/>
      <c r="M191" s="1132">
        <v>0</v>
      </c>
      <c r="N191" s="1133">
        <v>19307</v>
      </c>
      <c r="O191" s="1133">
        <v>0</v>
      </c>
      <c r="P191" s="1133">
        <v>24739</v>
      </c>
      <c r="Q191" s="1133">
        <v>28153</v>
      </c>
      <c r="R191" s="1134">
        <v>52892</v>
      </c>
      <c r="S191" s="1416"/>
      <c r="T191" s="1079" t="s">
        <v>895</v>
      </c>
      <c r="U191" s="1076" t="s">
        <v>862</v>
      </c>
      <c r="V191" s="1088">
        <v>19275</v>
      </c>
      <c r="W191" s="1088">
        <v>5141</v>
      </c>
      <c r="X191" s="1088">
        <v>10800</v>
      </c>
      <c r="Y191" s="1088">
        <v>0</v>
      </c>
      <c r="Z191" s="1088">
        <v>0</v>
      </c>
      <c r="AA191" s="1088">
        <v>17676</v>
      </c>
      <c r="AB191" s="1088"/>
      <c r="AC191" s="1088">
        <v>0</v>
      </c>
      <c r="AD191" s="1088">
        <v>0</v>
      </c>
      <c r="AE191" s="1088"/>
      <c r="AF191" s="1113">
        <v>52892</v>
      </c>
    </row>
    <row r="192" spans="1:32" ht="13.5" customHeight="1">
      <c r="A192" s="1416"/>
      <c r="B192" s="1079" t="s">
        <v>895</v>
      </c>
      <c r="C192" s="1076" t="s">
        <v>863</v>
      </c>
      <c r="D192" s="1132">
        <v>666</v>
      </c>
      <c r="E192" s="1132">
        <v>0</v>
      </c>
      <c r="F192" s="1132">
        <v>8180</v>
      </c>
      <c r="G192" s="1132">
        <v>0</v>
      </c>
      <c r="H192" s="1132">
        <v>677</v>
      </c>
      <c r="I192" s="1132">
        <v>0</v>
      </c>
      <c r="J192" s="1132">
        <v>0</v>
      </c>
      <c r="K192" s="1132">
        <v>0</v>
      </c>
      <c r="L192" s="1132"/>
      <c r="M192" s="1132">
        <v>0</v>
      </c>
      <c r="N192" s="1133">
        <v>19307</v>
      </c>
      <c r="O192" s="1133">
        <v>0</v>
      </c>
      <c r="P192" s="1133">
        <v>27708</v>
      </c>
      <c r="Q192" s="1133">
        <v>28830</v>
      </c>
      <c r="R192" s="1134">
        <v>56538</v>
      </c>
      <c r="S192" s="1416"/>
      <c r="T192" s="1079" t="s">
        <v>895</v>
      </c>
      <c r="U192" s="1076" t="s">
        <v>863</v>
      </c>
      <c r="V192" s="1088">
        <v>20108</v>
      </c>
      <c r="W192" s="1088">
        <v>5354</v>
      </c>
      <c r="X192" s="1088">
        <v>10800</v>
      </c>
      <c r="Y192" s="1088">
        <v>0</v>
      </c>
      <c r="Z192" s="1088">
        <v>0</v>
      </c>
      <c r="AA192" s="1088">
        <v>17676</v>
      </c>
      <c r="AB192" s="1088">
        <v>0</v>
      </c>
      <c r="AC192" s="1088">
        <v>2600</v>
      </c>
      <c r="AD192" s="1088">
        <v>0</v>
      </c>
      <c r="AE192" s="1088">
        <v>0</v>
      </c>
      <c r="AF192" s="1113">
        <v>56538</v>
      </c>
    </row>
    <row r="193" spans="1:32" ht="13.5" customHeight="1">
      <c r="A193" s="1416"/>
      <c r="B193" s="1079" t="s">
        <v>895</v>
      </c>
      <c r="C193" s="1076" t="s">
        <v>864</v>
      </c>
      <c r="D193" s="1132">
        <v>666</v>
      </c>
      <c r="E193" s="1132">
        <v>0</v>
      </c>
      <c r="F193" s="1132">
        <v>9301</v>
      </c>
      <c r="G193" s="1132">
        <v>0</v>
      </c>
      <c r="H193" s="1132">
        <v>677</v>
      </c>
      <c r="I193" s="1132">
        <v>0</v>
      </c>
      <c r="J193" s="1132">
        <v>0</v>
      </c>
      <c r="K193" s="1132">
        <v>0</v>
      </c>
      <c r="L193" s="1132"/>
      <c r="M193" s="1132">
        <v>0</v>
      </c>
      <c r="N193" s="1133">
        <v>19307</v>
      </c>
      <c r="O193" s="1133">
        <v>0</v>
      </c>
      <c r="P193" s="1133">
        <v>25936</v>
      </c>
      <c r="Q193" s="1133">
        <v>29951</v>
      </c>
      <c r="R193" s="1134">
        <v>55887</v>
      </c>
      <c r="S193" s="1416"/>
      <c r="T193" s="1079" t="s">
        <v>895</v>
      </c>
      <c r="U193" s="1076" t="s">
        <v>864</v>
      </c>
      <c r="V193" s="1088">
        <v>20454</v>
      </c>
      <c r="W193" s="1088">
        <v>5446</v>
      </c>
      <c r="X193" s="1088">
        <v>12311</v>
      </c>
      <c r="Y193" s="1088">
        <v>0</v>
      </c>
      <c r="Z193" s="1088">
        <v>0</v>
      </c>
      <c r="AA193" s="1088">
        <v>17676</v>
      </c>
      <c r="AB193" s="1088">
        <v>0</v>
      </c>
      <c r="AC193" s="1088">
        <v>0</v>
      </c>
      <c r="AD193" s="1088">
        <v>0</v>
      </c>
      <c r="AE193" s="1088">
        <v>0</v>
      </c>
      <c r="AF193" s="1113">
        <v>55887</v>
      </c>
    </row>
    <row r="194" spans="1:32" ht="14.25" customHeight="1" thickBot="1">
      <c r="A194" s="1417"/>
      <c r="B194" s="1418" t="s">
        <v>895</v>
      </c>
      <c r="C194" s="1090" t="s">
        <v>865</v>
      </c>
      <c r="D194" s="1419">
        <v>655</v>
      </c>
      <c r="E194" s="1419">
        <v>0</v>
      </c>
      <c r="F194" s="1419">
        <v>11055</v>
      </c>
      <c r="G194" s="1419">
        <v>0</v>
      </c>
      <c r="H194" s="1419">
        <v>677</v>
      </c>
      <c r="I194" s="1419">
        <v>0</v>
      </c>
      <c r="J194" s="1419">
        <v>11697</v>
      </c>
      <c r="K194" s="1419">
        <v>0</v>
      </c>
      <c r="L194" s="1419"/>
      <c r="M194" s="1419">
        <v>0</v>
      </c>
      <c r="N194" s="1420">
        <v>19307</v>
      </c>
      <c r="O194" s="1420">
        <v>0</v>
      </c>
      <c r="P194" s="1420">
        <v>13308</v>
      </c>
      <c r="Q194" s="1420">
        <v>43391</v>
      </c>
      <c r="R194" s="1421">
        <v>56699</v>
      </c>
      <c r="S194" s="1417"/>
      <c r="T194" s="1418" t="s">
        <v>895</v>
      </c>
      <c r="U194" s="1090" t="s">
        <v>865</v>
      </c>
      <c r="V194" s="1089">
        <v>19725</v>
      </c>
      <c r="W194" s="1089">
        <v>5233</v>
      </c>
      <c r="X194" s="1089">
        <v>14065</v>
      </c>
      <c r="Y194" s="1089">
        <v>0</v>
      </c>
      <c r="Z194" s="1089">
        <v>0</v>
      </c>
      <c r="AA194" s="1089">
        <v>17676</v>
      </c>
      <c r="AB194" s="1089">
        <v>0</v>
      </c>
      <c r="AC194" s="1089">
        <v>0</v>
      </c>
      <c r="AD194" s="1089">
        <v>0</v>
      </c>
      <c r="AE194" s="1089">
        <v>0</v>
      </c>
      <c r="AF194" s="1429">
        <v>56699</v>
      </c>
    </row>
    <row r="195" spans="1:32" ht="25.5" customHeight="1" hidden="1">
      <c r="A195" s="1135"/>
      <c r="B195" s="1091"/>
      <c r="C195" s="1092"/>
      <c r="D195" s="1126"/>
      <c r="E195" s="1126"/>
      <c r="F195" s="1126"/>
      <c r="G195" s="1126"/>
      <c r="H195" s="1126"/>
      <c r="I195" s="1126"/>
      <c r="J195" s="1126"/>
      <c r="K195" s="1126"/>
      <c r="L195" s="1126"/>
      <c r="M195" s="1126"/>
      <c r="N195" s="1126"/>
      <c r="O195" s="1126"/>
      <c r="P195" s="1126"/>
      <c r="Q195" s="1126"/>
      <c r="R195" s="1126"/>
      <c r="S195" s="1135"/>
      <c r="T195" s="1091"/>
      <c r="U195" s="1092"/>
      <c r="V195" s="1093"/>
      <c r="W195" s="1093"/>
      <c r="X195" s="1093"/>
      <c r="Y195" s="1093"/>
      <c r="Z195" s="1093"/>
      <c r="AA195" s="1093"/>
      <c r="AB195" s="1093"/>
      <c r="AC195" s="1093"/>
      <c r="AD195" s="1093"/>
      <c r="AE195" s="1093"/>
      <c r="AF195" s="1093"/>
    </row>
    <row r="196" spans="1:32" ht="25.5" customHeight="1" hidden="1">
      <c r="A196" s="1135"/>
      <c r="B196" s="1091"/>
      <c r="C196" s="1092"/>
      <c r="D196" s="1126"/>
      <c r="E196" s="1126"/>
      <c r="F196" s="1126"/>
      <c r="G196" s="1126"/>
      <c r="H196" s="1126"/>
      <c r="I196" s="1126"/>
      <c r="J196" s="1126"/>
      <c r="K196" s="1126"/>
      <c r="L196" s="1126"/>
      <c r="M196" s="1126"/>
      <c r="N196" s="1126"/>
      <c r="O196" s="1126"/>
      <c r="P196" s="1126">
        <v>13913</v>
      </c>
      <c r="Q196" s="1126"/>
      <c r="R196" s="1126"/>
      <c r="S196" s="1135"/>
      <c r="T196" s="1091"/>
      <c r="U196" s="1092"/>
      <c r="V196" s="1093"/>
      <c r="W196" s="1093"/>
      <c r="X196" s="1093">
        <v>30147</v>
      </c>
      <c r="Y196" s="1093"/>
      <c r="Z196" s="1093"/>
      <c r="AA196" s="1093"/>
      <c r="AB196" s="1093"/>
      <c r="AC196" s="1093"/>
      <c r="AD196" s="1093"/>
      <c r="AE196" s="1093"/>
      <c r="AF196" s="1093"/>
    </row>
    <row r="197" spans="1:32" ht="25.5" customHeight="1" hidden="1">
      <c r="A197" s="1135" t="s">
        <v>896</v>
      </c>
      <c r="B197" s="1091"/>
      <c r="C197" s="1092"/>
      <c r="D197" s="1126"/>
      <c r="E197" s="1126"/>
      <c r="F197" s="1126"/>
      <c r="G197" s="1126"/>
      <c r="H197" s="1126"/>
      <c r="I197" s="1126"/>
      <c r="J197" s="1126"/>
      <c r="K197" s="1126"/>
      <c r="L197" s="1126"/>
      <c r="M197" s="1126"/>
      <c r="N197" s="1126"/>
      <c r="O197" s="1126"/>
      <c r="P197" s="1126">
        <v>13718</v>
      </c>
      <c r="Q197" s="1126"/>
      <c r="R197" s="1126"/>
      <c r="S197" s="1135"/>
      <c r="T197" s="1091"/>
      <c r="U197" s="1092"/>
      <c r="V197" s="1093"/>
      <c r="W197" s="1093"/>
      <c r="X197" s="1093">
        <v>20414</v>
      </c>
      <c r="Y197" s="1093"/>
      <c r="Z197" s="1093"/>
      <c r="AA197" s="1093"/>
      <c r="AB197" s="1093"/>
      <c r="AC197" s="1093"/>
      <c r="AD197" s="1093"/>
      <c r="AE197" s="1093"/>
      <c r="AF197" s="1093"/>
    </row>
    <row r="198" spans="1:32" ht="25.5" customHeight="1" hidden="1">
      <c r="A198" s="1135"/>
      <c r="B198" s="1091"/>
      <c r="C198" s="1092"/>
      <c r="D198" s="1126"/>
      <c r="E198" s="1126"/>
      <c r="F198" s="1126"/>
      <c r="G198" s="1126"/>
      <c r="H198" s="1126"/>
      <c r="I198" s="1126"/>
      <c r="J198" s="1126"/>
      <c r="K198" s="1126"/>
      <c r="L198" s="1126"/>
      <c r="M198" s="1126"/>
      <c r="N198" s="1126"/>
      <c r="O198" s="1126"/>
      <c r="P198" s="1126"/>
      <c r="Q198" s="1126"/>
      <c r="R198" s="1126"/>
      <c r="S198" s="1135"/>
      <c r="T198" s="1091"/>
      <c r="U198" s="1092"/>
      <c r="V198" s="1093"/>
      <c r="W198" s="1093"/>
      <c r="X198" s="1093"/>
      <c r="Y198" s="1093"/>
      <c r="Z198" s="1093"/>
      <c r="AA198" s="1093"/>
      <c r="AB198" s="1093"/>
      <c r="AC198" s="1093"/>
      <c r="AD198" s="1093"/>
      <c r="AE198" s="1093"/>
      <c r="AF198" s="1093"/>
    </row>
    <row r="199" spans="1:32" ht="25.5" customHeight="1" hidden="1">
      <c r="A199" s="1135" t="s">
        <v>896</v>
      </c>
      <c r="B199" s="1091"/>
      <c r="C199" s="1092"/>
      <c r="D199" s="1126"/>
      <c r="E199" s="1126"/>
      <c r="F199" s="1126"/>
      <c r="G199" s="1126"/>
      <c r="H199" s="1126"/>
      <c r="I199" s="1126"/>
      <c r="J199" s="1126"/>
      <c r="K199" s="1126"/>
      <c r="L199" s="1126"/>
      <c r="M199" s="1126"/>
      <c r="N199" s="1126"/>
      <c r="O199" s="1126"/>
      <c r="P199" s="1126"/>
      <c r="Q199" s="1126"/>
      <c r="R199" s="1126"/>
      <c r="S199" s="1135"/>
      <c r="T199" s="1091"/>
      <c r="U199" s="1092"/>
      <c r="V199" s="1093"/>
      <c r="W199" s="1093"/>
      <c r="X199" s="1093"/>
      <c r="Y199" s="1093"/>
      <c r="Z199" s="1093"/>
      <c r="AA199" s="1093"/>
      <c r="AB199" s="1093"/>
      <c r="AC199" s="1093"/>
      <c r="AD199" s="1093"/>
      <c r="AE199" s="1093"/>
      <c r="AF199" s="1093"/>
    </row>
    <row r="200" spans="1:32" ht="15" customHeight="1">
      <c r="A200" s="1135"/>
      <c r="B200" s="1091"/>
      <c r="C200" s="1092"/>
      <c r="D200" s="1126"/>
      <c r="E200" s="1126"/>
      <c r="F200" s="1126"/>
      <c r="G200" s="1126"/>
      <c r="H200" s="1126"/>
      <c r="I200" s="1126"/>
      <c r="J200" s="1126"/>
      <c r="K200" s="1126"/>
      <c r="L200" s="1126"/>
      <c r="M200" s="1126"/>
      <c r="N200" s="1126"/>
      <c r="O200" s="1126"/>
      <c r="P200" s="1126"/>
      <c r="Q200" s="1126"/>
      <c r="R200" s="1126"/>
      <c r="S200" s="1135"/>
      <c r="T200" s="1091"/>
      <c r="U200" s="1092"/>
      <c r="V200" s="1093"/>
      <c r="W200" s="1093"/>
      <c r="X200" s="1093"/>
      <c r="Y200" s="1093"/>
      <c r="Z200" s="1093"/>
      <c r="AA200" s="1093"/>
      <c r="AB200" s="1093"/>
      <c r="AC200" s="1093"/>
      <c r="AD200" s="1093"/>
      <c r="AE200" s="1093"/>
      <c r="AF200" s="1093"/>
    </row>
    <row r="201" spans="1:32" ht="15" customHeight="1">
      <c r="A201" s="1135"/>
      <c r="B201" s="1091"/>
      <c r="C201" s="1092"/>
      <c r="D201" s="1126"/>
      <c r="E201" s="1126"/>
      <c r="F201" s="1126"/>
      <c r="G201" s="1126"/>
      <c r="H201" s="1126"/>
      <c r="I201" s="1126"/>
      <c r="J201" s="1126"/>
      <c r="K201" s="1126"/>
      <c r="L201" s="1126"/>
      <c r="M201" s="1126"/>
      <c r="N201" s="1126"/>
      <c r="O201" s="1126"/>
      <c r="P201" s="1126"/>
      <c r="Q201" s="1126"/>
      <c r="R201" s="1126"/>
      <c r="S201" s="1411" t="s">
        <v>236</v>
      </c>
      <c r="T201" s="1091"/>
      <c r="U201" s="1092"/>
      <c r="V201" s="1093"/>
      <c r="W201" s="1093"/>
      <c r="X201" s="1093"/>
      <c r="Y201" s="1093"/>
      <c r="Z201" s="1093"/>
      <c r="AA201" s="1093"/>
      <c r="AB201" s="1093"/>
      <c r="AC201" s="1093"/>
      <c r="AD201" s="1093"/>
      <c r="AE201" s="1093"/>
      <c r="AF201" s="1093"/>
    </row>
    <row r="202" spans="1:32" ht="15" customHeight="1">
      <c r="A202" s="1135"/>
      <c r="B202" s="1091"/>
      <c r="C202" s="1092"/>
      <c r="D202" s="1126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6"/>
      <c r="O202" s="1126"/>
      <c r="P202" s="1126"/>
      <c r="Q202" s="1126"/>
      <c r="R202" s="1126"/>
      <c r="S202" s="8" t="s">
        <v>237</v>
      </c>
      <c r="T202" s="1091"/>
      <c r="U202" s="1092"/>
      <c r="V202" s="1093"/>
      <c r="W202" s="1093"/>
      <c r="X202" s="1093"/>
      <c r="Y202" s="1093"/>
      <c r="Z202" s="1093"/>
      <c r="AA202" s="1093"/>
      <c r="AB202" s="1093"/>
      <c r="AC202" s="1093"/>
      <c r="AD202" s="1093"/>
      <c r="AE202" s="1093"/>
      <c r="AF202" s="1093"/>
    </row>
    <row r="203" spans="1:32" ht="15" customHeight="1">
      <c r="A203" s="1135"/>
      <c r="B203" s="1091"/>
      <c r="C203" s="1092"/>
      <c r="D203" s="1126"/>
      <c r="E203" s="1126"/>
      <c r="F203" s="1126"/>
      <c r="G203" s="1126"/>
      <c r="H203" s="1126"/>
      <c r="I203" s="1126"/>
      <c r="J203" s="1126"/>
      <c r="K203" s="1126"/>
      <c r="L203" s="1126"/>
      <c r="M203" s="1126"/>
      <c r="N203" s="1126"/>
      <c r="O203" s="1126"/>
      <c r="P203" s="1126"/>
      <c r="Q203" s="1126"/>
      <c r="R203" s="1126"/>
      <c r="S203" s="8" t="s">
        <v>238</v>
      </c>
      <c r="T203" s="1091"/>
      <c r="U203" s="1092"/>
      <c r="V203" s="1093"/>
      <c r="W203" s="1093"/>
      <c r="X203" s="1093"/>
      <c r="Y203" s="1093"/>
      <c r="Z203" s="1093"/>
      <c r="AA203" s="1093"/>
      <c r="AB203" s="1093"/>
      <c r="AC203" s="1093"/>
      <c r="AD203" s="1093"/>
      <c r="AE203" s="1093"/>
      <c r="AF203" s="1093"/>
    </row>
    <row r="204" spans="1:32" ht="15" customHeight="1">
      <c r="A204" s="1135"/>
      <c r="B204" s="1091"/>
      <c r="C204" s="1092"/>
      <c r="D204" s="1126"/>
      <c r="E204" s="1126"/>
      <c r="F204" s="1126"/>
      <c r="G204" s="1126"/>
      <c r="H204" s="1126"/>
      <c r="I204" s="1126"/>
      <c r="J204" s="1126"/>
      <c r="K204" s="1126"/>
      <c r="L204" s="1126"/>
      <c r="M204" s="1126"/>
      <c r="N204" s="1126"/>
      <c r="O204" s="1126"/>
      <c r="P204" s="1126"/>
      <c r="Q204" s="1126"/>
      <c r="R204" s="1126"/>
      <c r="S204" s="8" t="s">
        <v>239</v>
      </c>
      <c r="T204" s="1091"/>
      <c r="U204" s="1092"/>
      <c r="V204" s="1093"/>
      <c r="W204" s="1093"/>
      <c r="X204" s="1093"/>
      <c r="Y204" s="1093"/>
      <c r="Z204" s="1093"/>
      <c r="AA204" s="1093"/>
      <c r="AB204" s="1093"/>
      <c r="AC204" s="1093"/>
      <c r="AD204" s="1093"/>
      <c r="AE204" s="1093"/>
      <c r="AF204" s="1093"/>
    </row>
    <row r="205" spans="1:32" ht="15" customHeight="1">
      <c r="A205" s="1135"/>
      <c r="B205" s="1091"/>
      <c r="C205" s="1092"/>
      <c r="D205" s="1126"/>
      <c r="E205" s="1126"/>
      <c r="F205" s="1126"/>
      <c r="G205" s="1126"/>
      <c r="H205" s="1126"/>
      <c r="I205" s="1126"/>
      <c r="J205" s="1126"/>
      <c r="K205" s="1126"/>
      <c r="L205" s="1126"/>
      <c r="M205" s="1126"/>
      <c r="N205" s="1126"/>
      <c r="O205" s="1126"/>
      <c r="P205" s="1126"/>
      <c r="Q205" s="1126"/>
      <c r="R205" s="1126"/>
      <c r="S205" s="8" t="s">
        <v>240</v>
      </c>
      <c r="T205" s="1091"/>
      <c r="U205" s="1092"/>
      <c r="V205" s="1093"/>
      <c r="W205" s="1093"/>
      <c r="X205" s="1093"/>
      <c r="Y205" s="1093"/>
      <c r="Z205" s="1093"/>
      <c r="AA205" s="1093"/>
      <c r="AB205" s="1093"/>
      <c r="AC205" s="1093"/>
      <c r="AD205" s="1093"/>
      <c r="AE205" s="1093"/>
      <c r="AF205" s="1093"/>
    </row>
    <row r="206" spans="1:32" ht="15" customHeight="1">
      <c r="A206" s="1135"/>
      <c r="B206" s="1091"/>
      <c r="C206" s="1092"/>
      <c r="D206" s="1126"/>
      <c r="E206" s="1126"/>
      <c r="F206" s="1126"/>
      <c r="G206" s="1126"/>
      <c r="H206" s="1126"/>
      <c r="I206" s="1126"/>
      <c r="J206" s="1126"/>
      <c r="K206" s="1126"/>
      <c r="L206" s="1126"/>
      <c r="M206" s="1126"/>
      <c r="N206" s="1126"/>
      <c r="O206" s="1126"/>
      <c r="P206" s="1126"/>
      <c r="Q206" s="1126"/>
      <c r="R206" s="1126"/>
      <c r="S206" s="1135"/>
      <c r="T206" s="1091"/>
      <c r="U206" s="1092"/>
      <c r="V206" s="1093"/>
      <c r="W206" s="1093"/>
      <c r="X206" s="1093"/>
      <c r="Y206" s="1093"/>
      <c r="Z206" s="1093"/>
      <c r="AA206" s="1093"/>
      <c r="AB206" s="1093"/>
      <c r="AC206" s="1093"/>
      <c r="AD206" s="1093"/>
      <c r="AE206" s="1093"/>
      <c r="AF206" s="1093"/>
    </row>
    <row r="207" spans="1:32" ht="25.5" customHeight="1">
      <c r="A207" s="1135"/>
      <c r="B207" s="1091"/>
      <c r="C207" s="1092"/>
      <c r="D207" s="1126"/>
      <c r="E207" s="1126"/>
      <c r="F207" s="1126"/>
      <c r="G207" s="1126"/>
      <c r="H207" s="1126"/>
      <c r="I207" s="1126"/>
      <c r="J207" s="1126"/>
      <c r="K207" s="1126"/>
      <c r="L207" s="1126"/>
      <c r="M207" s="1126"/>
      <c r="N207" s="1126"/>
      <c r="O207" s="1126"/>
      <c r="P207" s="1126"/>
      <c r="Q207" s="1126"/>
      <c r="R207" s="1126"/>
      <c r="S207" s="1135"/>
      <c r="T207" s="1091"/>
      <c r="U207" s="1092"/>
      <c r="V207" s="1093"/>
      <c r="W207" s="1093"/>
      <c r="X207" s="1093"/>
      <c r="Y207" s="1093"/>
      <c r="Z207" s="1093"/>
      <c r="AA207" s="1093"/>
      <c r="AB207" s="1093"/>
      <c r="AC207" s="1093"/>
      <c r="AD207" s="1093"/>
      <c r="AE207" s="1093"/>
      <c r="AF207" s="1093"/>
    </row>
    <row r="208" spans="1:32" ht="25.5" customHeight="1">
      <c r="A208" s="1136"/>
      <c r="B208" s="1091"/>
      <c r="C208" s="1094"/>
      <c r="D208" s="1126"/>
      <c r="E208" s="1126"/>
      <c r="F208" s="1126"/>
      <c r="G208" s="1126"/>
      <c r="H208" s="1126"/>
      <c r="I208" s="1126"/>
      <c r="J208" s="1126"/>
      <c r="K208" s="1126"/>
      <c r="L208" s="1126"/>
      <c r="M208" s="1126"/>
      <c r="N208" s="1126"/>
      <c r="O208" s="1126"/>
      <c r="P208" s="1126"/>
      <c r="Q208" s="1126"/>
      <c r="R208" s="1126"/>
      <c r="S208" s="1136"/>
      <c r="T208" s="1091"/>
      <c r="U208" s="1094"/>
      <c r="V208" s="1093"/>
      <c r="W208" s="1093"/>
      <c r="X208" s="1093"/>
      <c r="Y208" s="1093"/>
      <c r="Z208" s="1093"/>
      <c r="AA208" s="1093"/>
      <c r="AB208" s="1093"/>
      <c r="AC208" s="1093"/>
      <c r="AD208" s="1093"/>
      <c r="AE208" s="1093"/>
      <c r="AF208" s="1093"/>
    </row>
  </sheetData>
  <mergeCells count="80">
    <mergeCell ref="A188:A194"/>
    <mergeCell ref="S188:S194"/>
    <mergeCell ref="A156:A177"/>
    <mergeCell ref="S156:S177"/>
    <mergeCell ref="A178:A187"/>
    <mergeCell ref="S178:S187"/>
    <mergeCell ref="A149:A152"/>
    <mergeCell ref="S149:S152"/>
    <mergeCell ref="A154:A155"/>
    <mergeCell ref="S154:S155"/>
    <mergeCell ref="A141:A144"/>
    <mergeCell ref="S141:S144"/>
    <mergeCell ref="A145:A148"/>
    <mergeCell ref="S145:S148"/>
    <mergeCell ref="A133:A136"/>
    <mergeCell ref="S133:S136"/>
    <mergeCell ref="A137:A140"/>
    <mergeCell ref="S137:S140"/>
    <mergeCell ref="A121:A126"/>
    <mergeCell ref="S121:S126"/>
    <mergeCell ref="A127:A132"/>
    <mergeCell ref="S127:S132"/>
    <mergeCell ref="A111:A114"/>
    <mergeCell ref="S111:S114"/>
    <mergeCell ref="A115:A120"/>
    <mergeCell ref="S115:S120"/>
    <mergeCell ref="A97:A102"/>
    <mergeCell ref="S97:S102"/>
    <mergeCell ref="A103:A108"/>
    <mergeCell ref="S103:S108"/>
    <mergeCell ref="A85:A90"/>
    <mergeCell ref="S85:S90"/>
    <mergeCell ref="A91:A96"/>
    <mergeCell ref="S91:S96"/>
    <mergeCell ref="A73:A78"/>
    <mergeCell ref="S73:S78"/>
    <mergeCell ref="A79:A84"/>
    <mergeCell ref="S79:S84"/>
    <mergeCell ref="A61:A66"/>
    <mergeCell ref="S61:S66"/>
    <mergeCell ref="A67:A72"/>
    <mergeCell ref="S67:S72"/>
    <mergeCell ref="A49:A54"/>
    <mergeCell ref="S49:S54"/>
    <mergeCell ref="A55:A60"/>
    <mergeCell ref="S55:S60"/>
    <mergeCell ref="A37:A42"/>
    <mergeCell ref="S37:S42"/>
    <mergeCell ref="A43:A48"/>
    <mergeCell ref="S43:S48"/>
    <mergeCell ref="A25:A30"/>
    <mergeCell ref="S25:S30"/>
    <mergeCell ref="A31:A36"/>
    <mergeCell ref="S31:S36"/>
    <mergeCell ref="A12:A18"/>
    <mergeCell ref="S12:S18"/>
    <mergeCell ref="A19:A24"/>
    <mergeCell ref="S19:S24"/>
    <mergeCell ref="T3:AA3"/>
    <mergeCell ref="AC3:AD3"/>
    <mergeCell ref="M3:M4"/>
    <mergeCell ref="N3:O3"/>
    <mergeCell ref="A5:A11"/>
    <mergeCell ref="S5:S11"/>
    <mergeCell ref="R3:R4"/>
    <mergeCell ref="S3:S4"/>
    <mergeCell ref="H3:I3"/>
    <mergeCell ref="J3:L3"/>
    <mergeCell ref="P3:P4"/>
    <mergeCell ref="Q3:Q4"/>
    <mergeCell ref="A1:Q1"/>
    <mergeCell ref="S1:AF1"/>
    <mergeCell ref="A3:A4"/>
    <mergeCell ref="B3:C4"/>
    <mergeCell ref="D3:D4"/>
    <mergeCell ref="E3:E4"/>
    <mergeCell ref="F3:F4"/>
    <mergeCell ref="G3:G4"/>
    <mergeCell ref="AF3:AF4"/>
    <mergeCell ref="T4:U4"/>
  </mergeCells>
  <printOptions horizontalCentered="1"/>
  <pageMargins left="0.3937007874015748" right="0.7874015748031497" top="0.4" bottom="0.15748031496062992" header="0.17" footer="0.15748031496062992"/>
  <pageSetup horizontalDpi="600" verticalDpi="600" orientation="landscape" paperSize="9" scale="64" r:id="rId1"/>
  <headerFooter alignWithMargins="0">
    <oddHeader>&amp;L&amp;8 6. melléklet a 2/2014.(II.27.) önkormányzati rendelethez
"6. melléklet az 1/2013.(II.01.) önkormányzati rendelethez"</oddHeader>
  </headerFooter>
  <rowBreaks count="2" manualBreakCount="2">
    <brk id="66" max="31" man="1"/>
    <brk id="126" max="31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zomborimonika</cp:lastModifiedBy>
  <cp:lastPrinted>2014-03-04T13:42:53Z</cp:lastPrinted>
  <dcterms:created xsi:type="dcterms:W3CDTF">2013-04-22T15:57:07Z</dcterms:created>
  <dcterms:modified xsi:type="dcterms:W3CDTF">2014-03-04T13:42:57Z</dcterms:modified>
  <cp:category/>
  <cp:version/>
  <cp:contentType/>
  <cp:contentStatus/>
</cp:coreProperties>
</file>