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7"/>
  </bookViews>
  <sheets>
    <sheet name="1.sz. melléklet" sheetId="1" r:id="rId1"/>
    <sheet name="2. melléklet" sheetId="2" r:id="rId2"/>
    <sheet name="3. sz. melléklet" sheetId="3" r:id="rId3"/>
    <sheet name="4. melléklet" sheetId="4" r:id="rId4"/>
    <sheet name="5. mellé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 " sheetId="10" r:id="rId10"/>
    <sheet name="11. melléklet " sheetId="11" r:id="rId11"/>
    <sheet name="12. melléklet" sheetId="12" r:id="rId12"/>
    <sheet name="13. sz.melléklet" sheetId="13" r:id="rId13"/>
    <sheet name="14. sz. melléklet" sheetId="14" r:id="rId14"/>
    <sheet name="15.sz.melléklet" sheetId="15" r:id="rId15"/>
    <sheet name="16.sz.melléklet" sheetId="16" r:id="rId16"/>
    <sheet name="17. melléklet" sheetId="17" r:id="rId17"/>
    <sheet name="18. sz. melléklet" sheetId="18" r:id="rId18"/>
    <sheet name="19. melléklet." sheetId="19" r:id="rId19"/>
    <sheet name="20.sz.melléklet" sheetId="20" r:id="rId20"/>
    <sheet name="21.sz. melléklet" sheetId="21" r:id="rId21"/>
    <sheet name="22.melléklet" sheetId="22" r:id="rId22"/>
    <sheet name="23.melléklet" sheetId="23" r:id="rId23"/>
    <sheet name="24.melléklet" sheetId="24" r:id="rId24"/>
    <sheet name="25. sz.melléklet" sheetId="25" r:id="rId25"/>
    <sheet name="26.sz.melléklet" sheetId="26" r:id="rId26"/>
    <sheet name="27.Peres ügyek scan" sheetId="27" r:id="rId27"/>
    <sheet name="28.melléklet scan" sheetId="28" r:id="rId28"/>
  </sheets>
  <externalReferences>
    <externalReference r:id="rId31"/>
    <externalReference r:id="rId32"/>
  </externalReferences>
  <definedNames>
    <definedName name="_xlnm.Print_Area" localSheetId="9">'10. melléklet '!$A$1:$D$103</definedName>
    <definedName name="_xlnm.Print_Area" localSheetId="13">'14. sz. melléklet'!$A$1:$D$80</definedName>
    <definedName name="_xlnm.Print_Area" localSheetId="15">'16.sz.melléklet'!$A$1:$B$57</definedName>
    <definedName name="_xlnm.Print_Area" localSheetId="1">'2. melléklet'!$A$1:$H$71</definedName>
    <definedName name="_xlnm.Print_Area" localSheetId="2">'3. sz. melléklet'!$A$1:$M$59</definedName>
    <definedName name="_xlnm.Print_Area" localSheetId="3">'4. melléklet'!$C$1:$O$44</definedName>
    <definedName name="_xlnm.Print_Area" localSheetId="4">'5. melléklet'!$A$1:$N$323</definedName>
    <definedName name="_xlnm.Print_Titles" localSheetId="4">'5. melléklet'!$5:$7</definedName>
    <definedName name="_xlnm.Print_Area" localSheetId="5">'6. melléklet'!$A$1:$X$178</definedName>
    <definedName name="_xlnm.Print_Titles" localSheetId="5">('6. melléklet'!$A:$B,'6. melléklet'!$1:$3)</definedName>
    <definedName name="_xlnm.Print_Titles" localSheetId="6">'7. melléklet'!$6:$6</definedName>
    <definedName name="_xlnm.Print_Titles" localSheetId="7">'8. melléklet'!$4:$4</definedName>
    <definedName name="_xlnm.Print_Area" localSheetId="8">'9. melléklet'!$A$1:$G$43</definedName>
    <definedName name="Excel_BuiltIn__FilterDatabase_5">#REF!</definedName>
    <definedName name="Excel_BuiltIn__FilterDatabase_51">NA()</definedName>
    <definedName name="Excel_BuiltIn__FilterDatabase_52">NA()</definedName>
    <definedName name="Excel_BuiltIn__FilterDatabase_53">NA()</definedName>
    <definedName name="Excel_BuiltIn__FilterDatabase_54">NA()</definedName>
    <definedName name="Excel_BuiltIn__FilterDatabase_5_10">NA()</definedName>
    <definedName name="Excel_BuiltIn__FilterDatabase_5_101">NA()</definedName>
    <definedName name="Excel_BuiltIn__FilterDatabase_5_7">NA()</definedName>
    <definedName name="Excel_BuiltIn__FilterDatabase_5_71">NA()</definedName>
    <definedName name="Excel_BuiltIn__FilterDatabase_5_8">NA()</definedName>
    <definedName name="Excel_BuiltIn__FilterDatabase_5_81">NA()</definedName>
    <definedName name="Excel_BuiltIn_Print_Area_1">'13. sz.melléklet'!#REF!</definedName>
    <definedName name="Excel_BuiltIn_Print_Area_11">NA()</definedName>
    <definedName name="Excel_BuiltIn_Print_Area_1_1">NA()</definedName>
    <definedName name="Excel_BuiltIn_Print_Area_2">NA()</definedName>
    <definedName name="Excel_BuiltIn_Print_Area_21">NA()</definedName>
    <definedName name="Excel_BuiltIn_Print_Area_2_1">NA()</definedName>
    <definedName name="Excel_BuiltIn_Print_Area_2_5">NA()</definedName>
    <definedName name="SHARED_FORMULA_1_10_1_10_2">SUM(#REF!,#REF!,#REF!,#REF!,#REF!,#REF!)</definedName>
    <definedName name="SHARED_FORMULA_1_26_1_26_2">SUM(#REF!,#REF!,#REF!)</definedName>
    <definedName name="SHARED_FORMULA_1_38_1_38_8">SUM(#REF!)</definedName>
    <definedName name="SHARED_FORMULA_1_42_1_42_8">SUM(#REF!,#REF!)</definedName>
    <definedName name="SHARED_FORMULA_10_41_10_41_2">SUM(#REF!+#REF!+#REF!)</definedName>
    <definedName name="SHARED_FORMULA_10_5_10_5_2">SUM(#REF!+#REF!+#REF!)</definedName>
    <definedName name="SHARED_FORMULA_11_40_11_40_2">SUM(#REF!+#REF!+#REF!)</definedName>
    <definedName name="SHARED_FORMULA_11_5_11_5_2">SUM(#REF!+#REF!+#REF!)</definedName>
    <definedName name="SHARED_FORMULA_12_13_12_13_3">SUM(#REF!+#REF!+#REF!)</definedName>
    <definedName name="SHARED_FORMULA_12_133_12_133_5">SUM(#REF!)-#REF!-#REF!-#REF!</definedName>
    <definedName name="SHARED_FORMULA_12_40_12_40_2">SUM(#REF!+#REF!+#REF!)</definedName>
    <definedName name="SHARED_FORMULA_12_5_12_5_2">SUM(#REF!+#REF!+#REF!)</definedName>
    <definedName name="SHARED_FORMULA_12_5_12_5_3">SUM(#REF!+#REF!+#REF!)</definedName>
    <definedName name="SHARED_FORMULA_12_6_12_6_0">#REF!/#REF!*100</definedName>
    <definedName name="SHARED_FORMULA_13_105_13_105_5">SUM(#REF!)-#REF!</definedName>
    <definedName name="SHARED_FORMULA_13_3_13_3_5">SUM(#REF!)-#REF!</definedName>
    <definedName name="SHARED_FORMULA_13_41_13_41_5">SUM(#REF!)-#REF!</definedName>
    <definedName name="SHARED_FORMULA_13_73_13_73_5">SUM(#REF!)-#REF!</definedName>
    <definedName name="SHARED_FORMULA_13_9_13_9_3">SUM(#REF!+#REF!+#REF!)</definedName>
    <definedName name="SHARED_FORMULA_14_102_14_102_5">#REF!</definedName>
    <definedName name="SHARED_FORMULA_14_121_14_121_5">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>#REF!+#REF!</definedName>
    <definedName name="SHARED_FORMULA_14_151_14_151_5">#REF!-#REF!</definedName>
    <definedName name="SHARED_FORMULA_14_71_14_71_5">#REF!+#REF!+#REF!+#REF!</definedName>
    <definedName name="SHARED_FORMULA_14_72_14_72_5">#REF!+#REF!+#REF!+#REF!</definedName>
    <definedName name="SHARED_FORMULA_14_73_14_73_5">#REF!+#REF!+#REF!+#REF!</definedName>
    <definedName name="SHARED_FORMULA_14_74_14_74_5">#REF!+#REF!+#REF!+#REF!</definedName>
    <definedName name="SHARED_FORMULA_14_75_14_75_5">#REF!+#REF!+#REF!+#REF!</definedName>
    <definedName name="SHARED_FORMULA_14_86_14_86_5">#REF!+#REF!</definedName>
    <definedName name="SHARED_FORMULA_14_9_14_9_3">SUM(#REF!+#REF!+#REF!)</definedName>
    <definedName name="SHARED_FORMULA_16_112_16_112_5">#REF!</definedName>
    <definedName name="SHARED_FORMULA_17_108_17_108_5">#REF!</definedName>
    <definedName name="SHARED_FORMULA_17_117_17_117_5">#REF!</definedName>
    <definedName name="SHARED_FORMULA_17_127_17_127_5">#REF!</definedName>
    <definedName name="SHARED_FORMULA_17_22_17_22_5">#REF!</definedName>
    <definedName name="SHARED_FORMULA_17_27_17_27_5">#REF!</definedName>
    <definedName name="SHARED_FORMULA_17_32_17_32_5">#REF!</definedName>
    <definedName name="SHARED_FORMULA_17_37_17_37_5">#REF!</definedName>
    <definedName name="SHARED_FORMULA_17_4_17_4_5">#REF!</definedName>
    <definedName name="SHARED_FORMULA_17_43_17_43_5">#REF!</definedName>
    <definedName name="SHARED_FORMULA_17_47_17_47_5">#REF!</definedName>
    <definedName name="SHARED_FORMULA_17_52_17_52_5">#REF!</definedName>
    <definedName name="SHARED_FORMULA_17_57_17_57_5">#REF!</definedName>
    <definedName name="SHARED_FORMULA_17_62_17_62_5">#REF!</definedName>
    <definedName name="SHARED_FORMULA_17_67_17_67_5">#REF!</definedName>
    <definedName name="SHARED_FORMULA_17_77_17_77_5">#REF!</definedName>
    <definedName name="SHARED_FORMULA_17_82_17_82_5">#REF!</definedName>
    <definedName name="SHARED_FORMULA_17_9_17_9_5">#REF!</definedName>
    <definedName name="SHARED_FORMULA_17_92_17_92_5">#REF!</definedName>
    <definedName name="SHARED_FORMULA_17_97_17_97_5">#REF!</definedName>
    <definedName name="SHARED_FORMULA_2_102_2_102_5">#REF!</definedName>
    <definedName name="SHARED_FORMULA_2_107_2_107_5">#REF!</definedName>
    <definedName name="SHARED_FORMULA_2_112_2_112_5">#REF!</definedName>
    <definedName name="SHARED_FORMULA_2_121_2_121_5">#REF!+#REF!+#REF!+#REF!</definedName>
    <definedName name="SHARED_FORMULA_2_122_2_122_5">#REF!+#REF!+#REF!+#REF!</definedName>
    <definedName name="SHARED_FORMULA_2_123_2_123_5">#REF!+#REF!+#REF!+#REF!</definedName>
    <definedName name="SHARED_FORMULA_2_124_2_124_5">#REF!+#REF!+#REF!+#REF!</definedName>
    <definedName name="SHARED_FORMULA_2_125_2_125_5">#REF!+#REF!+#REF!+#REF!</definedName>
    <definedName name="SHARED_FORMULA_2_127_2_127_5">#REF!</definedName>
    <definedName name="SHARED_FORMULA_2_131_2_131_5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>#REF!</definedName>
    <definedName name="SHARED_FORMULA_2_140_2_140_5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>#REF!-#REF!</definedName>
    <definedName name="SHARED_FORMULA_2_22_2_22_5">#REF!</definedName>
    <definedName name="SHARED_FORMULA_2_27_2_27_5">#REF!</definedName>
    <definedName name="SHARED_FORMULA_2_32_2_32_5">#REF!</definedName>
    <definedName name="SHARED_FORMULA_2_37_2_37_5">#REF!</definedName>
    <definedName name="SHARED_FORMULA_2_4_2_4_5">#REF!</definedName>
    <definedName name="SHARED_FORMULA_2_42_2_42_5">#REF!</definedName>
    <definedName name="SHARED_FORMULA_2_44_2_44_5">#REF!</definedName>
    <definedName name="SHARED_FORMULA_2_47_2_47_5">#REF!</definedName>
    <definedName name="SHARED_FORMULA_2_48_2_48_5">#REF!</definedName>
    <definedName name="SHARED_FORMULA_2_52_2_52_5">#REF!</definedName>
    <definedName name="SHARED_FORMULA_2_57_2_57_5">#REF!</definedName>
    <definedName name="SHARED_FORMULA_2_67_2_67_5">#REF!</definedName>
    <definedName name="SHARED_FORMULA_2_71_2_71_5">#REF!+#REF!+#REF!+#REF!</definedName>
    <definedName name="SHARED_FORMULA_2_72_2_72_5">#REF!+#REF!+#REF!+#REF!</definedName>
    <definedName name="SHARED_FORMULA_2_73_2_73_5">#REF!+#REF!+#REF!+#REF!</definedName>
    <definedName name="SHARED_FORMULA_2_74_2_74_5">#REF!+#REF!+#REF!+#REF!</definedName>
    <definedName name="SHARED_FORMULA_2_75_2_75_5">#REF!+#REF!+#REF!+#REF!</definedName>
    <definedName name="SHARED_FORMULA_2_82_2_82_5">#REF!</definedName>
    <definedName name="SHARED_FORMULA_2_86_2_86_5">#REF!+#REF!</definedName>
    <definedName name="SHARED_FORMULA_2_87_2_87_5">#REF!+#REF!</definedName>
    <definedName name="SHARED_FORMULA_2_88_2_88_5">#REF!+#REF!</definedName>
    <definedName name="SHARED_FORMULA_2_89_2_89_5">#REF!+#REF!</definedName>
    <definedName name="SHARED_FORMULA_2_9_2_9_5">#REF!</definedName>
    <definedName name="SHARED_FORMULA_2_90_2_90_5">#REF!+#REF!</definedName>
    <definedName name="SHARED_FORMULA_2_92_2_92_5">#REF!</definedName>
    <definedName name="SHARED_FORMULA_2_97_2_97_5">#REF!</definedName>
    <definedName name="SHARED_FORMULA_20_10_20_10_5">#REF!</definedName>
    <definedName name="SHARED_FORMULA_20_102_20_102_5">#REF!</definedName>
    <definedName name="SHARED_FORMULA_20_112_20_112_5">#REF!</definedName>
    <definedName name="SHARED_FORMULA_20_117_20_117_5">#REF!</definedName>
    <definedName name="SHARED_FORMULA_20_121_20_121_5">#REF!+#REF!+#REF!+#REF!</definedName>
    <definedName name="SHARED_FORMULA_20_127_20_127_5">#REF!</definedName>
    <definedName name="SHARED_FORMULA_20_131_20_131_5">#REF!+#REF!+#REF!+#REF!+#REF!+#REF!+#REF!+#REF!+#REF!+#REF!+#REF!+#REF!+#REF!+#REF!+#REF!+#REF!+#REF!+#REF!+#REF!+#REF!+#REF!+#REF!+#REF!</definedName>
    <definedName name="SHARED_FORMULA_20_14_20_14_5">#REF!</definedName>
    <definedName name="SHARED_FORMULA_20_141_20_141_5">#REF!+#REF!+#REF!+#REF!+#REF!+#REF!+#REF!+#REF!+#REF!+#REF!+#REF!+#REF!+#REF!+#REF!+#REF!+#REF!+#REF!+#REF!+#REF!+#REF!+#REF!+#REF!</definedName>
    <definedName name="SHARED_FORMULA_20_19_20_19_5">#REF!</definedName>
    <definedName name="SHARED_FORMULA_20_22_20_22_5">#REF!</definedName>
    <definedName name="SHARED_FORMULA_20_27_20_27_5">#REF!</definedName>
    <definedName name="SHARED_FORMULA_20_33_20_33_5">#REF!</definedName>
    <definedName name="SHARED_FORMULA_20_37_20_37_5">#REF!</definedName>
    <definedName name="SHARED_FORMULA_20_42_20_42_5">#REF!</definedName>
    <definedName name="SHARED_FORMULA_20_57_20_57_5">#REF!</definedName>
    <definedName name="SHARED_FORMULA_20_63_20_63_5">#REF!</definedName>
    <definedName name="SHARED_FORMULA_20_67_20_67_5">#REF!</definedName>
    <definedName name="SHARED_FORMULA_20_78_20_78_5">#REF!</definedName>
    <definedName name="SHARED_FORMULA_20_82_20_82_5">#REF!</definedName>
    <definedName name="SHARED_FORMULA_20_86_20_86_5">#REF!+#REF!</definedName>
    <definedName name="SHARED_FORMULA_20_92_20_92_5">#REF!</definedName>
    <definedName name="SHARED_FORMULA_23_3_23_3_5">SUM(#REF!)-#REF!</definedName>
    <definedName name="SHARED_FORMULA_23_32_23_32_5">SUM(#REF!)-#REF!</definedName>
    <definedName name="SHARED_FORMULA_23_64_23_64_5">SUM(#REF!)-#REF!</definedName>
    <definedName name="SHARED_FORMULA_23_96_23_96_5">SUM(#REF!)-#REF!</definedName>
    <definedName name="SHARED_FORMULA_25_131_25_131_5">SUM(#REF!)-#REF!</definedName>
    <definedName name="SHARED_FORMULA_3_10_3_10_3">SUM(#REF!)</definedName>
    <definedName name="SHARED_FORMULA_3_308_3_308_4">SUM(#REF!+#REF!+#REF!)</definedName>
    <definedName name="SHARED_FORMULA_3_309_3_309_4">#REF!+#REF!+#REF!</definedName>
    <definedName name="SHARED_FORMULA_3_312_3_312_4">SUM(#REF!+#REF!+#REF!)</definedName>
    <definedName name="SHARED_FORMULA_3_32_3_32_2">SUM(#REF!)</definedName>
    <definedName name="SHARED_FORMULA_3_320_3_320_4">SUM(#REF!+#REF!+#REF!+#REF!)</definedName>
    <definedName name="SHARED_FORMULA_3_321_3_321_4">SUM(#REF!+#REF!+#REF!+#REF!)</definedName>
    <definedName name="SHARED_FORMULA_3_37_3_37_2">SUM(#REF!)</definedName>
    <definedName name="SHARED_FORMULA_3_47_3_47_2">SUM(#REF!)</definedName>
    <definedName name="SHARED_FORMULA_3_59_3_59_5">#REF!</definedName>
    <definedName name="SHARED_FORMULA_3_77_3_77_5">#REF!</definedName>
    <definedName name="SHARED_FORMULA_3_94_3_94_5">#REF!</definedName>
    <definedName name="SHARED_FORMULA_4_133_4_133_5">SUM(#REF!)-#REF!-#REF!-#REF!</definedName>
    <definedName name="SHARED_FORMULA_4_136_4_136_4">SUM(#REF!)</definedName>
    <definedName name="SHARED_FORMULA_4_200_4_200_4">SUM(#REF!)</definedName>
    <definedName name="SHARED_FORMULA_4_264_4_264_4">SUM(#REF!)</definedName>
    <definedName name="SHARED_FORMULA_4_322_4_322_4">SUM(#REF!,#REF!,#REF!)</definedName>
    <definedName name="SHARED_FORMULA_4_43_4_43_3">SUM(#REF!,#REF!,#REF!,#REF!,#REF!,#REF!,#REF!,#REF!,#REF!,#REF!,#REF!,#REF!,#REF!,#REF!)</definedName>
    <definedName name="SHARED_FORMULA_4_58_4_58_2">SUM(#REF!,#REF!,#REF!,#REF!,#REF!,#REF!,#REF!,#REF!,#REF!,#REF!,#REF!)</definedName>
    <definedName name="SHARED_FORMULA_4_73_4_73_4">SUM(#REF!)</definedName>
    <definedName name="SHARED_FORMULA_4_8_4_8_4">SUM(#REF!)</definedName>
    <definedName name="SHARED_FORMULA_4_9_4_9_3">SUM(#REF!)</definedName>
    <definedName name="SHARED_FORMULA_5_108_5_108_5">#REF!</definedName>
    <definedName name="SHARED_FORMULA_5_109_5_109_5">#REF!</definedName>
    <definedName name="SHARED_FORMULA_5_129_5_129_5">#REF!</definedName>
    <definedName name="SHARED_FORMULA_5_19_5_19_5">#REF!</definedName>
    <definedName name="SHARED_FORMULA_5_28_5_28_5">#REF!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>#REF!</definedName>
    <definedName name="SHARED_FORMULA_5_69_5_69_5">#REF!</definedName>
    <definedName name="SHARED_FORMULA_5_7_5_7_5">#REF!</definedName>
    <definedName name="SHARED_FORMULA_6_5_6_5_0">#REF!/#REF!*100</definedName>
    <definedName name="SHARED_FORMULA_7_62_7_62_5">#REF!</definedName>
    <definedName name="SHARED_FORMULA_7_82_7_82_5">#REF!</definedName>
    <definedName name="SHARED_FORMULA_7_93_7_93_5">#REF!</definedName>
    <definedName name="SHARED_FORMULA_8_48_8_48_5">#REF!</definedName>
    <definedName name="SHARED_FORMULA_9_112_9_112_5">#REF!</definedName>
    <definedName name="SHARED_FORMULA_9_118_9_118_5">#REF!</definedName>
    <definedName name="SHARED_FORMULA_9_44_9_44_5">#REF!</definedName>
    <definedName name="SHARED_FORMULA_9_53_9_53_5">#REF!</definedName>
    <definedName name="SHARED_FORMULA_9_77_9_77_5">#REF!</definedName>
    <definedName name="SHARED_FORMULA_9_98_9_98_5">#REF!</definedName>
  </definedNames>
  <calcPr fullCalcOnLoad="1"/>
</workbook>
</file>

<file path=xl/sharedStrings.xml><?xml version="1.0" encoding="utf-8"?>
<sst xmlns="http://schemas.openxmlformats.org/spreadsheetml/2006/main" count="2402" uniqueCount="1248">
  <si>
    <t xml:space="preserve"> Tata Város Önkormányzatának 2011. évi pénzforgalmi mérlege (E Ft-ban)</t>
  </si>
  <si>
    <t>Bevételi előirányzat</t>
  </si>
  <si>
    <t>Kiadási előirányzat</t>
  </si>
  <si>
    <t>Megnevezés</t>
  </si>
  <si>
    <t>Eredeti</t>
  </si>
  <si>
    <t>Mód. (III.28.)</t>
  </si>
  <si>
    <t>Teljesítés</t>
  </si>
  <si>
    <t>Teljesítés %</t>
  </si>
  <si>
    <t xml:space="preserve">Eredeti </t>
  </si>
  <si>
    <t>Működési bevétel</t>
  </si>
  <si>
    <t>Személyi juttatások</t>
  </si>
  <si>
    <t>Polgármesteri Hivatal</t>
  </si>
  <si>
    <t>Intézmények Gazdasági Hivatala</t>
  </si>
  <si>
    <t>Munkaadókat terhelő járulékok</t>
  </si>
  <si>
    <t>Árpád-házi Szent Erzsébet Szakkórház és Rendelőintézet</t>
  </si>
  <si>
    <t>Dologi és egyéb folyó kiadások</t>
  </si>
  <si>
    <t>Önkormányzatok sajátos működési bevételi</t>
  </si>
  <si>
    <t>Járulék</t>
  </si>
  <si>
    <t>Dologi kiadások</t>
  </si>
  <si>
    <t>Helyi adók</t>
  </si>
  <si>
    <t>Dologi kiadás</t>
  </si>
  <si>
    <t>Kamat kiadások</t>
  </si>
  <si>
    <t>Átengedett központi adók (gépjárműadó, átengedett SZJA, termőföld bérbeadásából származó SZJA)</t>
  </si>
  <si>
    <t>Bírságok</t>
  </si>
  <si>
    <t>Egyéb működési kiadások</t>
  </si>
  <si>
    <t>Talajterhelési díj</t>
  </si>
  <si>
    <t>Támogatás értékű működési kiadások és működési célú pénzeszközátadás</t>
  </si>
  <si>
    <t>Bérleti díjak</t>
  </si>
  <si>
    <t>Önkormányzat által folyósított társadalom- és szociálpolitikai juttatások</t>
  </si>
  <si>
    <t>Lakbér</t>
  </si>
  <si>
    <t>Ellátottak pénzbeli juttatása</t>
  </si>
  <si>
    <t>Előző évi pénzmaradvány átadás</t>
  </si>
  <si>
    <t>Működési támogatások</t>
  </si>
  <si>
    <t>Normatív hozzájárulások</t>
  </si>
  <si>
    <t>Beruházási kiadások</t>
  </si>
  <si>
    <t>Normatív kötött felhasználású támogatások</t>
  </si>
  <si>
    <t xml:space="preserve">    - egyes szociális feladatok kiegészítő támogatása</t>
  </si>
  <si>
    <t>Felújítási kiadások</t>
  </si>
  <si>
    <t xml:space="preserve">    - kiegészítő támogatás egyes közoktatási feladatokhoz</t>
  </si>
  <si>
    <t>Központosított előirányzatokból működésre</t>
  </si>
  <si>
    <t>Támogatás értékű felhalmozási kiadások és felhalmozási célú pénzeszközátadások</t>
  </si>
  <si>
    <t>Helyi önkormányzatok kiegészítő támogatása</t>
  </si>
  <si>
    <t>Működési tartalék</t>
  </si>
  <si>
    <t>Egyéb, működési bevételek</t>
  </si>
  <si>
    <t>Általános tartalék</t>
  </si>
  <si>
    <t>Támogatás értékű működési bevételek</t>
  </si>
  <si>
    <t>Céltartalék</t>
  </si>
  <si>
    <t>Támogatás értékű működési bevétel OEP-től</t>
  </si>
  <si>
    <t xml:space="preserve"> - THAC Kézilabda szakosztály támogatása</t>
  </si>
  <si>
    <t>Működési célú pénzeszközátvétel</t>
  </si>
  <si>
    <t xml:space="preserve"> - Csillagsziget Bölcsőde új gondozási egységére</t>
  </si>
  <si>
    <t>Előző évi működési célú pénzmaradvány átvétel</t>
  </si>
  <si>
    <t xml:space="preserve"> - Vaszary J. Ált. Isk. és Logopédiai Int. fejlesztés pedagógiai feladataira</t>
  </si>
  <si>
    <t xml:space="preserve"> - Deák F. úton új kistérségi idősek nappali klubjára</t>
  </si>
  <si>
    <t>Felhalmozási és tőke jellegű bevételek</t>
  </si>
  <si>
    <t xml:space="preserve"> - Egyéb feladatokra</t>
  </si>
  <si>
    <t>Tárgyi eszköz értékesítés</t>
  </si>
  <si>
    <t xml:space="preserve"> - Normatíva elszámolás miatt céltartalék</t>
  </si>
  <si>
    <t>Föld értékesítés</t>
  </si>
  <si>
    <t xml:space="preserve"> - Deviza értékelésből céltartalék (árfolyamveszteség)</t>
  </si>
  <si>
    <t>Földterület értékesítés (zárolt)</t>
  </si>
  <si>
    <t>Egyéb ingatlan értékesítés</t>
  </si>
  <si>
    <t>Zárolt feladatok tartaléka</t>
  </si>
  <si>
    <t>Üzemeltetés, bérbeadás bevétele</t>
  </si>
  <si>
    <t>Lakásértékesítés</t>
  </si>
  <si>
    <t>Felhalmozási tartalék</t>
  </si>
  <si>
    <t>Üzletrész értékesítés bevétele</t>
  </si>
  <si>
    <t>Kastély téri útkorszerűsítés</t>
  </si>
  <si>
    <t>Felhalmozási kamatbevételek</t>
  </si>
  <si>
    <t>Május 1. úti körforgalmi csomópont fejlesztés</t>
  </si>
  <si>
    <t>Felhalmozási áfa visszatérülés</t>
  </si>
  <si>
    <t>Somogyi u.  - Bacsó B. u. gyalogátkelőhely kiépítéshez</t>
  </si>
  <si>
    <t>Felhalmozási támogatások</t>
  </si>
  <si>
    <t>Intézmények infrastruktúrális fejlesztésére</t>
  </si>
  <si>
    <t>Fejlesztési célú támogatások (központosított)</t>
  </si>
  <si>
    <t>Egyéb feladatokra</t>
  </si>
  <si>
    <t>Egyéb felhalmozási bevételek</t>
  </si>
  <si>
    <t>Kötvény tartalék</t>
  </si>
  <si>
    <t xml:space="preserve"> - Támogatás értékű felhalmozási bevételek</t>
  </si>
  <si>
    <t xml:space="preserve"> - Támogatás értékű felhalmozási bevételek (zárolt)</t>
  </si>
  <si>
    <t xml:space="preserve"> - Felhalmozási célú pénzeszköz átvétel</t>
  </si>
  <si>
    <t>Garancia és kezességvállalás</t>
  </si>
  <si>
    <t>Támogatási kölcsönök visszatérülése, igénybevétele</t>
  </si>
  <si>
    <t>Támogatási kölcsönök nyújtása, törlesztése</t>
  </si>
  <si>
    <t>Lakáscélra</t>
  </si>
  <si>
    <t>Előző évi kiegészítés visszatérülés</t>
  </si>
  <si>
    <t>Egyéb kölcsön</t>
  </si>
  <si>
    <t>Kölcsön visszafizetés az Önkormányzatnak az IGH-tól</t>
  </si>
  <si>
    <t>Kölcsön visszafizetés az Önkormányzatnak az Kórháztól</t>
  </si>
  <si>
    <t>Költségvetési bevételek összesen:</t>
  </si>
  <si>
    <t>Költségvetési kiadások összesen:</t>
  </si>
  <si>
    <t>Egyéb finanszírozási kiadások (kiegyenlítő, függő, átfutó)</t>
  </si>
  <si>
    <t>Hiány:</t>
  </si>
  <si>
    <t>Hiteltörlesztés - hosszú lejáratú</t>
  </si>
  <si>
    <t>Hiány és a finanszírozási kiadások fedezetének finanszírozása:</t>
  </si>
  <si>
    <t>Finanszírozási kiadások összesen:</t>
  </si>
  <si>
    <t xml:space="preserve"> - Belső finanszírozás, pénzmaradvány </t>
  </si>
  <si>
    <t xml:space="preserve"> - Külső finanszírozás kötvény kibocsátás, hitel felvétel (zárolt)</t>
  </si>
  <si>
    <t>KIADÁSOK MINDÖSSZESEN</t>
  </si>
  <si>
    <t xml:space="preserve"> - Egyéb finanszírozási bevételek (kiegyenlítő, függő átfutó)</t>
  </si>
  <si>
    <t>Pénzkészlet egyeztetés:</t>
  </si>
  <si>
    <t>Finanszírozási bevételek összesen:</t>
  </si>
  <si>
    <t>Nyitó pénzkészlet</t>
  </si>
  <si>
    <t>E Ft</t>
  </si>
  <si>
    <t>+ bevételek</t>
  </si>
  <si>
    <t>- kiadások</t>
  </si>
  <si>
    <t>- pénzmaradvány</t>
  </si>
  <si>
    <t>BEVÉTELEK MINDÖSSZESEN</t>
  </si>
  <si>
    <t>Záró pénzkészlet</t>
  </si>
  <si>
    <t>2011. évi működési célú bevételek és kiadások mérlege (E Ft-ban)</t>
  </si>
  <si>
    <t>Személyi juttatás</t>
  </si>
  <si>
    <t>Sajátos működési bevétel</t>
  </si>
  <si>
    <t>Járulékok</t>
  </si>
  <si>
    <t>Működési támogatás</t>
  </si>
  <si>
    <t>Dologi kiadás (beruházási hitelkamat és ÁFA nélkül)</t>
  </si>
  <si>
    <t>Egyéb működési bevételek</t>
  </si>
  <si>
    <t>Pénzeszköz átadás, támogatás</t>
  </si>
  <si>
    <t>Kölcsön visszatérülés, kölcsön bevétel</t>
  </si>
  <si>
    <t>Előző évi pénzmaradvány</t>
  </si>
  <si>
    <t xml:space="preserve"> - Fényes-fürdő Kft.</t>
  </si>
  <si>
    <t>Egyéb finanszírozási kiadás</t>
  </si>
  <si>
    <t xml:space="preserve"> - Víz-Zene-Virág Fesztivál Egyesület</t>
  </si>
  <si>
    <t>Szociális támogatás műk.</t>
  </si>
  <si>
    <t xml:space="preserve"> - IGH-tól Polg. Hiv.-nak</t>
  </si>
  <si>
    <t xml:space="preserve"> - Távhő Kft-től</t>
  </si>
  <si>
    <t xml:space="preserve"> - IGH kölcsön bevétele </t>
  </si>
  <si>
    <t>Működési céltartalék</t>
  </si>
  <si>
    <t xml:space="preserve"> - IGH kölcsön visszafizetése Polgármesteri Hivatalnak</t>
  </si>
  <si>
    <t>Garancia és kezességvállalás - Városkapu Zrt-nek</t>
  </si>
  <si>
    <t xml:space="preserve"> - Tagi kölcsön visszafizetése Fényes Fürdő Kft-től</t>
  </si>
  <si>
    <t>Garancia és kezességvállalás - Tatai Távhő Kft.</t>
  </si>
  <si>
    <t xml:space="preserve"> - Tagi kölcsön  - Fényes Fürdő Kft-től</t>
  </si>
  <si>
    <t>Kölcsönnyújtás, kölcsönvisszafizetés</t>
  </si>
  <si>
    <t xml:space="preserve"> - Árpád-házi Szent Erzsébet Szakk. és Rendelőint.-nek Polg. Hiv.-tól</t>
  </si>
  <si>
    <t xml:space="preserve"> - Víz-Zene-Virág Fesztivál Egyesületnek</t>
  </si>
  <si>
    <t xml:space="preserve"> - Árpád-házi Szent Erzsébet Szakk. és Rendelőint.-től Polg. Hiv.-nak</t>
  </si>
  <si>
    <t xml:space="preserve"> - Távhő Kft.-nek</t>
  </si>
  <si>
    <t xml:space="preserve"> - Református Egyháznak - Hajnalcsillag Óvóda működtetésére</t>
  </si>
  <si>
    <t xml:space="preserve"> - Tatai Városfejlesztő Kft-től</t>
  </si>
  <si>
    <t xml:space="preserve"> - IGH-nak kölcsön</t>
  </si>
  <si>
    <t>Előző évi kiegtészítések, visszatérülések</t>
  </si>
  <si>
    <t xml:space="preserve"> - Távhő Kft.-nek likviditási problémákra</t>
  </si>
  <si>
    <t xml:space="preserve"> - Kórháztól Polg. Hiv.-nak</t>
  </si>
  <si>
    <t xml:space="preserve"> - Árpád-házi Szent Erzsébet Szakk. és Rendelőint.-től</t>
  </si>
  <si>
    <t xml:space="preserve"> - Tagi kölcsön Fényes fürdő Kft.</t>
  </si>
  <si>
    <t xml:space="preserve"> - Református Egyháztól - Hajnalcsillag Óvoda működtetés</t>
  </si>
  <si>
    <t xml:space="preserve"> - Tatai Városfejlesztő Kft-nek</t>
  </si>
  <si>
    <t xml:space="preserve"> - Által-ér Szövetség kölcsön</t>
  </si>
  <si>
    <t>Hiány: 36.829</t>
  </si>
  <si>
    <t>Hiány és a finanszírozási kiadások fedezetének finansz.</t>
  </si>
  <si>
    <t>Egyéb finanszírozási bevételek (kiegyenlítő, függő, átfutó)</t>
  </si>
  <si>
    <t xml:space="preserve"> - Belső forrás, pénzmaradvány </t>
  </si>
  <si>
    <t xml:space="preserve"> - Belső forrás, pénzmaradvány kötvényből a kötvénnyel kapcsolatos kiadásokra </t>
  </si>
  <si>
    <t>Mindösszesen:</t>
  </si>
  <si>
    <t>2011. évi fejlesztési célú bevételek és kiadások mérlege (E Ft-ban)</t>
  </si>
  <si>
    <t>Mód.     (III. 28.)</t>
  </si>
  <si>
    <t>Beruházás</t>
  </si>
  <si>
    <t>ÁFA bevétel</t>
  </si>
  <si>
    <t>Felújítás</t>
  </si>
  <si>
    <t>Felhalmozási támogatás</t>
  </si>
  <si>
    <t>Támogatás értékű felhalmozási kiadás és pénzeszközátadás</t>
  </si>
  <si>
    <t>Kölcsön visszatérülések</t>
  </si>
  <si>
    <t>Beruházási hitel kamat</t>
  </si>
  <si>
    <t xml:space="preserve"> - Lakás célú</t>
  </si>
  <si>
    <t>Kölcsönnyújtás</t>
  </si>
  <si>
    <t xml:space="preserve"> - Munkáltatói</t>
  </si>
  <si>
    <t xml:space="preserve"> - lakáscélú</t>
  </si>
  <si>
    <t xml:space="preserve"> - Távhő Kft.</t>
  </si>
  <si>
    <t xml:space="preserve"> - munkáltatói</t>
  </si>
  <si>
    <t xml:space="preserve"> - Távhő Kft-nek Öko programra</t>
  </si>
  <si>
    <t>- Öko program keretében társasházak, fűtéskorszerűsítéseinek kölcsön visszatérülése</t>
  </si>
  <si>
    <t xml:space="preserve"> - Tatai Városfejlesztő Kft.-nek</t>
  </si>
  <si>
    <t>Felhalmozási céltartalék</t>
  </si>
  <si>
    <t>Fizetendő ÁFA</t>
  </si>
  <si>
    <t>Kötvény kamata</t>
  </si>
  <si>
    <t>Garancia és kezességvállalás Távhő Kft., Tata Tópart</t>
  </si>
  <si>
    <t>Hiány: 1.544.726</t>
  </si>
  <si>
    <t xml:space="preserve"> - Belső finanszírozás, pénzmaradvány</t>
  </si>
  <si>
    <t xml:space="preserve"> - Külső finanszírozás kötvény kibocsátás, hitel felvétel </t>
  </si>
  <si>
    <t>Finanszírozási kiadás beruházási hitel törlesztés</t>
  </si>
  <si>
    <t>Mindösszesen bevételek:</t>
  </si>
  <si>
    <t>Mindösszesen kiadások:</t>
  </si>
  <si>
    <t>Tata Város Önkormányzatának 2011. évi bevételei forrásonként ( E Ft-ban)</t>
  </si>
  <si>
    <t>Bevételek</t>
  </si>
  <si>
    <t>Összesen</t>
  </si>
  <si>
    <t>Okmányirodai ügyintézés</t>
  </si>
  <si>
    <t>Egyéb működési bevétel (faértékesítés, temető fenntartás, rendezvényszervezés, üdülés, intézményi térítési díjak stb.)</t>
  </si>
  <si>
    <t>Áfa bevétel</t>
  </si>
  <si>
    <t>Kamat bevétel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</si>
  <si>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</si>
  <si>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</si>
  <si>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</si>
  <si>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</si>
  <si>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Késedelmi pótlék</t>
  </si>
  <si>
    <t xml:space="preserve"> - Egyéb beszedési szla (pénzbírság, helyszíni bírság)</t>
  </si>
  <si>
    <t>Átengedett központi adók</t>
  </si>
  <si>
    <t xml:space="preserve"> - Átengedett SZJA</t>
  </si>
  <si>
    <t xml:space="preserve"> - Gépjárműadó</t>
  </si>
  <si>
    <t xml:space="preserve"> - Termőföld bérbeadásból SZJA</t>
  </si>
  <si>
    <t>Bírságok (környezetvédelmi 400, közterület 3.000)</t>
  </si>
  <si>
    <t>Bérleti díj</t>
  </si>
  <si>
    <t>Normatíva</t>
  </si>
  <si>
    <t>Normatív kötött felhasználású támogatás</t>
  </si>
  <si>
    <t xml:space="preserve"> - Egyes szociális feladatok támogatás, szociális továbbképzés és szakvizsga</t>
  </si>
  <si>
    <t xml:space="preserve"> - Kiegészítő támogatás egyes közoktatási feladatokhoz</t>
  </si>
  <si>
    <t>Központosított előirányzatokból</t>
  </si>
  <si>
    <t>Felhalmozási és tőke jellegű bevétel</t>
  </si>
  <si>
    <t>Földterület értékesítés</t>
  </si>
  <si>
    <t>Földterület értékesítés zárolt</t>
  </si>
  <si>
    <t>Egyéb ingatlanértékesítés</t>
  </si>
  <si>
    <t>Lakásértékesítés (részletek)</t>
  </si>
  <si>
    <t>Felhalmozási kamat bevétel</t>
  </si>
  <si>
    <t>Fejlesztési célú támogatások (központosított támogatás)</t>
  </si>
  <si>
    <t xml:space="preserve"> - Támogatás értékű felhalmozási bevételek zárolt</t>
  </si>
  <si>
    <t xml:space="preserve"> - Felhalmozási célú pénzeszközátvétel</t>
  </si>
  <si>
    <t>Előző évi kiegészítések, visszatérülések</t>
  </si>
  <si>
    <t>Kötvénykibocsátás, hitelfelvétel zárolt</t>
  </si>
  <si>
    <t xml:space="preserve">Tata Város Önkormányzatának 2011. évi költségvetési kiadásai </t>
  </si>
  <si>
    <t>( kiemelt előirányzatok szerinti részletezésben ) E Ft-ban</t>
  </si>
  <si>
    <t>Kiadások</t>
  </si>
  <si>
    <t>Munkaadót terh. járulékok</t>
  </si>
  <si>
    <t>Dologi és folyó kiadások</t>
  </si>
  <si>
    <t>Kamatkiadások</t>
  </si>
  <si>
    <t>Dologi és egyéb folyók. össz.:</t>
  </si>
  <si>
    <t>Egyéb működési kiadás</t>
  </si>
  <si>
    <t>Támogatás értékű működési kiadások és működési célú pénzeszköz átadás</t>
  </si>
  <si>
    <t>Önkormányzat által folyósított ellátás</t>
  </si>
  <si>
    <t>Ellátottak pénzbeli juttat.</t>
  </si>
  <si>
    <t>Beruházás ( ÁFA-val )</t>
  </si>
  <si>
    <t>Felújítás ( ÁFA-val )</t>
  </si>
  <si>
    <t>Felhalmozási támogatás értékű kiadás és pénzeszközátadás</t>
  </si>
  <si>
    <t>Támogatási kölcsönök</t>
  </si>
  <si>
    <t>Kölcsön nyújtása lakáscélra:</t>
  </si>
  <si>
    <t xml:space="preserve"> - lakossági</t>
  </si>
  <si>
    <t xml:space="preserve"> - Víz-Zene-Virág Fesztivál</t>
  </si>
  <si>
    <t xml:space="preserve"> - Távhő ÖKO program</t>
  </si>
  <si>
    <t xml:space="preserve"> - Távhő ÁFA miatt</t>
  </si>
  <si>
    <t xml:space="preserve"> - Távhő-nek</t>
  </si>
  <si>
    <t xml:space="preserve"> - Református Egyházközségnek</t>
  </si>
  <si>
    <t xml:space="preserve"> - IGH-nak kölcsön nyújtás (könyvtár 22.000 Vaszary  4.200, Kőkúti 7.900)</t>
  </si>
  <si>
    <t xml:space="preserve"> - Árpád-házi Szent Erzsébet Szakkórház és Rendelőintézetnek</t>
  </si>
  <si>
    <t xml:space="preserve"> - Tagi kölcsön Fénye Fürdő Kft-nek</t>
  </si>
  <si>
    <t>Kölcsön visszafizetés Polgármesteri Hivatalnak</t>
  </si>
  <si>
    <t>Működési</t>
  </si>
  <si>
    <t>Felhalmozási</t>
  </si>
  <si>
    <t>Hiteltörlesztés fejlesztési célú</t>
  </si>
  <si>
    <t>Polgármesteri Hivatal 2011. évi költségvetési terve szakfeladatok és kiemelt előirányzatok szerinti bontásban (E Ft-ban)</t>
  </si>
  <si>
    <t>Bevétel</t>
  </si>
  <si>
    <t>Kiadás</t>
  </si>
  <si>
    <t>Működési kiadások</t>
  </si>
  <si>
    <t>Felhalmozási kiadások</t>
  </si>
  <si>
    <t>Hiteltörl. Kölcsön</t>
  </si>
  <si>
    <t>Tartalékok</t>
  </si>
  <si>
    <t xml:space="preserve">Személyi juttatások </t>
  </si>
  <si>
    <t>M.adókat terh. jár.</t>
  </si>
  <si>
    <t xml:space="preserve">Dologi egyéb folyó </t>
  </si>
  <si>
    <t>Pénzeszk. átadás és kezesség váll.</t>
  </si>
  <si>
    <t>Önk.által foly. ellátás</t>
  </si>
  <si>
    <t>024000</t>
  </si>
  <si>
    <t>Erdészeti szolgáltatás</t>
  </si>
  <si>
    <t>Víztermelés-, kezelés, ellátás</t>
  </si>
  <si>
    <t>Szennyvíz gyűjtés elhelyezés</t>
  </si>
  <si>
    <t>Települési hulladékkezelés</t>
  </si>
  <si>
    <t>Lakó- és nem lakó épületek építése</t>
  </si>
  <si>
    <t>Út, autópálya építése</t>
  </si>
  <si>
    <t>Helyi közlekedési támogatása</t>
  </si>
  <si>
    <t>Közutak, hidak, alagutak üzemeltetése, fenntartása</t>
  </si>
  <si>
    <t>Üdülői szálláshely szolgáltatás</t>
  </si>
  <si>
    <t>Könyvkiadás</t>
  </si>
  <si>
    <t>Egyéb kiadói tevékenység (lapkiadás)</t>
  </si>
  <si>
    <t>Saját tulajdonú ingatlan adásvétele</t>
  </si>
  <si>
    <t>Lakóingatlan bérbeadás</t>
  </si>
  <si>
    <t>Nem lakóingatlan bérbeadása</t>
  </si>
  <si>
    <t>Ingatlankezelés</t>
  </si>
  <si>
    <t>Állategészségügyi ellátás</t>
  </si>
  <si>
    <t>Egyéb gép, tárgyi eszköz kölcsönzés</t>
  </si>
  <si>
    <t>Zöldterület-kezelés (Parkfenntartás)</t>
  </si>
  <si>
    <t>Zöldterület kezelés (játszótér fenntartás)</t>
  </si>
  <si>
    <t>Fénymásolás, egyéb irodai szolgáltatás</t>
  </si>
  <si>
    <t>Egyéb kiegészítő gazdasági tevékenység (népszámlálás)</t>
  </si>
  <si>
    <t>Önkormányzati jogalkotás (képviselők)</t>
  </si>
  <si>
    <t>Országos, települési és területi kisebbségi választás lebonyolítása</t>
  </si>
  <si>
    <t>Önkormányzatok igazgatási tevékenysége</t>
  </si>
  <si>
    <t>Önkormányzatok igazgatási tevékenysége (Pénzmaradvány)</t>
  </si>
  <si>
    <t>Adó, illeték kiszabása, beszedése, adó ellenőrzés</t>
  </si>
  <si>
    <t>Nemzeti ünnepek</t>
  </si>
  <si>
    <t>Kiemelt önkormányzati rendezvények (Minimarathon)</t>
  </si>
  <si>
    <t>Kiemelt önkormányzati rendezvények (Városi ünnepek)</t>
  </si>
  <si>
    <t>Kiemelt Önkormányzati rendezvények</t>
  </si>
  <si>
    <t>Önkormányzatok közbeszerzési eljárásainak lebonyolításával összefüggő feladatok</t>
  </si>
  <si>
    <t>Közvilágítás</t>
  </si>
  <si>
    <t>Város- és községgazdálkodási szolgáltatások</t>
  </si>
  <si>
    <t>VKG Környezetvédelem</t>
  </si>
  <si>
    <t>Város- és községgazdálkodási szolgáltatások (Építés és településfejlesztés)</t>
  </si>
  <si>
    <t>Önkormányzatok elszámolása (normatíva)</t>
  </si>
  <si>
    <t>Önkormányzatok elszámolásai (Építési bírság)</t>
  </si>
  <si>
    <t>Finanszírozási műveletek (hitel, kötvény, készfizető kezesség, hitelkamat)</t>
  </si>
  <si>
    <t>Önkormányzat elszámolás költségvetési szerv</t>
  </si>
  <si>
    <t>Önkormányzati nemzetközi feladatok („HUSK”)</t>
  </si>
  <si>
    <t>Önkormányzat nemzetközi kapcsolatai (Testvérváros)</t>
  </si>
  <si>
    <t>Közterület rendjének fenntartása (Polgárőrség)</t>
  </si>
  <si>
    <t>Tűzoltás, műszaki mentés, katasztrófahelyzet elhárítása (Polgári védelem)</t>
  </si>
  <si>
    <t>Óvodai nevelés</t>
  </si>
  <si>
    <t>Alapfokú oktatás</t>
  </si>
  <si>
    <t>Alapfokú művészeti oktatás</t>
  </si>
  <si>
    <t>Gyermekjóléti szociális ellátás</t>
  </si>
  <si>
    <t>Tanulmányi ösztöndíj</t>
  </si>
  <si>
    <t>Szociális ösztöndíj</t>
  </si>
  <si>
    <t>Sportszabadidős képzés (Tanuszoda)</t>
  </si>
  <si>
    <t>Oktatási kiegészítő tevékenységek komplex támogatása</t>
  </si>
  <si>
    <t>Pedagógiai szakmai szolgáltatás</t>
  </si>
  <si>
    <t>Egészségügyi intézmények támogatása</t>
  </si>
  <si>
    <t>Járóbeteg-ellátás, fogorvosi ellátás komplex fejlesztési támogatása (Háziorvosok)</t>
  </si>
  <si>
    <t>Kábítószer megelőzési program támogatás</t>
  </si>
  <si>
    <t>Idősek nappali ellátása</t>
  </si>
  <si>
    <t>Önkormányzati szociális támogatások finanszírozása</t>
  </si>
  <si>
    <t>Rendszeres szociális segély</t>
  </si>
  <si>
    <t>Időskorúak járadéka</t>
  </si>
  <si>
    <t>Normatív lakásfenntartási támogatás</t>
  </si>
  <si>
    <t>Helyi rendszeres lakásfenntartási támogatás</t>
  </si>
  <si>
    <t>Ápolási díj alanyi jogon</t>
  </si>
  <si>
    <t>Ápolási díj méltányossági alapon</t>
  </si>
  <si>
    <t>Rendszeres GYEV</t>
  </si>
  <si>
    <t>Óvodáztatási támogatás</t>
  </si>
  <si>
    <t>Átmeneti segély</t>
  </si>
  <si>
    <t>Temetési segély</t>
  </si>
  <si>
    <t>Rendkívüli GYEV</t>
  </si>
  <si>
    <t>Mozgáskorlátozottak közlekedési támogatása</t>
  </si>
  <si>
    <t>Egyéb önkormányzati eseti pénzbeli ellátás (Eseti és hivatalos gondnok)</t>
  </si>
  <si>
    <t>Egyéb önkormányzati eseti pénzbeli ellátások (életkezdési támogatás)</t>
  </si>
  <si>
    <t>Adósságkezelés</t>
  </si>
  <si>
    <t>Közgyógyellátás</t>
  </si>
  <si>
    <t>Köztemetés</t>
  </si>
  <si>
    <t>Bölcsődei ellátás</t>
  </si>
  <si>
    <t>Családi napközi</t>
  </si>
  <si>
    <t>Házi segítségnyújtás</t>
  </si>
  <si>
    <t>Támogató szolgálat</t>
  </si>
  <si>
    <t>Közösségi szolgáltatás</t>
  </si>
  <si>
    <t>Otthonteremtési támogatás</t>
  </si>
  <si>
    <t>Önkormányzat által nyújtott lakástámogatás</t>
  </si>
  <si>
    <t>Munkáltatók által nyújtott lakástámogatás</t>
  </si>
  <si>
    <t>Önkormányzati ifjúsági rendezvények és programok, valamint támogatások (Gyermekbarát város)</t>
  </si>
  <si>
    <t>Közcélú foglalkoztatás</t>
  </si>
  <si>
    <t>Közhasznú foglalkoztatás</t>
  </si>
  <si>
    <t>Közművelődési tevékenység támogatása</t>
  </si>
  <si>
    <t>Utánpótlás nevelési tevékenység és támogatása (Sport iskola)</t>
  </si>
  <si>
    <t>Máshova nem sorolható sport támogatások</t>
  </si>
  <si>
    <t>Szabadidős park, fürdő és strandszolgáltatás</t>
  </si>
  <si>
    <t>Egyéb közösségi, társadalmi tevékenység</t>
  </si>
  <si>
    <t>Köztemető fenntartás</t>
  </si>
  <si>
    <t>Egyéb személyi szolgáltatás (CSERI)</t>
  </si>
  <si>
    <t>Polgármesteri Hivatal feladatainak költségvetése összesen:</t>
  </si>
  <si>
    <t>Közterület-felügyelet 842421</t>
  </si>
  <si>
    <t>Kisebbségi Önkormányzatok</t>
  </si>
  <si>
    <t>841127</t>
  </si>
  <si>
    <t>Német Kisebbségi Önkormányzat</t>
  </si>
  <si>
    <t>Lengyel Kisebbségi Önkormányzat</t>
  </si>
  <si>
    <t>Cigány Kisebbségi Önkormányzat</t>
  </si>
  <si>
    <t>Kisebbségi Önkormányzatok összesen</t>
  </si>
  <si>
    <t>Önkormányzatok igazgatási tevékenysége (zárolt előirányzatok)</t>
  </si>
  <si>
    <t>Intézmények Gazdasági Hivatalához tartozó önállóan működő intézmények 2011. évi költségvetése</t>
  </si>
  <si>
    <t>Intézmények Gazdasági Hivatalához tartozó részben önálló intézmények 2011. évi költségvetése</t>
  </si>
  <si>
    <t>Költségvetési alcím megnevezése</t>
  </si>
  <si>
    <t>Egyéb saját bevétel</t>
  </si>
  <si>
    <t>Egyéb saját bevételből ellátottak étkezési térítési díj bevétele</t>
  </si>
  <si>
    <t>ÁFA</t>
  </si>
  <si>
    <t>Kapott fenntartói kölcsön</t>
  </si>
  <si>
    <t>Átvett pénzeszközök</t>
  </si>
  <si>
    <t>Támogatásértékű bevétel</t>
  </si>
  <si>
    <t>Tárgyi eszköz, immat. javak értékesítése</t>
  </si>
  <si>
    <t>Pénzmaradvány</t>
  </si>
  <si>
    <t>Bevételek összesen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</si>
  <si>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</si>
  <si>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</si>
  <si>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</si>
  <si>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</si>
  <si>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</si>
  <si>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jár.</t>
  </si>
  <si>
    <t>Dologi</t>
  </si>
  <si>
    <t>Dologiból ellátottakra vonatkozó élelmiszer beszerzés és vásárolt élelmezés</t>
  </si>
  <si>
    <t>Pénzbeli juttatás</t>
  </si>
  <si>
    <t>Pénzbeli ráford.</t>
  </si>
  <si>
    <t>Fentartótói Kölcsön visszafizeté</t>
  </si>
  <si>
    <t>össz</t>
  </si>
  <si>
    <t>2011.V.hó</t>
  </si>
  <si>
    <t>2011. X. hó</t>
  </si>
  <si>
    <t>2011.XII.hó</t>
  </si>
  <si>
    <t>2012.II.hó</t>
  </si>
  <si>
    <t>teljesítés</t>
  </si>
  <si>
    <t>2011. évi felújítási kiadások célonként (ÁFA-val)</t>
  </si>
  <si>
    <t>E Ft-ban</t>
  </si>
  <si>
    <t>Eredetiből zárolt</t>
  </si>
  <si>
    <t>Mód.-ból zárolt</t>
  </si>
  <si>
    <t>Áthúzódó, kötelezettségvállalással terhelt feladatok</t>
  </si>
  <si>
    <t>ÉDV Zrt-nek üzemeltetésre átadott ivó- és szennyvízcsatorna közmű felújítása a 2010 évi amortizáció terhére (ebből ivóvíz 1 050 E Ft, szennyvíz 10 805 E Ft)</t>
  </si>
  <si>
    <t>Balatonvilágosi üdülő nyílászáró csere</t>
  </si>
  <si>
    <t>Áthúzódó, kötelezettségvállalással terhelt feladatok kötvényforrás terhére</t>
  </si>
  <si>
    <t>Talentum iskola szennyvízvezeték</t>
  </si>
  <si>
    <t>Rákóczi u. 9. homlokzat felújítása</t>
  </si>
  <si>
    <t>Vaszary Villa állagmegóvó munkái</t>
  </si>
  <si>
    <t>Polgármesteri hivatal épületébe kézi irattár</t>
  </si>
  <si>
    <t>Tervezések útburkolat felújításhoz és városrész rehabilitációhoz</t>
  </si>
  <si>
    <t>2011. évi igények</t>
  </si>
  <si>
    <t>Bérlakások felújítása</t>
  </si>
  <si>
    <t>Nem lakás célú helységek felújítása</t>
  </si>
  <si>
    <t>KEOP pályázatok  (Eötvös József Gimnázium, Magyary Művelődési Központ) tervezéshez és pályázat előkészítéshez 342/2011. (VIII.9.) Tata Kt. határozat</t>
  </si>
  <si>
    <t>József Attila Kollégium felújítási munkáira 294/2011.(VI.29.) Tata Kt. határozat</t>
  </si>
  <si>
    <t>Fényes fürdő sportmedence javítási munkálatainak fedezésére 30. 269/2011.(VI.29.) Tata Kt. határozat</t>
  </si>
  <si>
    <t>Fényes fürdő üdülőépület téliesítési munkái 387/2011. (IX.29.) Tata Kt. határozat</t>
  </si>
  <si>
    <t>Rózsa F. u. felújításának kiviteli terve - általános tartalékból</t>
  </si>
  <si>
    <t>„A szabadság kapuja” című, '56-os emlékmű áthelyezési kötségeire 445/2011.(IX.29.) Tata Kt. határozat</t>
  </si>
  <si>
    <t>Kőfaragóház (Fazekas u. 62.) épület felújításával kapcsolatos pályázat benyújtásához szükséges engedélyezési tervekre a 456/2011. (X.27.) Tata Kt. határozat alapján</t>
  </si>
  <si>
    <t>Ady E. u-i járda felújítása - Általános tartalékból</t>
  </si>
  <si>
    <t>Bacsó B. utcai járdaszakasz felújítása - Általános tartalékból</t>
  </si>
  <si>
    <t>Bartók B. u. 7/1. lakás felújítása 524/2011. (XII.01.) Tata Kt. határozat</t>
  </si>
  <si>
    <t>Rákóczi u. 9., Fenyő tér 1. és Ady E. u. 15. alatti nem lakás célú helységek tetőjavítására 524/2011. (XII.01.) Tata Kt. határozat</t>
  </si>
  <si>
    <t>Május 1 úti körforgalom átépítéséhez kapcsolódó feladatokra 429/2011.(IX.29.) Tata Kt. határozat</t>
  </si>
  <si>
    <t>II. Ulászló király kardja képzőművészeti alkotás felújítása</t>
  </si>
  <si>
    <t>Fényes fürdőn apartmanház felújítása</t>
  </si>
  <si>
    <t>Fényes fürdőn játszótér felújítása</t>
  </si>
  <si>
    <t>2011. évi igények kötvényforrás terhére</t>
  </si>
  <si>
    <t>Kocsi u.-i temetőben ravatalozó felújítás</t>
  </si>
  <si>
    <t>Környei u.-i temetőben ravatalozó előtér felújítás</t>
  </si>
  <si>
    <t>Fényes fürdőn Katonai medence rendbetétele</t>
  </si>
  <si>
    <t>Művelődési ház homlokzat felújítás</t>
  </si>
  <si>
    <t>Fényes fürdő területén épületek felújítása</t>
  </si>
  <si>
    <t>Szakrendelő lépcsőfordulóinak felújítása, nővér szoba kettéosztása, új telehely kialakítása, költözés, a felszabaduló helységek átalakítása, új kezelő, vizesblokk felújítás</t>
  </si>
  <si>
    <t>Kertváros Óvoda - Központi fűtés</t>
  </si>
  <si>
    <t>Csillagsziget Bölcsőde - vizesblokk felújítás III. ütem</t>
  </si>
  <si>
    <t>Vaszary J. Általános Iskola - tornaterem tetőcsere</t>
  </si>
  <si>
    <t>Kőkúti Általános Iskola - mellékhelységek felújítása</t>
  </si>
  <si>
    <t>Kálvária utcai Óvoda - épület felújítási munkák</t>
  </si>
  <si>
    <t>Vaszary J. Általános Iskola Jázmin u-i tagintézménye - tetőfelújítás</t>
  </si>
  <si>
    <t>Mindösszesen</t>
  </si>
  <si>
    <t>2011. évi beruházási kiadások feladatonként (ÁFA-val)</t>
  </si>
  <si>
    <t xml:space="preserve">E Ft-ban </t>
  </si>
  <si>
    <t>ÁROP-1.A.2 Hivatal szervezetfejlesztése</t>
  </si>
  <si>
    <t>Bacsó B. u. 66. HM ingatlanban önálló ivóvíz fogyasztásmérő felszerelése</t>
  </si>
  <si>
    <t>Új hiteles, digitális alaptérkép</t>
  </si>
  <si>
    <t>Pénzügyi szoftver beszerzésére</t>
  </si>
  <si>
    <t>Jázmin u. 22-24. ingatlan vételár II. részlet</t>
  </si>
  <si>
    <t>Angolpark rehabilitációja KDOP-2.1.1/B-2f-2009-0002</t>
  </si>
  <si>
    <t>Kossuth tér rehabilitációja 277/2010. (VIII.18.)</t>
  </si>
  <si>
    <t>Kocsi u. - Dózsa Gy. u. kerékpárút 315-316./2010. (IX.22.), 348/2010.(X.27)</t>
  </si>
  <si>
    <t xml:space="preserve">Diófa út korszerűsítése </t>
  </si>
  <si>
    <t>Gondoskodó kistérség pályázat KDOP-2009-5.2.2/A 116/2010. (IV.28.)</t>
  </si>
  <si>
    <t>Új úti Bölcsőde kapacitásbővítése és minőségi fejlesztése KDOP-5.2.2/B-09-2009-0004, 115/2010. (IV.28.)</t>
  </si>
  <si>
    <t>Által-ér Völgyi kerékpárút KÖZOP-2008-3.2. 216./2010. (VI.30.)</t>
  </si>
  <si>
    <t>Szemere u. és Aradi u. csapadékvíz elvezetés tervezés</t>
  </si>
  <si>
    <t>V. dűlő szikkasztó árok készítés</t>
  </si>
  <si>
    <t>Kocsi u. 4. ingatlan vételárrész 8/2hrsz</t>
  </si>
  <si>
    <t>Fazekas u. 9-10-11 előtti parkolók építése</t>
  </si>
  <si>
    <t>Piac téri útkorszerűsítés önkormányzati rész</t>
  </si>
  <si>
    <t>Intézmények energiaracionalizálása -  a pályázat elszámolásának technikai fedezetéül pénzmaradványból</t>
  </si>
  <si>
    <t>Kocsi u. - Dózsa Gy. u. kerékpárút projekt - a pályázat elszámolásának technikai fedezetéül pénzmaradványból</t>
  </si>
  <si>
    <t>Tata-Kártya programmal kapcsolatos költségek</t>
  </si>
  <si>
    <t>Számítástechnikai eszközbeszerzés (hardver, szoftver, hálózatbővítés)</t>
  </si>
  <si>
    <t>Által-ér Völgyi kerékpárút KÖZOP-2008-3.2.</t>
  </si>
  <si>
    <t>Új úti Bölcsőde kapacitásbővítése és minőségi fejlesztése KDOP-5.2.2/B-09-2009-0004 többletönerő</t>
  </si>
  <si>
    <t>Kastélykertben található támfal (1850/9 hrsz.) helyreállítás</t>
  </si>
  <si>
    <t>Tervezések sporttal összefüggő feladatokra</t>
  </si>
  <si>
    <t>Piac tér útkorszerűsítése 395/2011.(IX.29.) Tata Kt. határozata</t>
  </si>
  <si>
    <t>Vörösmarty u. korszerűsítésének pótmunkái 396/2011.(IX.29.) Tata Kt. határozata</t>
  </si>
  <si>
    <t>Komáromi utca- Új út körforgalmi csomópont beruházás engedélyezési eljárási díja 397/2011.(IX.29.) Tata Kt. határozat</t>
  </si>
  <si>
    <t>Május 1 út - Ady E. út körforgalmi csomópont beruházás hatósági díj 397/2011.(IX.29.) Tata Kt. határozat</t>
  </si>
  <si>
    <t>Újhegyi úti vízfolyás rekonstrukciójával (Vasút u. korszerűsítés) kapcsolatos eljárási és kisajátítási költségeire 409/2011.(IX.29.) Tata Kt. határozat</t>
  </si>
  <si>
    <t xml:space="preserve">Réti 8. sz. tó élőhely-védelme céljából benyújtandó pályázathoz önerő KEOP-7.3.1.2/09-11 240/2011. (V.25.) sz. határozat </t>
  </si>
  <si>
    <t>Baji úti kerékpárút pályázat pályázatírói megbízására  336/2011. (VII.11.) sz. határozat</t>
  </si>
  <si>
    <t>Baji út melletti kerékpárút KDOP-4.2.2-11. 340/2011. (VIII.9.) Tata Kt. határozat</t>
  </si>
  <si>
    <t>József Attila utca csapadékvíz elvezetése 341/2011. (VIII.9.) Tata Kt. határozat</t>
  </si>
  <si>
    <t>Vaszary Általános Iskolában sportpálya építésére pályázatírói díj 372/2011 (IX.7.) sz. határozat</t>
  </si>
  <si>
    <t>Baji úti közvilágítás 403/2011. (IX.29.) Tata Kt. határozat</t>
  </si>
  <si>
    <t>Öreg tavi Ökoturisztikai Központtal kapcsolatos engedélyezési eljárás lefolytatására 448/2011. (IX.29.) Tata Kt. határozat</t>
  </si>
  <si>
    <t>Újhegy városrész szabályozási terv (útkisajátítás) feladatra 402/2011. (IX.29.) Tata Kt. határozat</t>
  </si>
  <si>
    <t>A tatai 1880/3 hrsz-ú és a 1880/6 hrsz-ú ingatlanok kisajátítása 428/2011. (IX.29.) Tata Kt. határozata</t>
  </si>
  <si>
    <t>Tata, Zsigmond u. 15. szám alatti ingatlan megvásárlására 427/2011. (IX.29.) Tata Kt. határozat</t>
  </si>
  <si>
    <t xml:space="preserve">V. dűlő szikkasztó árok beruházási munkáihoz 398/2011.(IX.29.) Tata Kt. határozat </t>
  </si>
  <si>
    <t>Intermodális Központ létesítése Tatán KÖZOP – 2009-5.4.0-09-11 pályázatíró megbízására</t>
  </si>
  <si>
    <t>Résztulajdon vásárlás a Bercsényi utca 7. ingatlanból 1659/1 hrsz 304/2011.(VI.29.) Tata Kt. határozat</t>
  </si>
  <si>
    <t>A kialakuló tatai 648/1 és 648/2 hrsz.-ú ingatlan közművesítésére 347/2011.(VIII.9.) Tata Kt. határozat</t>
  </si>
  <si>
    <t>A Polgármesteri Hivatal irattári páternoszterének tartozékaira 405/2011.(IX.29.) Tata Kt. határozata</t>
  </si>
  <si>
    <t>Kossuth tér rehabilitációja 408/2011.(IX.29.) Tata Kt. határozat</t>
  </si>
  <si>
    <t>Személygépkocsi vásárlása 426/2011.(IX.29.) Tata Kt. határozat</t>
  </si>
  <si>
    <t>TIOP 1.1.1/07/1 jelű pályázathoz 317/2011.(VI.29.) Tata Kt. határozat</t>
  </si>
  <si>
    <t>Emlékoszlop szakértői díja - általános tartalékból</t>
  </si>
  <si>
    <t>Alkotmány u. 14-16. előtti járda építése - általános tartalékból</t>
  </si>
  <si>
    <t>Amaf mángorló - Általános tartalékból</t>
  </si>
  <si>
    <t>József A. u. - Új úti körforgalom közvilágítás fejlesztés</t>
  </si>
  <si>
    <t>Laptop beszerzés a Szociális Alapellátó pályázatához</t>
  </si>
  <si>
    <t>Jelzőrendszeres készülék - Jelzőrendszeres házi segítségnyújtás</t>
  </si>
  <si>
    <t>Zrínyi u. - Szent I. u. kereszteződés felszíni vízelvezetés</t>
  </si>
  <si>
    <t>Lézeres távolságmérő a Közterület-felügyeletnek</t>
  </si>
  <si>
    <t>Dadi úti sárrázó</t>
  </si>
  <si>
    <t>Fényes fürdő területén riasztó rendszer kiépítése</t>
  </si>
  <si>
    <t>Koltói-Környei u. csapadékvíz elvezetés, V.-VI. dűlő vízelvezető burkolat árok készítés</t>
  </si>
  <si>
    <t>Nagy L. u. - Tavasz u. vízelvezetés</t>
  </si>
  <si>
    <t>Mindszenty téri lakásokban kazán csere (32db) és kéménybélés</t>
  </si>
  <si>
    <t>Kisajátítások, kártalanítások</t>
  </si>
  <si>
    <t xml:space="preserve"> - Agostyáni u.</t>
  </si>
  <si>
    <t xml:space="preserve"> - Újhegy városrész szabályozási terv szerint</t>
  </si>
  <si>
    <t xml:space="preserve"> - Egyéb kisajátítási eljárások (József A. u., Ady E. u., Akácfa u., Kert u.)</t>
  </si>
  <si>
    <t>Fényes fasori Idősek Otthona bővítés</t>
  </si>
  <si>
    <t>KÖZOP-3.2.0/C, KDOP-2.1.1, KDOP-3.1.1/A Pályázatokra a 109/2011.(III.30.) sz. határozat alapján</t>
  </si>
  <si>
    <t>Tatai Városgazda Nonprofit Kft. telephely vízellátására és szennyvízelvezetésére 401/2011.(IX.29.) Tata Kt. határozat</t>
  </si>
  <si>
    <t>Szoftver állomány bővítés, felújításokhoz kapcsolódó beruházási kiadások</t>
  </si>
  <si>
    <t>Móricz Zsigmond Városi Könyvtár - TIOP pályázat, telefonközpont pótlása, számítógép beszerzés</t>
  </si>
  <si>
    <t>Fürdő Utcai Óvoda - új főzőzsámolyok</t>
  </si>
  <si>
    <t>Csillagsziget Bölcsőde - Homokozó</t>
  </si>
  <si>
    <t>Szociális Alapellátó - Támogató szolgálat</t>
  </si>
  <si>
    <t>Szociális Alapellátó - Jelzőrendszeres házi segítségnyújtás</t>
  </si>
  <si>
    <t>Bartók B. utcai Óvoda</t>
  </si>
  <si>
    <t>Menner Bernát Zeneiskola</t>
  </si>
  <si>
    <t>Tata Város Önkormányzata által folyósított 2011. évi ellátások alakulásának részletezése</t>
  </si>
  <si>
    <t>(E Ft-ban)</t>
  </si>
  <si>
    <t>Lehívható központi támogatás</t>
  </si>
  <si>
    <t>Lehívott támogatások</t>
  </si>
  <si>
    <t>Foglalkoztatást helyettesítő támogatás (Rendelkezésre állási támogatás, illetve bérpótló juttatás)</t>
  </si>
  <si>
    <t>Tartósan munkanélküliek rendszeres szociális segélye</t>
  </si>
  <si>
    <t>Rendszeres szociális segély (egészségkárosodottak részére) - törvényi előírás alapján</t>
  </si>
  <si>
    <t>Rendszeres szociális segély - helyi rendelet alapján</t>
  </si>
  <si>
    <t>Lakásfenntartási támogatás (normatív)</t>
  </si>
  <si>
    <t>Lakásfenntartási támogatás (helyi megállapítás)</t>
  </si>
  <si>
    <t>Adósságkezelési szolgáltatással kapcsolatos támogatás</t>
  </si>
  <si>
    <t>Ápolási díj (normatív)</t>
  </si>
  <si>
    <t>Ápolási díj (helyi megállapítás)</t>
  </si>
  <si>
    <t>Rendszeres gyermekvédelmi támogatás (normatív)</t>
  </si>
  <si>
    <t>Rendkívüli gyermekvédelmi támogatás (helyi megállapítás)</t>
  </si>
  <si>
    <t>Tatai fiatalok életkezdési támogatásához</t>
  </si>
  <si>
    <t>Közlekedési támogatás tanulóknak</t>
  </si>
  <si>
    <t>Gyermektartásdíj megelőlegezése</t>
  </si>
  <si>
    <t>Lakáshitel törlesztések támogatása</t>
  </si>
  <si>
    <t>Tanulóbérlet</t>
  </si>
  <si>
    <t>Rászorultságtól függő pénzbeli szociális, gyermekvédelmi ellátások összesen</t>
  </si>
  <si>
    <t>Önkormányzati saját hatáskörben adott természetbeni ellátás (HPV védőoltás)</t>
  </si>
  <si>
    <t>Természetben nyújtott átmeneti segély</t>
  </si>
  <si>
    <t>Természetben nyújtott ellátások összesen</t>
  </si>
  <si>
    <t>Önkormányzatok által folyósított szociális, gyermekvédelmi ellátások összesen:</t>
  </si>
  <si>
    <t xml:space="preserve">Ápolási díj járulék 24 % </t>
  </si>
  <si>
    <t xml:space="preserve"> - normatív</t>
  </si>
  <si>
    <t xml:space="preserve"> - méltányosság </t>
  </si>
  <si>
    <t>Tata Város Polgármesteri Hivatal pénzeszközátadásainak és támogatásainak 2011. évi teljesítése (E Ft-ban)</t>
  </si>
  <si>
    <t>Működési célú pénzeszközátadások és támogatások:</t>
  </si>
  <si>
    <t>Tatai Városgazda Nonprofit Kft.-nek bérre és működésre</t>
  </si>
  <si>
    <t>Tatai Városkapu Nonprofit Zrt. támogatása közhasznú megállapodás alapján, a Zrt. igazgatójának prémiumjára 232/2011.(V.25.) Tata Kt. határozat</t>
  </si>
  <si>
    <t>Tatai Televízió Közalapítvány támogatása</t>
  </si>
  <si>
    <t>TDM szervezet működtetésére 270/2009. (VIII.12.)</t>
  </si>
  <si>
    <t>Juniorka alapítványi Óvoda támogatása a közoktatási megállapodás alapján</t>
  </si>
  <si>
    <t>Juniorka alapítványi Bölcsőde támogatása a közoktatási megállapodás alapján</t>
  </si>
  <si>
    <t>Bursa Hungarica és Mecénás Közalapítvány támogatása</t>
  </si>
  <si>
    <t>Kenderke Néptánc Egyesület</t>
  </si>
  <si>
    <t>Concerto Nonprofit Kft. támogatása</t>
  </si>
  <si>
    <t>Oktatási és kulturális alap</t>
  </si>
  <si>
    <t>Egészségvédelmi és sport alap</t>
  </si>
  <si>
    <t>Környezetvédelmi alap</t>
  </si>
  <si>
    <t>Tata Ifjúsági kártya 417/2010. (XII.15.)</t>
  </si>
  <si>
    <t>Tata-kártya program keretében családtámogatási rendszer</t>
  </si>
  <si>
    <t>Kőkúti Sasok Diáksport Egyesület támogatása</t>
  </si>
  <si>
    <t>Magyar Máltai Szeretetszolgálat Tatai Csoportjának</t>
  </si>
  <si>
    <t>Magyar Vöröskereszt Tatai Szervezetének</t>
  </si>
  <si>
    <t>Tanuló bérletekre</t>
  </si>
  <si>
    <t>Háziorvosok támogatása (250 EFt / 21praxis)</t>
  </si>
  <si>
    <t>HU-SK 08/01-0188 projekt támogatás visszafizetés</t>
  </si>
  <si>
    <t>Kis- és középvállalkozások támogatása</t>
  </si>
  <si>
    <t xml:space="preserve">THAC-nak </t>
  </si>
  <si>
    <t>Polgárőrségnek</t>
  </si>
  <si>
    <t>Tata Város Önkormányzattól tatai Kisebbségi Önkormányzatoknak</t>
  </si>
  <si>
    <t>Tatai Távhő Kft.-nek rendkívüli karbantartási munkákra 405/2010 (XII.15.)</t>
  </si>
  <si>
    <t>Közép-dunántúli Regionális Mentőszervezet támogatása</t>
  </si>
  <si>
    <t>Hódy Sport Egyesületnek</t>
  </si>
  <si>
    <t>Vívó SE</t>
  </si>
  <si>
    <t>Tatai Sport Egyesületnek</t>
  </si>
  <si>
    <t>Tatai Rendőrkapitányságnak</t>
  </si>
  <si>
    <t>5. sz. fogászati alapellátási körzet helyettesítésének megoldásához</t>
  </si>
  <si>
    <t>Közép-Duna Vidéke Hulladékgazdálkodási Önkormányzati Társulás 2010-2011. évi tagdíja</t>
  </si>
  <si>
    <t>Tatai Városkapu Zrt. támogatása Tata-kártya program bevezetése miatt</t>
  </si>
  <si>
    <t>KEMÖ Természeti katasztrófa károsultak pályázati alapjának</t>
  </si>
  <si>
    <t>Általános tartalékból pénzeszközátadások</t>
  </si>
  <si>
    <t xml:space="preserve"> - Magyar Politikai Foglyok Szövetségének</t>
  </si>
  <si>
    <t xml:space="preserve"> - Történelmi Igazságtételi Bizottság 56-os Tagozat Tatai Városi Szervezetének</t>
  </si>
  <si>
    <t xml:space="preserve"> - Turul Média Kft.-nek - a Forrás Rádió I. negyedévi támogatása</t>
  </si>
  <si>
    <t xml:space="preserve"> - Bliss Alapítvány - Segítő Kommunikáció-módszertani Központ - 2010/2011-es tanévre</t>
  </si>
  <si>
    <t xml:space="preserve"> - Magyar Vöröskereszt Tata Területi Szervezetének - szociálisan rászoruló és egészségkárosodott gyerekek táboroztatására</t>
  </si>
  <si>
    <t xml:space="preserve"> - Tatai Városkapu Zrt.-nek - a Magyar Kultúra napján rendezett program támogatása</t>
  </si>
  <si>
    <t xml:space="preserve"> - Pusztinai Hazáért Egyesületnek a 202/2011. (IV.27.) sz. határozat alapján</t>
  </si>
  <si>
    <t xml:space="preserve"> - Peter Cerny Alapítványnak a 136/2011. (III.30.) sz. határozat alapján</t>
  </si>
  <si>
    <t xml:space="preserve"> - Magyary Zoltán Népfőiskolai Társaságnak a városi képzési programok támogatására</t>
  </si>
  <si>
    <t xml:space="preserve"> - Monarchia Bélyeges Tégla Gyűjtők Egyesületének Helytörténeti kiadvány megjelentetésére</t>
  </si>
  <si>
    <t xml:space="preserve"> - Magyar Máltai Szeretetszolgálatnak Árvízkárosultak lakhatási támogatására</t>
  </si>
  <si>
    <t xml:space="preserve"> - Pro-Minoritate Alapítványnak a 22. Bálványosi Szabadi Nyári Egyetem támogatása</t>
  </si>
  <si>
    <t xml:space="preserve"> - THAC kézilabda csapatnak az NB1/B-s aranyérem elismerésére</t>
  </si>
  <si>
    <t xml:space="preserve"> - Jazz and More együttesnek a Pedagógus napi előadásra</t>
  </si>
  <si>
    <t xml:space="preserve"> - Mátyás István vállalkozónak a Nemzeti vágta előfutamán  való részvételre</t>
  </si>
  <si>
    <t xml:space="preserve"> - THAC-nak - Hernádi László autóversenyző támogatása</t>
  </si>
  <si>
    <t xml:space="preserve"> - Schwáb és Társa Kft.-nek Sipos Zoltán Tata képek című albumkiállítás támogatására</t>
  </si>
  <si>
    <t xml:space="preserve"> - THAC-nak - NB1-ben való szereplés támogatása, kézilabda csapat</t>
  </si>
  <si>
    <t xml:space="preserve"> - Mozgáskorlátozottak KEM szervezete - Közüzemi költségek fedezetére</t>
  </si>
  <si>
    <t xml:space="preserve"> - Agostyáni Kulturális Egyesület részére idősek napja Agostyán városrészben</t>
  </si>
  <si>
    <t xml:space="preserve"> - Tatai-Tóvárosi Szent Imre Pélbániának a nyári gyermektáborra</t>
  </si>
  <si>
    <t xml:space="preserve"> - Tatabányai Megyei Jogú Város Jászai Mari Színház részére az Ifjúsági Tata Kártyával rendelkező 200 fő nappali tagozatos hallgató bérletére</t>
  </si>
  <si>
    <t>Helyi közösségi közlekedés támogatása a Vértes Volán Zrt.-nek</t>
  </si>
  <si>
    <t>Vértes Volán Zrt.-nek 144/2011. (IV.27.) sz. határozat szerint veszteségrendezésre</t>
  </si>
  <si>
    <t>Általános iskolák alsó tagozatos tanulóinak az iskolatej programjához a Tatai Kistérségi Többcélú Társulásnak 413/2011.(IX.29.) Tata Kt. határozat</t>
  </si>
  <si>
    <t>Tatai Kenderke Néptáncegyesületnek a 12. Tatai Sokadalom költségvetési hiányának fedezetéül 425/2011.(IX.29.) Tata Kt. határozat</t>
  </si>
  <si>
    <t>Rákóczi Szövetség támogatása a szövetség beiratkozási ösztöndíj programjához 319/2011.(VI.29.) Tata Kt. határozat</t>
  </si>
  <si>
    <t>Gasztro Kristály Zrt., Városi kitüntetés</t>
  </si>
  <si>
    <t>Városi Kitűntetés -Petre Cukrászda</t>
  </si>
  <si>
    <t>Pötörke Népművészeti Egyesületnek</t>
  </si>
  <si>
    <t>Összesen:</t>
  </si>
  <si>
    <t>Felhalmozási célú pénzeszközátadások és támogatások:</t>
  </si>
  <si>
    <t>Vissza nem térítendő kamatmentes támogatás</t>
  </si>
  <si>
    <t>Vértes Volán Zrt.-nek 353/2010 (XI.24.)</t>
  </si>
  <si>
    <t>Keszthelyi u. 10. THK részére bankgaranciából</t>
  </si>
  <si>
    <t>Polgárdi Önkormányzatnak</t>
  </si>
  <si>
    <t>Közműfejlesztési hozzájárulás</t>
  </si>
  <si>
    <t>Lakossági közműfejlesztési hozzájárulás</t>
  </si>
  <si>
    <t>THAC-nak 309/2011.(VI.29.) Tata Kt. határozata</t>
  </si>
  <si>
    <t>Tatai Televízió támogatása 412/2011.(IX.29.) Tata Kt. határozata</t>
  </si>
  <si>
    <t>Felhalmozási célú pénzeszközátadások és támogatások kötvényforrás terhére:</t>
  </si>
  <si>
    <t>Értékvédelmi alap 355/2010. (XI.24.)</t>
  </si>
  <si>
    <t>Összefogás az energiahatékonyság jegyében a tatai kistérségben pályázat önereje</t>
  </si>
  <si>
    <t>Május 1. u. körforgalmi csomópont feladatra az Útpénztárnak 429/2011.(IX.29.) Tata Kt. határozata</t>
  </si>
  <si>
    <t>Panel Programra 231/2008 (VIII.28.), 346/2009 (IX.30.), 498/2009 (XII.22.)</t>
  </si>
  <si>
    <t>Öko programra 230/2008 (VIII.28.), 143/2009 (V.27.), 109/2010 (XII.15.)</t>
  </si>
  <si>
    <t>NEP pályázatra 14/2008 (III.28.)</t>
  </si>
  <si>
    <t>ZBR pályázatra</t>
  </si>
  <si>
    <t>Tatai Városgazda Nonprofit Kft.-nek telephely kialakításnak befejezésére 402/2010 (XII.15.), 401/2011.(IX.29.) Tata Kt. határozata</t>
  </si>
  <si>
    <t>Tatai Távhőnek a rendszer biztonságos működésével kapcsolatos felújításokra</t>
  </si>
  <si>
    <t>Közlekedésbiztonsági kis költségű beavatkozások pályázathoz az Útpénztárnak</t>
  </si>
  <si>
    <t>Közlekedésbiztonsági tervezések pályázathoz az Útpénztárnak</t>
  </si>
  <si>
    <t>Tatai Kistérségi Idősek Otthona TIOP pályázat önerőre</t>
  </si>
  <si>
    <t>Fényes fasori Idősek Otthona bővítéshez Kistérségi Többcélú Társulás részére</t>
  </si>
  <si>
    <t xml:space="preserve">Tata Város Polgármesteri Hivatal </t>
  </si>
  <si>
    <t>támogatásértékű bevételei és államháztartáson kívülről átvett pénzeszközeinek</t>
  </si>
  <si>
    <t>2011. évi alakulása (E Ft-ban)</t>
  </si>
  <si>
    <t>Munkaügyi Központtól közfoglalkoztatásra</t>
  </si>
  <si>
    <t>Tatai Kistérségi Többcélú Társulástól</t>
  </si>
  <si>
    <t>Jelzőrendszeres házi segítségnyújtás</t>
  </si>
  <si>
    <t>Támogatószolgálat</t>
  </si>
  <si>
    <t>Közösségi ellátás</t>
  </si>
  <si>
    <t>Tardos Önkormányzattól általános iskola működésére</t>
  </si>
  <si>
    <t>Kisebbségi Önkormányzatok általános támogatása</t>
  </si>
  <si>
    <t>Kisebbségi elektor választásra</t>
  </si>
  <si>
    <t>Tata Város Önkormányzattól tatai Kisebbségi Önkormányzatok támogatása</t>
  </si>
  <si>
    <t>2010. évi CLXIX törvény alapján támogatás</t>
  </si>
  <si>
    <t>Rendszeres gyermekvédelmi támogatás</t>
  </si>
  <si>
    <t>KEM-i Német Kisebbségi Önkormányzattól a Tatai Német Kisebbségi Önkormányzatnak</t>
  </si>
  <si>
    <t>Népszámlálásra</t>
  </si>
  <si>
    <t>Nemzeti Erőforrás Minisztérium Szabadidő Sportfesztiválok Tatán SPO-SE 2009/276</t>
  </si>
  <si>
    <t>Sportfesztiválok Tatán, a Wesselényi Alaptól SPO-SE-10</t>
  </si>
  <si>
    <t>Nemzeti Erőforrás KAB-KEF 09-A/0003</t>
  </si>
  <si>
    <t>Kistérségtől - Német Kisebbségi Önkormányzatnak</t>
  </si>
  <si>
    <t>TIOP pályázatokra</t>
  </si>
  <si>
    <t>Támogatás értékű felhalmozási célú bevételek</t>
  </si>
  <si>
    <t>ÁROP Hivatal szervezetfejlesztése ÁROP-1.A.2./A-2008-0087</t>
  </si>
  <si>
    <t>Intézmények energiaracionalizálása KEOP-5.1.0-2008-0037</t>
  </si>
  <si>
    <t>Kossuth tér rehabilitációja</t>
  </si>
  <si>
    <t>Kocsi u. - Dózsa Gy. u. kerékpárút pályázat KDOP-4.2.2-09-2009-0003</t>
  </si>
  <si>
    <t>Gondoskodó Kistérség KDOP-5.2.2/A-09-2009-0006</t>
  </si>
  <si>
    <t>Új u.-i Bölcsőde bővítése projekt KDOP-5.2.2/B-09-2009-0004</t>
  </si>
  <si>
    <t>Által-ér Völgyi kerékpárút</t>
  </si>
  <si>
    <t>Bartók B. u 1. (2557/22 hrsz) ingatlan tulajdonjogának megvonása miatti kártalanítás</t>
  </si>
  <si>
    <t>Által-ér Völgyi kerékpárút projektre Tatabánya és Vértesszőlős Önkormányzatoktól</t>
  </si>
  <si>
    <t>Bartók Béla Óvoda bővítése projekt</t>
  </si>
  <si>
    <t>Működési célra átvett pénzeszközök államháztartáson kívülről</t>
  </si>
  <si>
    <t>2010. évi "Rend és iskola" konferencia pályázati támogatása</t>
  </si>
  <si>
    <t>HU-SK 09/01-0074 pályázat</t>
  </si>
  <si>
    <t>HU-SK 08/01-0188</t>
  </si>
  <si>
    <t>Európai Bizottság - "Interaktív generációk" rendezvény sorozat</t>
  </si>
  <si>
    <t>Országos Foglalkoztatás Közalapítványtól 3 fő foglalkoztatás szervező alkalmazására</t>
  </si>
  <si>
    <t>Montebelluna (testvérvárosi feladatokra)</t>
  </si>
  <si>
    <t>Felhalmozási célra átvett pénzeszközök államháztartáson kívülről</t>
  </si>
  <si>
    <t>Befejezett viziközmű társulatoktól átvett</t>
  </si>
  <si>
    <t>Keszthelyi u. 10. THK garanciális felújításaira</t>
  </si>
  <si>
    <t>1510-es emlékmű pályázati támogatása Képző- és Iparművészeti Lektorátustól</t>
  </si>
  <si>
    <t>Újhegyi közműfejlesztési hozzájárulás (áthúzódó)</t>
  </si>
  <si>
    <t>Önkormányzati költségvetési szervek engedélyezett álláshelyeinek száma</t>
  </si>
  <si>
    <t>Költségvetési szervek megnevezése</t>
  </si>
  <si>
    <t>Engedélyezett létszám (fő)</t>
  </si>
  <si>
    <r>
      <t xml:space="preserve">Teljesítés                                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átlagos statisztikai állományi létszám 2011.01.01.-2011.12.31.)</t>
    </r>
  </si>
  <si>
    <t>Fürdő utcai Óvoda</t>
  </si>
  <si>
    <t>Kálvária utcai Óvoda</t>
  </si>
  <si>
    <t>Szivárvány Óvoda</t>
  </si>
  <si>
    <t>Geszti Óvoda</t>
  </si>
  <si>
    <t>Bartók B. úti Óvoda</t>
  </si>
  <si>
    <t>Kertvárosi Óvoda</t>
  </si>
  <si>
    <t>Kincseskert Óvoda</t>
  </si>
  <si>
    <t>Bergengócia Óvoda</t>
  </si>
  <si>
    <t>Csillagsziget Bölcsőde</t>
  </si>
  <si>
    <t>Kőkúti Általános Iskola</t>
  </si>
  <si>
    <t>Fazekas u. Tagintézmény</t>
  </si>
  <si>
    <t>Vaszary János Általános Iskola</t>
  </si>
  <si>
    <t>Vaszary János Általános Iskola - Jázmin tagintézmény</t>
  </si>
  <si>
    <t>Vaszary János Általános Iskola - Tardos tagintézmény</t>
  </si>
  <si>
    <t>Menner B. Zeneiskola</t>
  </si>
  <si>
    <t>Móricz Zsigmond Könyvtár</t>
  </si>
  <si>
    <t>Szociális Alapellátó Intézmény</t>
  </si>
  <si>
    <t xml:space="preserve">Intézmények Gazdasági Hivatala </t>
  </si>
  <si>
    <t>Intézmények Gazdasági Hivatala összesen</t>
  </si>
  <si>
    <t>Városi Önkormányzat Intézmények összesen:</t>
  </si>
  <si>
    <t>Polgármesteri Hivatal:</t>
  </si>
  <si>
    <t xml:space="preserve"> - köztisztviselők, ügyintézők</t>
  </si>
  <si>
    <t xml:space="preserve"> - választott tisztségviselő</t>
  </si>
  <si>
    <t xml:space="preserve"> - Közterület-felügyelet (önállóan működő)</t>
  </si>
  <si>
    <t>Közfoglalkoztatottak éves létszám-erőirányzata</t>
  </si>
  <si>
    <t>Átlag létszám (fő)</t>
  </si>
  <si>
    <t>Hosszabb időtartamú közfogalalkoztatás</t>
  </si>
  <si>
    <t>Rövid időtartamú közfoglalkoztatás</t>
  </si>
  <si>
    <t xml:space="preserve">Német Kisebbségi Önkormányzat </t>
  </si>
  <si>
    <t>2011. évi</t>
  </si>
  <si>
    <t xml:space="preserve"> </t>
  </si>
  <si>
    <t xml:space="preserve">Megnevezés </t>
  </si>
  <si>
    <t>Sorszám</t>
  </si>
  <si>
    <t>Módosított előirányzat</t>
  </si>
  <si>
    <t>Egyéb folyó kiadások</t>
  </si>
  <si>
    <t>Egyéb dologi kiadások</t>
  </si>
  <si>
    <t>Dologi kiadások és egyéb folyó kiadások</t>
  </si>
  <si>
    <t>Működési költségvetés kiadásai</t>
  </si>
  <si>
    <t>Helyi kisebbségi önkormányzatok kiadásai összesen</t>
  </si>
  <si>
    <t>Működési célú támogatásértékű bevétel központi költségv.szervtől</t>
  </si>
  <si>
    <t>Működési célú támogatásértékű bevétel helyi önkormányzattól</t>
  </si>
  <si>
    <t>Működési célú támgatásértkű bevétel többcélú kistérségi társulástól</t>
  </si>
  <si>
    <t>Helyi kisebbségi önkormányzatok bevételei összesen</t>
  </si>
  <si>
    <t>2011.évi pénzmaradvány</t>
  </si>
  <si>
    <t>Nyitó pénzkészlet 2011.01.01.</t>
  </si>
  <si>
    <t>Bevétel összesen</t>
  </si>
  <si>
    <t>Előző évi pénzmaradvány(pénzforg.nélk.bev.)</t>
  </si>
  <si>
    <t>Kiadás összesen</t>
  </si>
  <si>
    <t>Záró pénzkészlet 2011.12.31.</t>
  </si>
  <si>
    <t>Kiegyenlítő,függő,átfutó kiadás</t>
  </si>
  <si>
    <t>Kiegyenlítő,függő,átfutó bevétel</t>
  </si>
  <si>
    <t>2011.évi pénzmaradvány összesen:</t>
  </si>
  <si>
    <t>Helyi kisebbségi önkormányzatok kiadásai összesen(9+10+11)</t>
  </si>
  <si>
    <t>2011. évi pénzmaradvány</t>
  </si>
  <si>
    <t>Kiegyenlitő,függő</t>
  </si>
  <si>
    <t>függö,átfutó bevétel</t>
  </si>
  <si>
    <t>2011. évi pénzmaradvány összesen:</t>
  </si>
  <si>
    <r>
      <t xml:space="preserve">                                            </t>
    </r>
    <r>
      <rPr>
        <b/>
        <sz val="10"/>
        <rFont val="Times New Roman"/>
        <family val="1"/>
      </rPr>
      <t xml:space="preserve">                </t>
    </r>
  </si>
  <si>
    <t xml:space="preserve">            2011. évi</t>
  </si>
  <si>
    <t xml:space="preserve">  </t>
  </si>
  <si>
    <t xml:space="preserve">Működési költségvetés kiadásai </t>
  </si>
  <si>
    <t>Helyi kisebbségi önkormányzatok kiadásai összesen)</t>
  </si>
  <si>
    <t>Működési célú támogatásértékű bevétel központi költségv. szervtől</t>
  </si>
  <si>
    <t>2011. évi pénzmaradvány:</t>
  </si>
  <si>
    <t>Összesítő táblázat</t>
  </si>
  <si>
    <t>Helyi kisebbségi önkormányzatok kiadásai összese</t>
  </si>
  <si>
    <t>Működési célú támogatásértékű bevétel többc.kistérs.társulástól</t>
  </si>
  <si>
    <t xml:space="preserve"> E Ft</t>
  </si>
  <si>
    <t xml:space="preserve"> Kötvénykibocsátásból rendelkezésre álló fejlesztési forrás felhasználás (E Ft-ban)</t>
  </si>
  <si>
    <t>2008. évben kibocsátott kötvény</t>
  </si>
  <si>
    <t>Kötvénykibocsátásból bevétel:</t>
  </si>
  <si>
    <t xml:space="preserve">Előző évi pénzmaradvány </t>
  </si>
  <si>
    <t>Pénzmaradványból Gondoskodó kistérség elkülönített számláról</t>
  </si>
  <si>
    <t>Pénzmaradványból Új u.-i Bölcsőde bővítése elkülönített számláról</t>
  </si>
  <si>
    <t>Pénzügyi befektetés (kötvényből) kamata</t>
  </si>
  <si>
    <t>Rendszerhiba miatti dupla terhelés jóváírása (Kocsi u.-Dózsa Gy.u. Kerékpárút)</t>
  </si>
  <si>
    <t>Támogatásértékű felhalmozási célú bevételek:</t>
  </si>
  <si>
    <t>Angol park rehabilitációja KDOP-2.1.1/B-2f-2009-0002</t>
  </si>
  <si>
    <t>Bartók Béla úti óvoda bővítése pályázat</t>
  </si>
  <si>
    <t>Diófa út korszerűsítése</t>
  </si>
  <si>
    <t>Angol park rehabilitációja pályázat projektmenedzsment díja</t>
  </si>
  <si>
    <t>Kötvénykibocsátásból tervezett kiadások</t>
  </si>
  <si>
    <t>Kötvény után fizetendő kamat</t>
  </si>
  <si>
    <t>Megbízási szerződés szerint fizetendő díj (Budapest Priv-Invest Kft-nek)</t>
  </si>
  <si>
    <t>Beruházási feladatok 2011.évi:</t>
  </si>
  <si>
    <t>Kocsi u. - Dózsa Gy. u. kerékpárút kerékpárút 315-316./2010. (IX.22.), 348/2010.(X.27)</t>
  </si>
  <si>
    <t>Kocsi u. 4. Ingatlan vételár rész 8/2 hrsz.</t>
  </si>
  <si>
    <t>Piac téri útkorszerűsítés Önkormányzati rész</t>
  </si>
  <si>
    <t>Kastély kertben található támfal (1850/9 hrsz.) helyreállítás</t>
  </si>
  <si>
    <t>Mindszenty téri lakásokban kazáncsere (32 db) és kéménybélés</t>
  </si>
  <si>
    <t>Fényes Fasori Idősek Otthona bővítés</t>
  </si>
  <si>
    <t>Egyéb kisajátítási eljárások (József A. u., Ady E. u., Akácfa u., Kert u.)</t>
  </si>
  <si>
    <t>Fazekas u. 9-10-11 parkolók</t>
  </si>
  <si>
    <t>Kossuth tér rehabilitációja 277/2010.(VIII.18.)</t>
  </si>
  <si>
    <t>KÖZOP - 3.2.0/C, KDOP - 2.1.1, KDOP - 3.1.1/A pályázatokra a 109/2011. (III.30.) sz. határozat alapján</t>
  </si>
  <si>
    <t>Tatai Városgazda Nonprofit Kft. új telephelyének vízellátására és szennyvízelvezetésére</t>
  </si>
  <si>
    <t>Felújítás 2011. évi:</t>
  </si>
  <si>
    <t>Talentum Iskola szennyvízvezeték</t>
  </si>
  <si>
    <t>Rákóczi út 9. homlokzat felújítása</t>
  </si>
  <si>
    <t>Kocsi úti temetőben ravatalozó felújítás</t>
  </si>
  <si>
    <t>Környei úti temetőben ravatalozó előtér felújítás</t>
  </si>
  <si>
    <t>Polgármesteri Hivatal épületében kézi irattár</t>
  </si>
  <si>
    <t>Vaszary Villa állagmegovó munkái</t>
  </si>
  <si>
    <t>Bérlakás felújítások</t>
  </si>
  <si>
    <t>Felhalmozási célú pénzeszközátadások és támogatások</t>
  </si>
  <si>
    <t>Panel Programra 231/2008 (VIII. 28.), 246/2009 (IX.30.), 498/2009 (XII.22.)</t>
  </si>
  <si>
    <t xml:space="preserve">Május 1. Út körforgalmi csomópont feladatra az útpénztárnak </t>
  </si>
  <si>
    <t>Tatai Városgazda Nonprofit Kft-nek telephely kialakításának befejezésére 402/2010.(XII.15.)</t>
  </si>
  <si>
    <t xml:space="preserve">Tatai Távhőnek a rendszer biztonságos működésével kapcsolatos felújításokra </t>
  </si>
  <si>
    <t>Közlekedésbiztonsági kisköltségű beavatkozások pályázathoz az útpénztárnak</t>
  </si>
  <si>
    <t>Tatai Kistérségi Többcélú Társulásnak az intézmény-felújítás tervezési költségére</t>
  </si>
  <si>
    <t>Átvezetés felhalmozási tartalékba (16/2011.(V.02.)sz. határozat alapján)</t>
  </si>
  <si>
    <t>Gondoskodó Kistérség pályázat-projektmenedzsment megbízási díj (személyi 2.260 E Ft, járulék 549 E Ft)</t>
  </si>
  <si>
    <t>Új úti Bölcsöde bővítése projekt-menedzsment megbízási díj (személyi 777 E Ft, járulék 189 E Ft)</t>
  </si>
  <si>
    <t>Árfolyam különbség</t>
  </si>
  <si>
    <t>Pénzügyi szolgáltatás(számlavezetési díj,kivonat ktg. terhelés,jutalék terhelés)</t>
  </si>
  <si>
    <t>Felhasználási javaslat  összege a 2011. évi költségvetésben:</t>
  </si>
  <si>
    <t>Kötvényforrás tartaléka:</t>
  </si>
  <si>
    <t xml:space="preserve">Tata Város Önkormányzat Képviselő-testületének 569/2011.(XII.1.) Tata Kt. határozata a kötvénykibocsátásról Tata Város Önkormányzat Képviselő-testülete az Önkormányzat 1 000 000 E Ft értékben kibocsátani szándékozott kötvényekkel kapcsolatosan elfogadott </t>
  </si>
  <si>
    <t>Tervezett kötvény kibocsátás, felhasználás</t>
  </si>
  <si>
    <t>Zárolt</t>
  </si>
  <si>
    <t>Szabad</t>
  </si>
  <si>
    <t>Megnevezés:</t>
  </si>
  <si>
    <t>Mód. (XII.14)</t>
  </si>
  <si>
    <t>Mód. (II.15.)</t>
  </si>
  <si>
    <t>Hitelfelvétel, kötvénykibocsátás</t>
  </si>
  <si>
    <t>Támogatásértékű felhalmozási célú bevétel</t>
  </si>
  <si>
    <t>Által-ér völgyi kerékpárút</t>
  </si>
  <si>
    <t>Pénzmaradványból Angolpark rehabilitációja elkülönített számláról</t>
  </si>
  <si>
    <t>Új kötvénykibocsátásból tervezett kiadások</t>
  </si>
  <si>
    <t>Mód.(XII.14.)</t>
  </si>
  <si>
    <t>Által-ér völgyi kerékpárút KÖZOP-2008-3.2 216/2010.(VI.31.)</t>
  </si>
  <si>
    <t>Felújítási feladatok 2011. évi</t>
  </si>
  <si>
    <t>Fényes-fürdő területén épületek felújítása</t>
  </si>
  <si>
    <t>Panel Program 231/2008.(VIII.28.), 246/2009.(IX.30.), 498/2009.(XII.22.)</t>
  </si>
  <si>
    <t>Öko program 230/2008.(VIII.28.), 143/2009.(V.27.), 109/2010.(XII.15.)</t>
  </si>
  <si>
    <t>Közlekedésbiztonsági tervezések pályázathoz az útpénztárnak</t>
  </si>
  <si>
    <t>Tatai Kistérségi Idősek Otthona TIOP pályázat önerőre 243/2008.(VIII.28.)</t>
  </si>
  <si>
    <t>Angolpark rehabilitációja pályázat - projekt menedzsment díja (személyi juttatás 416 E Ft, járulék 101 E Ft)</t>
  </si>
  <si>
    <t xml:space="preserve">Több éves kihatással járó döntések </t>
  </si>
  <si>
    <t xml:space="preserve">                 Kötvénykibocsátás és hitelek 2011. december 31-én (E-Ft ban)</t>
  </si>
  <si>
    <t>Szerződő bank, illetve egyéb szervezet</t>
  </si>
  <si>
    <t>Hitelfelvétel</t>
  </si>
  <si>
    <t>Lejárat éve</t>
  </si>
  <si>
    <t>2011. évi nyitó állomány (értékelés után)</t>
  </si>
  <si>
    <t>2011. évi hitel törlesztés    (12.31-ig)</t>
  </si>
  <si>
    <t>2011.  12.31-i hitel és kötvény állomány</t>
  </si>
  <si>
    <t>2011. évi záró állomány (értékelés után)</t>
  </si>
  <si>
    <t>2012. évi törlesztő részlet</t>
  </si>
  <si>
    <t>éve</t>
  </si>
  <si>
    <t>összege</t>
  </si>
  <si>
    <t>Agostyáni Víziközmű Társulat (megszűnt)</t>
  </si>
  <si>
    <t>MTB. Zrt.</t>
  </si>
  <si>
    <t>Fejlesztési hitel kisbusz vásárlásához</t>
  </si>
  <si>
    <t>Bp. Autófin. Zrt.</t>
  </si>
  <si>
    <t>Hosszú lejáratú fejlesztési hitel (felhalmozási hiány fedezetére)</t>
  </si>
  <si>
    <t>Hitelek összesen</t>
  </si>
  <si>
    <t>Fejlesztési célú kötvénykibocsátás</t>
  </si>
  <si>
    <t>MTB Zrt.</t>
  </si>
  <si>
    <t>Hosszú lejáratú hitelek és kötvény</t>
  </si>
  <si>
    <t xml:space="preserve"> Több éves kihatással járó beruházási és felújítási feladatok (E Ft)</t>
  </si>
  <si>
    <t>Feladat megnevezése</t>
  </si>
  <si>
    <t>Várható befejezés</t>
  </si>
  <si>
    <t>Bekerülési költség a 2011. évi eredeti költségvetés szerint</t>
  </si>
  <si>
    <t>Előző években kifizetett összeg</t>
  </si>
  <si>
    <t>2011. évre eredetileg tervezett kifizetés összege</t>
  </si>
  <si>
    <t>2011. évi teljesítés</t>
  </si>
  <si>
    <t>Angolpark rehabilitációja</t>
  </si>
  <si>
    <t>Kocsi u. - Dósza Gy. u. kerékpárút</t>
  </si>
  <si>
    <t>Új u-i Bölcsőde kapacitásbővítés</t>
  </si>
  <si>
    <t>Gondoskodó kistérség, szociális alapellátások fejlesztése</t>
  </si>
  <si>
    <t>Jázmin u. 22-24 ingatlanok vásárlása</t>
  </si>
  <si>
    <t>Hivatal szervezetfejlesztése ÁROP, pénzügyi program beszerzése</t>
  </si>
  <si>
    <t>Kocsi u. 4. ingatlan vételár</t>
  </si>
  <si>
    <t>Tata Város Önkormányzata</t>
  </si>
  <si>
    <t>Közvetett támogatások 2011. évi összege (E Ft-ban)</t>
  </si>
  <si>
    <t>1. Helyi adók, gépjárműadó:</t>
  </si>
  <si>
    <t>Önkormányzati döntés alapján (I-III)</t>
  </si>
  <si>
    <t>I. Adóelengedés</t>
  </si>
  <si>
    <t>1.) Építményadó:</t>
  </si>
  <si>
    <t xml:space="preserve"> - jövedelemhez kötött mentesség</t>
  </si>
  <si>
    <t xml:space="preserve"> - lakás célú 30 m2 alatti zártkerti építmény</t>
  </si>
  <si>
    <t>2.) Iparűzési adó:</t>
  </si>
  <si>
    <t xml:space="preserve"> - 2,5 M Ft alatti vállalkozási szintű adóalap</t>
  </si>
  <si>
    <t>Adóelengedés összesen:</t>
  </si>
  <si>
    <t>II. Adókedvezmény</t>
  </si>
  <si>
    <t xml:space="preserve"> - üdülő lakás adómértékkel</t>
  </si>
  <si>
    <t>Adókedvezmény összesen:</t>
  </si>
  <si>
    <t>III. Méltányossági eljárás keretében nyújtott adó,- pótlék,- és bírság elengedés, valamint fizetési könnyítés részletfizetésre, fizetési halasztásra vonatkozóan:</t>
  </si>
  <si>
    <t xml:space="preserve">Adóelengedés: </t>
  </si>
  <si>
    <r>
      <t>Részletfizetési kedvezmény:</t>
    </r>
    <r>
      <rPr>
        <sz val="10"/>
        <rFont val="Times New Roman CE"/>
        <family val="1"/>
      </rPr>
      <t xml:space="preserve"> </t>
    </r>
  </si>
  <si>
    <t xml:space="preserve"> - építményadó</t>
  </si>
  <si>
    <t xml:space="preserve"> - telekadó</t>
  </si>
  <si>
    <t xml:space="preserve"> - iparűzési adó</t>
  </si>
  <si>
    <t xml:space="preserve"> - gépjárműadó</t>
  </si>
  <si>
    <t xml:space="preserve"> - késedelmi pótlék, bírság</t>
  </si>
  <si>
    <t xml:space="preserve"> - bírság</t>
  </si>
  <si>
    <t xml:space="preserve"> - talajterhelési díj</t>
  </si>
  <si>
    <t>Részletfizetési kedvezmény összesen:</t>
  </si>
  <si>
    <t xml:space="preserve">Fizetési halasztás: </t>
  </si>
  <si>
    <t>- bírság</t>
  </si>
  <si>
    <t>- talajterhelési díj</t>
  </si>
  <si>
    <t>Fizetési halasztás összesen:</t>
  </si>
  <si>
    <t>1.Összes közvetett támogatás helyi adóknál és gépjárműadónál:</t>
  </si>
  <si>
    <t>2. Ellátottak térítési díjának, ingyenes és kedvezményes étkeztetés méltányossági elengedése, intézményeknél:</t>
  </si>
  <si>
    <t>3. Lakossági lakásfelújítási kölcsönök elengedésének várható összege:</t>
  </si>
  <si>
    <t>4. Ingatlan hasznosításból származó bevételből nyújtott kedvezmény, mentesség:</t>
  </si>
  <si>
    <t>5. Egyéb nyújtott kedvezmény vagy kölcsön elengedésének összege</t>
  </si>
  <si>
    <t>-Tatai Távhőszolgáltató Kft.</t>
  </si>
  <si>
    <t>-Munkáltató kölcsön elengedés</t>
  </si>
  <si>
    <t>Összes közvetett támogatás:</t>
  </si>
  <si>
    <t>Tata Város Önkormányzatának Európai uniós támogatással megvalósuló projektjei (E Ft-ban)</t>
  </si>
  <si>
    <t>EU-s projekt neve, azonosítója:</t>
  </si>
  <si>
    <t>A tatai Angolpark rehabilitációja, KDOP-2007-2.1.1./B</t>
  </si>
  <si>
    <t>Támogatási szerződés kötés időpontja:</t>
  </si>
  <si>
    <t>Megvalósítás tervezett ideje:</t>
  </si>
  <si>
    <t>2009-2012</t>
  </si>
  <si>
    <t>Források</t>
  </si>
  <si>
    <t>ebből 2011-ben teljesítve:</t>
  </si>
  <si>
    <t>Saját erő, az el nem számolható költségekkel együtt:</t>
  </si>
  <si>
    <t xml:space="preserve"> - saját erőből központi támogatás</t>
  </si>
  <si>
    <t>EU-s forrás a benyújtott pályázat szerint:</t>
  </si>
  <si>
    <t>Kiadások összesen:</t>
  </si>
  <si>
    <t>Tatai Polgármesteri Hivatal szervezetfejlesztése ÁROP-1.A.2/A-2008-0087</t>
  </si>
  <si>
    <t>2009. február 20.</t>
  </si>
  <si>
    <t>2009-2011</t>
  </si>
  <si>
    <t>-</t>
  </si>
  <si>
    <t>A tatai Bartók Béla óvoda bővítése a költséghatékony, személyiségközpontú ellátás érdekében KDOP-5.1.1/2F-2f-2009-0031</t>
  </si>
  <si>
    <t>2008-2010</t>
  </si>
  <si>
    <t>Komplex energiaracionalizálás Tata általános iskoláiban és óvodáiban KEOP-5.1.0-2008-0037</t>
  </si>
  <si>
    <t>2009-2010, a projekt záró elszámolása elfogadás alatt</t>
  </si>
  <si>
    <t>Tata Kocsi úti (8136. sz. orsz. közút) és Dózsa György utcai kerékpárút építése KDOP- 4.2.2-09-2009-0003</t>
  </si>
  <si>
    <t>2010. május 4.</t>
  </si>
  <si>
    <t>Kossuth tér városközpont értékmegőrző rehabilitációja KDOP–3.1.1/A–09-1f-2010-0001</t>
  </si>
  <si>
    <t>Támogatási szerződés megkötése folyamatban</t>
  </si>
  <si>
    <t>2012-2013</t>
  </si>
  <si>
    <t>A tatai Új úti Bölcsőde kapacitásbővítése és minőségi fejlesztése KDOP-5.2.2/B-09-2009-0004</t>
  </si>
  <si>
    <t>2010. augusztus 3.</t>
  </si>
  <si>
    <t>2011, a projekt záró elszámolásai elfogadás alatt</t>
  </si>
  <si>
    <t>Eu-s forrás a benyújtott pályázat szerint:</t>
  </si>
  <si>
    <t>Gondoskodó Kistérség, szociális alapellátások minőségi fejlesztése KDOP-5.2.2/A-09-2009-0006</t>
  </si>
  <si>
    <t>2010. augusztus 5.</t>
  </si>
  <si>
    <t>2010-2012</t>
  </si>
  <si>
    <t>Tatabánya-Vértesszőlős-Tata településeket összekötő közlekedési célú kerékpárút építése az Általér mentén KÖZOP–3.2.0/c-08-2010-0003</t>
  </si>
  <si>
    <t>Saját erő:</t>
  </si>
  <si>
    <t>Informatikai infrastruktúra -fejlesztés a tatai általános iskolákban és Az intelligens iskola modell infrastrukturális hátterének kialakítása Tardoson TIOP-1.1.1-07/1-2008-0525 és TIOP-1.1.1-07/1-2008-1096</t>
  </si>
  <si>
    <t>Tata, Baji út és a kertváros kerékpáros forgalmának komplex rendezése KDOP- 4.2.2-11-2011-0008</t>
  </si>
  <si>
    <t>Támogatási szerződés kötés várható időpontja:</t>
  </si>
  <si>
    <t>Folyamatban</t>
  </si>
  <si>
    <t>Települési vízrendezés fejlesztése Tatán Helyszín: Tata, József Attila utca KDOP – 4.1.1/E-2011.</t>
  </si>
  <si>
    <t>Elutasítva</t>
  </si>
  <si>
    <t>Kőfaragó-ház fejlesztési projekt Turisztikai vonzerők felújítása, közös termékek és kapcsolódó desztináció-menedzsment szervek fejlesztése, infrastruktúra felállítása HUSK/1101/1.3.1</t>
  </si>
  <si>
    <t>Víz, hulladék és megújuló energia rendszerek és technológiák fejlesztése, Újhegyi vízfolyás HUSK/1101/2.1.1</t>
  </si>
  <si>
    <t>Megújuló energia projekt, helyszín: Kőkúti Általános Iskola HUSK/1101/2.1.1</t>
  </si>
  <si>
    <t>Öreg-tavi Ökoturisztikai Központ kialakítása a csatlakozó kerékpárutak felújításával Tatán és a tematikus aktív turisztikai fejlesztések a kistérségben KDOP–2.1.1/B–09-2010-0002</t>
  </si>
  <si>
    <t>Támogatási szerződés megkötve</t>
  </si>
  <si>
    <t>Természetes vizes élőhely kialakítása a tatai Réti 8-as tó  rehabilitációjával KEOP–7.3.1.2/09-11-2011-0023</t>
  </si>
  <si>
    <t>2012-2014</t>
  </si>
  <si>
    <t>Intermodális közösségi közlekedési központ létrehozása Tatán KÖZOP–5.5.0-09-11-2011-0010</t>
  </si>
  <si>
    <t>Folyamatban, tartalékos listán</t>
  </si>
  <si>
    <t xml:space="preserve">Önkormányzati intézményekbe Napelemes rendszer telepítése KEOP – 4.2.0/A </t>
  </si>
  <si>
    <t xml:space="preserve">Eötvös Gimnázium energiaracionalizálása KEOP – 4.9.0 </t>
  </si>
  <si>
    <t>Művelődési Ház energiaracionalizálása KEOP - 4.9.0</t>
  </si>
  <si>
    <t>TUDÁSDEPÓ EXPRESSZ A Könyvtári hálózat nem formális és informális képzési szerepének erősítése az élethosstig tartó tanulás érdekében- Könyvtárhasználók igényeinek hatékonyabb kielégítését szolgáló fejlesztés TÁMOP-3.2.4-08/1-2009-0047 MÓRICZ ZSIGMOND VÁROSI KÖNYVTÁR</t>
  </si>
  <si>
    <t>2010. február 5.</t>
  </si>
  <si>
    <t>2012. február 28.</t>
  </si>
  <si>
    <t>Szabad utat a tehetségnek TÁMOP 3.4.3-08/2-2009-0140 (KŐKÚTI ÁLTALÁNOS ISKOLA ÉS VASZARY JÁNOS ÁLTALÁNOS ISKOLA KONZORCIUM)</t>
  </si>
  <si>
    <t>2010. június 9.</t>
  </si>
  <si>
    <t>2011. július 31.</t>
  </si>
  <si>
    <t>Könyvtárak közti együttműködési és IKT infrastrukturális fejlesztés a közoktatás támogatását és egyéb oktatási formák kiegészítését segítő, esélykiegyenlítő, helytől független hozzáférést is lehetővé tevő szolgáltatásokért - Tudásdepó Expressz TIOP-1.2.3-09/1-2009-0008 MÓRICZ ZSIGMOND VÁROSI KÖNYVTÁR</t>
  </si>
  <si>
    <t>2009. december 4.</t>
  </si>
  <si>
    <t>Önkormányzat adósságállományának évenkénti alakulása (E Ft)</t>
  </si>
  <si>
    <t>Adósságállomány törlesztő részlete a tárgyévet követő</t>
  </si>
  <si>
    <t>Hosszú lejáratú kötelezettségek</t>
  </si>
  <si>
    <t>1. évben</t>
  </si>
  <si>
    <t>2. évben</t>
  </si>
  <si>
    <t>3. évben</t>
  </si>
  <si>
    <t>4. évben</t>
  </si>
  <si>
    <t>5. évben</t>
  </si>
  <si>
    <t>6. és az követő években</t>
  </si>
  <si>
    <t>Tartozások fejlesztési célú, devizában  kibocsátott kötvényből</t>
  </si>
  <si>
    <t>ebből: svájci frankban kibocsátott kötvény</t>
  </si>
  <si>
    <t>Forintban felvett beruházási és fejlesztési hitelek</t>
  </si>
  <si>
    <t>Devizában  felvett beruházási és fejlesztési hitelek</t>
  </si>
  <si>
    <t>ebből: svájci frankban felvett hitel</t>
  </si>
  <si>
    <t>Egyéb hosszú lejáratú, forintban fennálló kötelezettségek</t>
  </si>
  <si>
    <t>Hosszú lejáratú, forintban fennálló kötelezettségek évenkénti törlesztő részletei összesen:</t>
  </si>
  <si>
    <t>Hosszú lejáratú, devizában fennálló kötelezettségek évenkénti törlesztő részletei összesen:</t>
  </si>
  <si>
    <t>ebből: svájci frankban fennálló kötelezettségek évenkénti törlesztő részletei összesen:</t>
  </si>
  <si>
    <t xml:space="preserve"> TATA VÁROS ÖNKORMÁNYZATA Normatív állami és a normatív részesedésű átengedett SZJA jogcímei és összegei</t>
  </si>
  <si>
    <t>Jogcímek megnevezése</t>
  </si>
  <si>
    <t>2011. ÉVI TERVEZETT</t>
  </si>
  <si>
    <t>2011. ÉVI TÉNYLEGES</t>
  </si>
  <si>
    <t>Különbözet</t>
  </si>
  <si>
    <t>Mutató</t>
  </si>
  <si>
    <t>Ft/mutató</t>
  </si>
  <si>
    <t>Összeg (Ft)</t>
  </si>
  <si>
    <t>Tényleges-tervezett (Ft)</t>
  </si>
  <si>
    <t>Normatív támogatások</t>
  </si>
  <si>
    <t>Települési önkormányzatok üzemeltetési, igazgatási, sport- és kulturális feladatai</t>
  </si>
  <si>
    <t>Lakott külterülettel kapcsolatos feladatok</t>
  </si>
  <si>
    <t>Körzeti igazgatási feladatok</t>
  </si>
  <si>
    <t>Üdülőhelyi feladatok</t>
  </si>
  <si>
    <t>Egyéb támogatások összesen</t>
  </si>
  <si>
    <t>Pénzbeli szociális juttatások</t>
  </si>
  <si>
    <t>Szoc. és gyermekjóléti alapsz. ált. fel.</t>
  </si>
  <si>
    <t>Szociális étkeztetés</t>
  </si>
  <si>
    <t>Időskorúak nappali ellátása (Petőfi u, Deák F.u.)</t>
  </si>
  <si>
    <t>Fogyatékos és demens személyek nappali intézményi ellátása (ÉNO)</t>
  </si>
  <si>
    <t>Hajléktalanok nappali intézményi ellátása</t>
  </si>
  <si>
    <t>Hajléktalanok átmeneti szállása, éjjeli menedékhely</t>
  </si>
  <si>
    <t>Szociális normatív támogatások összesen</t>
  </si>
  <si>
    <t>Bölcsödei ellátás</t>
  </si>
  <si>
    <t>Ingyenes bölcsödei étkeztetés</t>
  </si>
  <si>
    <t xml:space="preserve">Óvodai nevelés teljesítménymutató alapján </t>
  </si>
  <si>
    <t>Általános isk.oktatás teljesítménymutató alapján  I-IV.</t>
  </si>
  <si>
    <t>Általános isk.oktatás teljesítménymutató alapján V-VIII.</t>
  </si>
  <si>
    <t>Testi, érzékszervi, középsúlyos értelmi fogyatékos gyermekek óvodában</t>
  </si>
  <si>
    <t xml:space="preserve">Testi, érzékszervi, középsúlyos értelmi fogyatékos gyermekek isk. </t>
  </si>
  <si>
    <t>Beszédfogyatékos, enyhe értelmi fogyatékos gyermekek isk.</t>
  </si>
  <si>
    <t xml:space="preserve">Viselkedés fejlődésének organikus okokra vissza nem vez. tanulók </t>
  </si>
  <si>
    <t>Megismerő funkciók vagy viselkedés fejlődésének tartós rendellenessége m.</t>
  </si>
  <si>
    <t xml:space="preserve">Magántanuló orvosi igazolás alapján </t>
  </si>
  <si>
    <t>Alapfokú művészetoktatás, zeneművészeti ág 8 hónapra</t>
  </si>
  <si>
    <t>Alapfokú művészetoktatá, zeneművészeti ág  4 hónapra</t>
  </si>
  <si>
    <t>Alapfokú művészetoktatás képzőművészeti ág 8 hónapra</t>
  </si>
  <si>
    <t>Alapfokú művészetoktatás képzőművészeti ág  4 hónapra</t>
  </si>
  <si>
    <t>Óvodai kedvezményes étkeztetés</t>
  </si>
  <si>
    <t>Szervezett kedvezményes étkeztetés iskolában</t>
  </si>
  <si>
    <t xml:space="preserve">Általános iskolai napközis foglalkoztatás </t>
  </si>
  <si>
    <t>Minősített alapfokú művészeti oktatás zeneművészeti ágon 8 hónapra</t>
  </si>
  <si>
    <t>Minősített alapfokú művészeti oktatás képző- és iparművészeti ágon 8 hónapra</t>
  </si>
  <si>
    <t>Ingyenes tankönyv</t>
  </si>
  <si>
    <t>Nemzetiségi nyelvű, két tanítási nyelvű oktatás, nyelvi előkészítő oktatás</t>
  </si>
  <si>
    <t>Tagintézményi támogatás</t>
  </si>
  <si>
    <t>Szakmai, informatikai, fejlesztési feladatok támogatása</t>
  </si>
  <si>
    <t>Közoktatási normatíva összesen</t>
  </si>
  <si>
    <t>Normatív támogatások összesen</t>
  </si>
  <si>
    <t>Pedagógus továbbképzés és szakvizsga</t>
  </si>
  <si>
    <t>Pedagógiai szakszolgálat (Vaszary)</t>
  </si>
  <si>
    <t xml:space="preserve"> Szociális továbbképzés és szakvizsga</t>
  </si>
  <si>
    <t>Osztályfőnöki pótlék kiegészítése</t>
  </si>
  <si>
    <t>Gyógypedagógiai pótlék kiegészítése</t>
  </si>
  <si>
    <t>Normatív kötött támogatások összesen</t>
  </si>
  <si>
    <t>Normatív+kötött támogatások összesen</t>
  </si>
  <si>
    <t xml:space="preserve">SzJA átengedett 8 %     </t>
  </si>
  <si>
    <t>Évközi lemondás Kálvária Óvoda átadása végett</t>
  </si>
  <si>
    <t>ÁLLAMI TÁMOGATÁS ÉS SZJA MINDÖSSZESEN</t>
  </si>
  <si>
    <t xml:space="preserve">                                                                                        Önkormámyzati intézmények 2011. évi pénzügyi ellátottsága (E Ft-ban)</t>
  </si>
  <si>
    <t>Intézmények megnevezése</t>
  </si>
  <si>
    <t>Ellátottak átlagszáma (mutatószám)</t>
  </si>
  <si>
    <t xml:space="preserve">Működési kiadás </t>
  </si>
  <si>
    <t>1 ellátottra jutó kiadás (eFt/mutató)</t>
  </si>
  <si>
    <t>Intézmény saját bevétele</t>
  </si>
  <si>
    <t>Önkormányzat állami támogatása</t>
  </si>
  <si>
    <t>Önkormányzati támogatás (saját forrás)</t>
  </si>
  <si>
    <r>
      <t xml:space="preserve">1 főre jutó </t>
    </r>
    <r>
      <rPr>
        <b/>
        <u val="single"/>
        <sz val="10"/>
        <rFont val="Times New Roman"/>
        <family val="1"/>
      </rPr>
      <t>állami</t>
    </r>
    <r>
      <rPr>
        <b/>
        <sz val="10"/>
        <rFont val="Times New Roman"/>
        <family val="1"/>
      </rPr>
      <t xml:space="preserve"> támogatás</t>
    </r>
  </si>
  <si>
    <r>
      <t>1 főre jutó</t>
    </r>
    <r>
      <rPr>
        <b/>
        <u val="single"/>
        <sz val="10"/>
        <rFont val="Times New Roman"/>
        <family val="1"/>
      </rPr>
      <t xml:space="preserve"> önk</t>
    </r>
    <r>
      <rPr>
        <b/>
        <sz val="10"/>
        <rFont val="Times New Roman"/>
        <family val="1"/>
      </rPr>
      <t>. támogatás</t>
    </r>
  </si>
  <si>
    <t>összeg</t>
  </si>
  <si>
    <t>%-a</t>
  </si>
  <si>
    <t>Ft</t>
  </si>
  <si>
    <t>Bartók B.utcai Óvoda</t>
  </si>
  <si>
    <t>Óvodák mindösszesen:</t>
  </si>
  <si>
    <t xml:space="preserve">Kőkúti Általános Iskola </t>
  </si>
  <si>
    <t>Kőkúti Ált.Isk.Fazekas utcai tagintézménye</t>
  </si>
  <si>
    <t>Vaszary J. Általános Iskola és Logopédiai Intézet</t>
  </si>
  <si>
    <t>Vaszary J. Ált.Isk.Jázmin utcai tagintézmémye</t>
  </si>
  <si>
    <t>Vaszary J.Ált.Isk. Fekete Lajos tagintézménye</t>
  </si>
  <si>
    <t>Iskolák mindösszesen:</t>
  </si>
  <si>
    <t>Szociális Alapellátó Intézmény:</t>
  </si>
  <si>
    <t xml:space="preserve">Tata Város Önkormányzatának </t>
  </si>
  <si>
    <t>2011. évi egyszerűsített mérlege</t>
  </si>
  <si>
    <t>ESZKÖZÖK</t>
  </si>
  <si>
    <t>Előző évi kv. beszámoló záró adatai</t>
  </si>
  <si>
    <t>Auditálási eltérések   (+-)</t>
  </si>
  <si>
    <t xml:space="preserve">Előző évi aud. egyszerűsített beszámoló </t>
  </si>
  <si>
    <t>Tárgyévi kv. beszámoló adatai</t>
  </si>
  <si>
    <r>
      <t xml:space="preserve">Auditálási eltérések     </t>
    </r>
    <r>
      <rPr>
        <i/>
        <sz val="10"/>
        <rFont val="Times New Roman CE"/>
        <family val="1"/>
      </rPr>
      <t>(+-)</t>
    </r>
    <r>
      <rPr>
        <sz val="10"/>
        <rFont val="Times New Roman CE"/>
        <family val="1"/>
      </rPr>
      <t xml:space="preserve">        </t>
    </r>
  </si>
  <si>
    <t>Tárgyévi auditált  egysz. besz. adatai</t>
  </si>
  <si>
    <t>A)</t>
  </si>
  <si>
    <t>BEFEKTETETT ESZKÖZÖK ÖSSZESEN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</si>
  <si>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</si>
  <si>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</si>
  <si>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</si>
  <si>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</si>
  <si>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</si>
  <si>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</si>
  <si>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</si>
  <si>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</si>
  <si>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B)</t>
  </si>
  <si>
    <t>FORGÓESZKÖZÖK ÖSSZESEN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</si>
  <si>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</si>
  <si>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</si>
  <si>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</si>
  <si>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</si>
  <si>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</si>
  <si>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</si>
  <si>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ESZKÖZÖK ÖSSZESEN</t>
  </si>
  <si>
    <t>FORRÁSOK</t>
  </si>
  <si>
    <t>D)</t>
  </si>
  <si>
    <t>SAJÁT TŐKE ÖSSZESE</t>
  </si>
  <si>
    <t>1.</t>
  </si>
  <si>
    <t>Tartós tőke</t>
  </si>
  <si>
    <t xml:space="preserve">2. </t>
  </si>
  <si>
    <t>Tőkeváltozások</t>
  </si>
  <si>
    <t>3.</t>
  </si>
  <si>
    <t>Értékelési tartalék</t>
  </si>
  <si>
    <t>E)</t>
  </si>
  <si>
    <t>TARTALÉKOK ÖSSZESEN</t>
  </si>
  <si>
    <t>Költségvetési tartalékok</t>
  </si>
  <si>
    <t xml:space="preserve">II. </t>
  </si>
  <si>
    <t>Vállalkozási tartalékok</t>
  </si>
  <si>
    <t>F)</t>
  </si>
  <si>
    <t>KÖTELEZETTSÉGEK ÖSSZESEN</t>
  </si>
  <si>
    <t>Rövid lejáratú kötelezettségek</t>
  </si>
  <si>
    <t>Egyéb passzív pénzügyi elszámolások</t>
  </si>
  <si>
    <t>FORRÁSOK ÖSSZESEN</t>
  </si>
  <si>
    <t>2011. évi egyszerűsített éves pénzforgalmi jelentése (E Ft-ban)</t>
  </si>
  <si>
    <t>Sor</t>
  </si>
  <si>
    <t>Módosított</t>
  </si>
  <si>
    <t>szám</t>
  </si>
  <si>
    <t>előirányzat</t>
  </si>
  <si>
    <t>Munkaadót terhelő járulékok</t>
  </si>
  <si>
    <t>Működési célú támogatásértékű kiadások, egyéb támogatások</t>
  </si>
  <si>
    <t>Államháztartáson kívülre végleges működési pénzeszközátadások</t>
  </si>
  <si>
    <t>Ellátottak pénzbeli juttatásai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</si>
  <si>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</si>
  <si>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</si>
  <si>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</si>
  <si>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</si>
  <si>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 (1+..+12)</t>
  </si>
  <si>
    <t>Hosszú lejáratú hitelek</t>
  </si>
  <si>
    <t>Rövid lejáratú hitelek</t>
  </si>
  <si>
    <t>-15 ből likvidhitelek kiadása</t>
  </si>
  <si>
    <t>Tartós hitelviszonyt megtestesítő értékpapírok kiadásai</t>
  </si>
  <si>
    <t>Forgatási célú hitelviszonyt megtestesítő értékpapírok kiadásai</t>
  </si>
  <si>
    <t>Finanszírozási kiadások összesen (14+15+17+18)</t>
  </si>
  <si>
    <t>Pénzforgalmi kiadások (13+19)</t>
  </si>
  <si>
    <t>Pénzforgalom nélküli kiadások</t>
  </si>
  <si>
    <t>Kiegyenlítő, függő, átfutó kiadások összesen</t>
  </si>
  <si>
    <t>Kiadások összesen (20+21+22)</t>
  </si>
  <si>
    <t>Intézményi működési bevételek</t>
  </si>
  <si>
    <t>Önkormányzatok sajátos működési bevételei</t>
  </si>
  <si>
    <t>Működési célú támogatásértékű bevételek, egyéb támogatások</t>
  </si>
  <si>
    <t>Államháztartáson kívülről végleges működési pénzeszközátvételek</t>
  </si>
  <si>
    <t>28-ból önkormányzat sajátos felhalmozási és tőkebevételei</t>
  </si>
  <si>
    <t>Felhalmozási célú támogatásértékű bevételek, egyéb támogatások</t>
  </si>
  <si>
    <t>Államháztartáson kívülről végleges felhalmozási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</si>
  <si>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</si>
  <si>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</si>
  <si>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</si>
  <si>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</si>
  <si>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Költségvetési pénzforgalmi bevételek összesen (24+...28+30+31+32+34+35)</t>
  </si>
  <si>
    <t>Hosszú lejáratú hitelek felvétele</t>
  </si>
  <si>
    <t>Rövid lejáratú hitelek felvétele</t>
  </si>
  <si>
    <t>-38-ból likvid hitelek bevétele</t>
  </si>
  <si>
    <t>Tartós hitelviszonyt megtestesítő értékpapírok bevétele</t>
  </si>
  <si>
    <t>Forgatási célú hitelviszonyt megtestesítő értékpapírok bevételei</t>
  </si>
  <si>
    <t>Finanszírozási bevételek összesen (37+38+40+41)</t>
  </si>
  <si>
    <t>Pénzforgalmi bevételek (36+42)</t>
  </si>
  <si>
    <t>Pénzforgalom nélküli bevételek</t>
  </si>
  <si>
    <t>Továbbadási (lebonyolítási) célú bevételek</t>
  </si>
  <si>
    <t xml:space="preserve">Kiegyenlítő, függő, átfutó bevételek </t>
  </si>
  <si>
    <t>Bevételek összesen (43+…+46)</t>
  </si>
  <si>
    <t>Pénzforgalmi költségvetési bevételek és kiadások különbsége(36-13)költségv. Hiány (-) ,költségvetési többlet(+)</t>
  </si>
  <si>
    <t>Igénybe vett tartalékokkal korrigált költségvetési bevételek és kiadások különbsége (48+44-21)(korrigált költségvetési hiány(-),korrigált költségvetési többlet (+)</t>
  </si>
  <si>
    <t>Finanszírozási műveletek eredménye (42-19)</t>
  </si>
  <si>
    <t>Aktív és passzív pénzügyi műveletek egyenlege (45+46-22)</t>
  </si>
  <si>
    <t>EGYSZERŰSÍTETT PÉNZMARADVÁNY-KIMUTATÁS ELŐÍRT TAGOLÁSA</t>
  </si>
  <si>
    <t>2011. év</t>
  </si>
  <si>
    <t>Előző évi  beszámoló záró adatai</t>
  </si>
  <si>
    <t>Auditálási eltérések      (+-)</t>
  </si>
  <si>
    <t>Tavalyi aud.  Egyszerűsített beszámoló záró adatai</t>
  </si>
  <si>
    <t>Tárgyévi kv. Beszámoló</t>
  </si>
  <si>
    <t>Auditálási eltérések        (+-)</t>
  </si>
  <si>
    <t>Tárgyévi aud. egyszerűsített beszámoló záró adatai</t>
  </si>
  <si>
    <t>2.</t>
  </si>
  <si>
    <t>Forgatási célú pénzügyi műveletek egyenlege</t>
  </si>
  <si>
    <t>Egyéb aktív és passzív pénzügyi elszámolások összevont záróegyenlege (+-)</t>
  </si>
  <si>
    <t>4.</t>
  </si>
  <si>
    <t>Előző év(ek)ben képzett tartalékok maradványa (-)</t>
  </si>
  <si>
    <t>5.</t>
  </si>
  <si>
    <t>Vállalkozási tevékenység pénzforgalmi eredménye (-)</t>
  </si>
  <si>
    <t>6.</t>
  </si>
  <si>
    <t>Tárgyévi helyesbített pénzmaradvány (1+-2+-3-4-5)</t>
  </si>
  <si>
    <t>7.</t>
  </si>
  <si>
    <t>Finanszírozásból származó korrekciók (+-)</t>
  </si>
  <si>
    <t>8.</t>
  </si>
  <si>
    <t>Pénzmaradványt terhelő elvonások (+-)</t>
  </si>
  <si>
    <t>9.</t>
  </si>
  <si>
    <t>Költségvetési pénzmaradvány (6+7+8)</t>
  </si>
  <si>
    <t>10.</t>
  </si>
  <si>
    <t>Vállalkozási maradványból alaptev. ellát-ra felhaszn. összeg</t>
  </si>
  <si>
    <t>11.</t>
  </si>
  <si>
    <t>Költségvetési pénzmaradványt külön jogszabály alapján mód. tétel (+,-)</t>
  </si>
  <si>
    <t>12.</t>
  </si>
  <si>
    <t>Módosított pénzmaradvány (6+-7+-8+-9+-10)</t>
  </si>
  <si>
    <t>13.</t>
  </si>
  <si>
    <t>A 12-ből az Egészségbiztosítási alapból folyósított pénzmaradvány</t>
  </si>
  <si>
    <t>14.</t>
  </si>
  <si>
    <t>12-ből kötelezettségvállalással terhelt pénzmaradvány</t>
  </si>
  <si>
    <t>15.</t>
  </si>
  <si>
    <t>12-ből szabad pénzmaradvány</t>
  </si>
  <si>
    <t>EGYSZERŰSÍTETT VÁLLALKOZÁSI MARADVÁNY-KIMUTATÁS ELŐÍRT TAGOLÁSA</t>
  </si>
  <si>
    <t>Előző évi beszámoló záró adatai</t>
  </si>
  <si>
    <t>Előző évi aud.  Egyszerűsített beszámoló záró adatai</t>
  </si>
  <si>
    <t>Tárgyévi kv. beszámoló záró adatai</t>
  </si>
  <si>
    <t>Vállalkozási tevékenység működési célú bevételei</t>
  </si>
  <si>
    <t>Vállalkozási tevékenység felhalmozási célú bevételei</t>
  </si>
  <si>
    <t>Váll. Tev.forgatási célú finansz.,passzív pü.elszám.bev.</t>
  </si>
  <si>
    <t>Vállalkozási tev. Szakfeladaton elsz. Bevételei (1+2+3)</t>
  </si>
  <si>
    <t>Vállalkozási tevékenység működési célú kiadásai</t>
  </si>
  <si>
    <t>Vállalkozási tevékenység felhalmozási célú kiadásai</t>
  </si>
  <si>
    <t>Váll. Tev.forgatási célú finansz.,aktív pü. Kiadásai</t>
  </si>
  <si>
    <t>B. Vállalkozási tev. Kiadásai (4+5+6) (-)</t>
  </si>
  <si>
    <t>C. Vállalkozási tevékenység pénzforgalmi maradványa (A-B)</t>
  </si>
  <si>
    <t>7. Vállalkozási tevékenységet terheli értékcsökkenési leírás (-)</t>
  </si>
  <si>
    <t>8. Alaptev. ellát-ra felhasznált, tervezett maradvány (-)</t>
  </si>
  <si>
    <t>Pénzforg. Maradványt jogszabály alapján módosító egyéb t.</t>
  </si>
  <si>
    <t>D. Váll. Tevék. Módosított pénzforg.-i váll. Maradv. (C-7-8+9)</t>
  </si>
  <si>
    <t>E. Vállalkozási tevék.-et terheli befizetési kötelezettség (-)</t>
  </si>
  <si>
    <t>Vállalkozási TARTALÉKBA helyezhető összeg (C-8-9-E)</t>
  </si>
  <si>
    <t xml:space="preserve">Tata Város Önkormányzat 2011. évi pénzmaradványának alakulása </t>
  </si>
  <si>
    <t>Polgármesteri Hivatal, Közterület Felügyelet és nemzetiségek</t>
  </si>
  <si>
    <t>Intézmények Gazdasági Hivatala és a hozzá tartozó részben önálló intézmények</t>
  </si>
  <si>
    <t>Árpádházi Szent Erzsébet Szakkórház és Rendelőintézet</t>
  </si>
  <si>
    <t>A rövid lejáratú költségvetési pénzforgalmi és betétszámlák záróegyenlegei</t>
  </si>
  <si>
    <t>Pénztárak és betétkönyvek záróegyenlegei</t>
  </si>
  <si>
    <t>Költségvetési aktív függő elszámolások záróegyenlege</t>
  </si>
  <si>
    <t>Költségvetési aktív átfutó elszámolások záróegyenlege</t>
  </si>
  <si>
    <t>Költségvetési aktív kiegyenlítő elszámolások záróegyenlege</t>
  </si>
  <si>
    <t>Költségvetési aktív elszámolások záróegyenlege</t>
  </si>
  <si>
    <t>Költségvetési passzív függő elszámolások záróegyenlege (-)</t>
  </si>
  <si>
    <t>Költségvetési passzív átfutó elszámolások záróegyenlege (-)</t>
  </si>
  <si>
    <t>Költségvetési passzív elszámolások záróegyenlege (-)</t>
  </si>
  <si>
    <t>Egyéb aktív és passzív pénzügyi elszámolások összesen (+,-)</t>
  </si>
  <si>
    <t>Tárgyévi helyesbített pénzmaradvány</t>
  </si>
  <si>
    <t>Intézményi költségvetési befizetés többlettámogatás miatt</t>
  </si>
  <si>
    <t>Költségvetési kiutalás kiutalatlan intézményi támogatás miatt</t>
  </si>
  <si>
    <t>Költségvetési kiutalás kiutalatlan támogatás miatt</t>
  </si>
  <si>
    <t>Finanszírozásból származó korrekciók</t>
  </si>
  <si>
    <t>Pénzmaradványt terhelő elvonások</t>
  </si>
  <si>
    <t>Költségvetési pénzmaradvány</t>
  </si>
  <si>
    <t>Módosított pénzmaradvány</t>
  </si>
  <si>
    <t>Kötelezettséggel terhelt pénzmaradvány</t>
  </si>
  <si>
    <t>Működési célú kötelezettséggel terhelt pénzmaradvány</t>
  </si>
  <si>
    <t>Felhalmozási célú kötelezettséggel terhelt pénzmaradvány</t>
  </si>
  <si>
    <t>Szabad pénzmaradvány</t>
  </si>
  <si>
    <t xml:space="preserve">          Tata Város Önkormányzat és költségvetési szervei 2011.évi pénzmaradványának tervezett felosztása (E Ft)</t>
  </si>
  <si>
    <t>Önkormányzat</t>
  </si>
  <si>
    <t>Nemzetiségi Önkormányzatok</t>
  </si>
  <si>
    <t>Árpád-házi Szent Erzsébet Kórház</t>
  </si>
  <si>
    <t>Lengyel</t>
  </si>
  <si>
    <t>Német</t>
  </si>
  <si>
    <t>Cigány</t>
  </si>
  <si>
    <t>FELHASZNÁLHATÓ PÉNZMARADVÁNY</t>
  </si>
  <si>
    <t>Előirányzatosított pénzmaradvány</t>
  </si>
  <si>
    <t>Személyi juttatásra</t>
  </si>
  <si>
    <t>Tartalék:</t>
  </si>
  <si>
    <t>Normatíva elszámolás miatt (Mák felülvizsgálatig nem felhasználható)</t>
  </si>
  <si>
    <t>Eu-s projektek maradványa</t>
  </si>
  <si>
    <t>Gondoskodó kistérség</t>
  </si>
  <si>
    <t>Új úti bölcsöde bővítés</t>
  </si>
  <si>
    <t>Egyéb</t>
  </si>
  <si>
    <t>Deák F. u. korsz. eng. terv.</t>
  </si>
  <si>
    <t>Felosztott</t>
  </si>
  <si>
    <t>MINDÖSSZESEN:</t>
  </si>
  <si>
    <t>27.melléklet a 15/2012.( IV.27.)önkormányzati rendelethez</t>
  </si>
  <si>
    <t>28. melléklet a 15/2012.( IV.27.) önkormányzati rendelethez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</si>
</sst>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0%"/>
    <numFmt numFmtId="166" formatCode="#,##0"/>
    <numFmt numFmtId="167" formatCode="#,##0.00"/>
    <numFmt numFmtId="168" formatCode="@"/>
    <numFmt numFmtId="169" formatCode="#,##0&quot; Ft&quot;"/>
    <numFmt numFmtId="170" formatCode="#,##0;\-#,##0"/>
    <numFmt numFmtId="171" formatCode="0"/>
    <numFmt numFmtId="172" formatCode="0.00"/>
    <numFmt numFmtId="173" formatCode="0.0"/>
    <numFmt numFmtId="174" formatCode="YYYY\-MM\-DD"/>
    <numFmt numFmtId="175" formatCode="DDDD&quot;, &quot;MMMM\ DD&quot;, &quot;YYYY"/>
    <numFmt numFmtId="176" formatCode="#,##0.0"/>
  </numFmts>
  <fonts count="6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u val="single"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0"/>
      <name val="Times New Roman"/>
      <family val="1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12"/>
      <name val="Arial CE"/>
      <family val="2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6" fillId="20" borderId="8" applyNumberFormat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1036">
    <xf numFmtId="164" fontId="0" fillId="0" borderId="0" xfId="0" applyAlignment="1">
      <alignment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4" fontId="21" fillId="0" borderId="0" xfId="0" applyFont="1" applyBorder="1" applyAlignment="1">
      <alignment horizontal="center"/>
    </xf>
    <xf numFmtId="164" fontId="20" fillId="0" borderId="0" xfId="0" applyFont="1" applyBorder="1" applyAlignment="1">
      <alignment/>
    </xf>
    <xf numFmtId="166" fontId="2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164" fontId="21" fillId="0" borderId="10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21" fillId="0" borderId="12" xfId="0" applyFont="1" applyBorder="1" applyAlignment="1">
      <alignment horizontal="center"/>
    </xf>
    <xf numFmtId="164" fontId="21" fillId="0" borderId="13" xfId="0" applyFont="1" applyBorder="1" applyAlignment="1">
      <alignment horizontal="center" vertical="center" wrapText="1"/>
    </xf>
    <xf numFmtId="164" fontId="21" fillId="0" borderId="14" xfId="0" applyFont="1" applyBorder="1" applyAlignment="1">
      <alignment horizontal="center" vertical="center" wrapText="1"/>
    </xf>
    <xf numFmtId="166" fontId="21" fillId="0" borderId="14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wrapText="1"/>
    </xf>
    <xf numFmtId="164" fontId="21" fillId="0" borderId="16" xfId="0" applyFont="1" applyBorder="1" applyAlignment="1">
      <alignment/>
    </xf>
    <xf numFmtId="164" fontId="21" fillId="0" borderId="17" xfId="0" applyFont="1" applyBorder="1" applyAlignment="1">
      <alignment/>
    </xf>
    <xf numFmtId="166" fontId="21" fillId="0" borderId="17" xfId="0" applyNumberFormat="1" applyFont="1" applyBorder="1" applyAlignment="1">
      <alignment/>
    </xf>
    <xf numFmtId="166" fontId="21" fillId="0" borderId="18" xfId="0" applyNumberFormat="1" applyFont="1" applyBorder="1" applyAlignment="1">
      <alignment/>
    </xf>
    <xf numFmtId="167" fontId="21" fillId="0" borderId="18" xfId="0" applyNumberFormat="1" applyFont="1" applyBorder="1" applyAlignment="1">
      <alignment/>
    </xf>
    <xf numFmtId="164" fontId="21" fillId="0" borderId="18" xfId="0" applyFont="1" applyBorder="1" applyAlignment="1">
      <alignment/>
    </xf>
    <xf numFmtId="164" fontId="20" fillId="0" borderId="17" xfId="0" applyFont="1" applyBorder="1" applyAlignment="1">
      <alignment/>
    </xf>
    <xf numFmtId="166" fontId="21" fillId="0" borderId="17" xfId="0" applyNumberFormat="1" applyFont="1" applyBorder="1" applyAlignment="1">
      <alignment/>
    </xf>
    <xf numFmtId="167" fontId="21" fillId="0" borderId="19" xfId="0" applyNumberFormat="1" applyFont="1" applyBorder="1" applyAlignment="1">
      <alignment/>
    </xf>
    <xf numFmtId="166" fontId="21" fillId="0" borderId="0" xfId="0" applyNumberFormat="1" applyFont="1" applyBorder="1" applyAlignment="1">
      <alignment/>
    </xf>
    <xf numFmtId="164" fontId="20" fillId="0" borderId="13" xfId="0" applyFont="1" applyBorder="1" applyAlignment="1">
      <alignment/>
    </xf>
    <xf numFmtId="164" fontId="20" fillId="0" borderId="14" xfId="0" applyFont="1" applyBorder="1" applyAlignment="1">
      <alignment/>
    </xf>
    <xf numFmtId="166" fontId="20" fillId="0" borderId="14" xfId="0" applyNumberFormat="1" applyFont="1" applyBorder="1" applyAlignment="1">
      <alignment/>
    </xf>
    <xf numFmtId="166" fontId="20" fillId="0" borderId="20" xfId="0" applyNumberFormat="1" applyFont="1" applyBorder="1" applyAlignment="1">
      <alignment/>
    </xf>
    <xf numFmtId="164" fontId="21" fillId="0" borderId="20" xfId="0" applyFont="1" applyBorder="1" applyAlignment="1">
      <alignment/>
    </xf>
    <xf numFmtId="164" fontId="21" fillId="0" borderId="14" xfId="0" applyFont="1" applyBorder="1" applyAlignment="1">
      <alignment/>
    </xf>
    <xf numFmtId="166" fontId="20" fillId="0" borderId="14" xfId="0" applyNumberFormat="1" applyFont="1" applyBorder="1" applyAlignment="1">
      <alignment/>
    </xf>
    <xf numFmtId="164" fontId="20" fillId="0" borderId="14" xfId="0" applyFont="1" applyBorder="1" applyAlignment="1">
      <alignment wrapText="1"/>
    </xf>
    <xf numFmtId="166" fontId="21" fillId="0" borderId="14" xfId="0" applyNumberFormat="1" applyFont="1" applyBorder="1" applyAlignment="1">
      <alignment/>
    </xf>
    <xf numFmtId="166" fontId="21" fillId="0" borderId="14" xfId="0" applyNumberFormat="1" applyFont="1" applyBorder="1" applyAlignment="1">
      <alignment/>
    </xf>
    <xf numFmtId="166" fontId="21" fillId="0" borderId="0" xfId="0" applyNumberFormat="1" applyFont="1" applyBorder="1" applyAlignment="1">
      <alignment/>
    </xf>
    <xf numFmtId="164" fontId="21" fillId="0" borderId="13" xfId="0" applyFont="1" applyBorder="1" applyAlignment="1">
      <alignment/>
    </xf>
    <xf numFmtId="166" fontId="21" fillId="0" borderId="20" xfId="0" applyNumberFormat="1" applyFont="1" applyBorder="1" applyAlignment="1">
      <alignment/>
    </xf>
    <xf numFmtId="164" fontId="20" fillId="0" borderId="20" xfId="0" applyFont="1" applyBorder="1" applyAlignment="1">
      <alignment/>
    </xf>
    <xf numFmtId="168" fontId="20" fillId="0" borderId="13" xfId="0" applyNumberFormat="1" applyFont="1" applyBorder="1" applyAlignment="1">
      <alignment/>
    </xf>
    <xf numFmtId="168" fontId="20" fillId="0" borderId="14" xfId="0" applyNumberFormat="1" applyFont="1" applyBorder="1" applyAlignment="1">
      <alignment/>
    </xf>
    <xf numFmtId="164" fontId="21" fillId="0" borderId="13" xfId="0" applyFont="1" applyBorder="1" applyAlignment="1">
      <alignment/>
    </xf>
    <xf numFmtId="164" fontId="20" fillId="0" borderId="14" xfId="0" applyFont="1" applyBorder="1" applyAlignment="1">
      <alignment/>
    </xf>
    <xf numFmtId="164" fontId="20" fillId="0" borderId="13" xfId="0" applyFont="1" applyBorder="1" applyAlignment="1">
      <alignment/>
    </xf>
    <xf numFmtId="164" fontId="21" fillId="0" borderId="14" xfId="0" applyFont="1" applyBorder="1" applyAlignment="1">
      <alignment/>
    </xf>
    <xf numFmtId="164" fontId="20" fillId="0" borderId="13" xfId="0" applyFont="1" applyBorder="1" applyAlignment="1">
      <alignment vertical="center"/>
    </xf>
    <xf numFmtId="164" fontId="20" fillId="0" borderId="14" xfId="0" applyFont="1" applyBorder="1" applyAlignment="1">
      <alignment vertical="center"/>
    </xf>
    <xf numFmtId="166" fontId="22" fillId="0" borderId="14" xfId="0" applyNumberFormat="1" applyFont="1" applyBorder="1" applyAlignment="1">
      <alignment/>
    </xf>
    <xf numFmtId="166" fontId="22" fillId="0" borderId="20" xfId="0" applyNumberFormat="1" applyFont="1" applyBorder="1" applyAlignment="1">
      <alignment/>
    </xf>
    <xf numFmtId="164" fontId="21" fillId="0" borderId="20" xfId="0" applyFont="1" applyBorder="1" applyAlignment="1">
      <alignment horizontal="left" wrapText="1"/>
    </xf>
    <xf numFmtId="164" fontId="20" fillId="0" borderId="13" xfId="0" applyFont="1" applyBorder="1" applyAlignment="1">
      <alignment horizontal="left"/>
    </xf>
    <xf numFmtId="164" fontId="20" fillId="0" borderId="14" xfId="0" applyFont="1" applyBorder="1" applyAlignment="1">
      <alignment horizontal="left"/>
    </xf>
    <xf numFmtId="164" fontId="21" fillId="0" borderId="13" xfId="0" applyFont="1" applyBorder="1" applyAlignment="1">
      <alignment horizontal="left"/>
    </xf>
    <xf numFmtId="164" fontId="21" fillId="0" borderId="14" xfId="0" applyFont="1" applyBorder="1" applyAlignment="1">
      <alignment horizontal="left"/>
    </xf>
    <xf numFmtId="164" fontId="22" fillId="0" borderId="14" xfId="0" applyFont="1" applyBorder="1" applyAlignment="1">
      <alignment/>
    </xf>
    <xf numFmtId="166" fontId="22" fillId="0" borderId="14" xfId="0" applyNumberFormat="1" applyFont="1" applyBorder="1" applyAlignment="1">
      <alignment/>
    </xf>
    <xf numFmtId="166" fontId="22" fillId="0" borderId="0" xfId="0" applyNumberFormat="1" applyFont="1" applyBorder="1" applyAlignment="1">
      <alignment/>
    </xf>
    <xf numFmtId="168" fontId="20" fillId="0" borderId="14" xfId="0" applyNumberFormat="1" applyFont="1" applyBorder="1" applyAlignment="1">
      <alignment/>
    </xf>
    <xf numFmtId="164" fontId="21" fillId="0" borderId="20" xfId="0" applyFont="1" applyBorder="1" applyAlignment="1">
      <alignment horizontal="left"/>
    </xf>
    <xf numFmtId="164" fontId="20" fillId="0" borderId="14" xfId="0" applyFont="1" applyBorder="1" applyAlignment="1">
      <alignment horizontal="left" wrapText="1"/>
    </xf>
    <xf numFmtId="164" fontId="22" fillId="0" borderId="14" xfId="0" applyFont="1" applyBorder="1" applyAlignment="1">
      <alignment/>
    </xf>
    <xf numFmtId="168" fontId="23" fillId="0" borderId="13" xfId="0" applyNumberFormat="1" applyFont="1" applyBorder="1" applyAlignment="1">
      <alignment/>
    </xf>
    <xf numFmtId="164" fontId="24" fillId="0" borderId="14" xfId="0" applyFont="1" applyBorder="1" applyAlignment="1">
      <alignment/>
    </xf>
    <xf numFmtId="166" fontId="24" fillId="0" borderId="14" xfId="0" applyNumberFormat="1" applyFont="1" applyBorder="1" applyAlignment="1">
      <alignment/>
    </xf>
    <xf numFmtId="166" fontId="23" fillId="0" borderId="14" xfId="0" applyNumberFormat="1" applyFont="1" applyBorder="1" applyAlignment="1">
      <alignment/>
    </xf>
    <xf numFmtId="166" fontId="23" fillId="0" borderId="20" xfId="0" applyNumberFormat="1" applyFont="1" applyBorder="1" applyAlignment="1">
      <alignment/>
    </xf>
    <xf numFmtId="164" fontId="23" fillId="0" borderId="20" xfId="0" applyFont="1" applyBorder="1" applyAlignment="1">
      <alignment/>
    </xf>
    <xf numFmtId="164" fontId="23" fillId="0" borderId="14" xfId="0" applyFont="1" applyBorder="1" applyAlignment="1">
      <alignment/>
    </xf>
    <xf numFmtId="166" fontId="23" fillId="0" borderId="14" xfId="0" applyNumberFormat="1" applyFont="1" applyBorder="1" applyAlignment="1">
      <alignment/>
    </xf>
    <xf numFmtId="166" fontId="23" fillId="0" borderId="0" xfId="0" applyNumberFormat="1" applyFont="1" applyBorder="1" applyAlignment="1">
      <alignment/>
    </xf>
    <xf numFmtId="164" fontId="25" fillId="0" borderId="20" xfId="0" applyFont="1" applyBorder="1" applyAlignment="1">
      <alignment/>
    </xf>
    <xf numFmtId="165" fontId="20" fillId="0" borderId="14" xfId="0" applyNumberFormat="1" applyFont="1" applyBorder="1" applyAlignment="1">
      <alignment/>
    </xf>
    <xf numFmtId="168" fontId="20" fillId="0" borderId="13" xfId="0" applyNumberFormat="1" applyFont="1" applyBorder="1" applyAlignment="1">
      <alignment horizontal="left" wrapText="1"/>
    </xf>
    <xf numFmtId="166" fontId="21" fillId="0" borderId="20" xfId="0" applyNumberFormat="1" applyFont="1" applyBorder="1" applyAlignment="1">
      <alignment/>
    </xf>
    <xf numFmtId="164" fontId="25" fillId="0" borderId="0" xfId="0" applyFont="1" applyBorder="1" applyAlignment="1">
      <alignment/>
    </xf>
    <xf numFmtId="164" fontId="20" fillId="0" borderId="21" xfId="0" applyFont="1" applyBorder="1" applyAlignment="1">
      <alignment/>
    </xf>
    <xf numFmtId="165" fontId="25" fillId="0" borderId="0" xfId="0" applyNumberFormat="1" applyFont="1" applyBorder="1" applyAlignment="1">
      <alignment/>
    </xf>
    <xf numFmtId="169" fontId="20" fillId="0" borderId="0" xfId="0" applyNumberFormat="1" applyFont="1" applyBorder="1" applyAlignment="1">
      <alignment/>
    </xf>
    <xf numFmtId="166" fontId="20" fillId="0" borderId="21" xfId="0" applyNumberFormat="1" applyFont="1" applyBorder="1" applyAlignment="1">
      <alignment/>
    </xf>
    <xf numFmtId="164" fontId="0" fillId="0" borderId="14" xfId="0" applyBorder="1" applyAlignment="1">
      <alignment/>
    </xf>
    <xf numFmtId="168" fontId="20" fillId="0" borderId="0" xfId="0" applyNumberFormat="1" applyFont="1" applyBorder="1" applyAlignment="1">
      <alignment/>
    </xf>
    <xf numFmtId="164" fontId="21" fillId="0" borderId="22" xfId="0" applyFont="1" applyBorder="1" applyAlignment="1">
      <alignment/>
    </xf>
    <xf numFmtId="166" fontId="21" fillId="0" borderId="23" xfId="0" applyNumberFormat="1" applyFont="1" applyBorder="1" applyAlignment="1">
      <alignment/>
    </xf>
    <xf numFmtId="164" fontId="20" fillId="0" borderId="23" xfId="0" applyFont="1" applyBorder="1" applyAlignment="1">
      <alignment/>
    </xf>
    <xf numFmtId="167" fontId="21" fillId="0" borderId="23" xfId="0" applyNumberFormat="1" applyFont="1" applyBorder="1" applyAlignment="1">
      <alignment/>
    </xf>
    <xf numFmtId="164" fontId="25" fillId="0" borderId="24" xfId="0" applyFont="1" applyBorder="1" applyAlignment="1">
      <alignment/>
    </xf>
    <xf numFmtId="164" fontId="25" fillId="0" borderId="25" xfId="0" applyFont="1" applyBorder="1" applyAlignment="1">
      <alignment/>
    </xf>
    <xf numFmtId="169" fontId="20" fillId="0" borderId="25" xfId="0" applyNumberFormat="1" applyFont="1" applyBorder="1" applyAlignment="1">
      <alignment/>
    </xf>
    <xf numFmtId="164" fontId="20" fillId="0" borderId="25" xfId="0" applyFont="1" applyBorder="1" applyAlignment="1">
      <alignment/>
    </xf>
    <xf numFmtId="164" fontId="20" fillId="0" borderId="26" xfId="0" applyFont="1" applyBorder="1" applyAlignment="1">
      <alignment/>
    </xf>
    <xf numFmtId="164" fontId="20" fillId="0" borderId="0" xfId="60" applyFont="1">
      <alignment/>
      <protection/>
    </xf>
    <xf numFmtId="166" fontId="20" fillId="0" borderId="0" xfId="60" applyNumberFormat="1" applyFont="1">
      <alignment/>
      <protection/>
    </xf>
    <xf numFmtId="164" fontId="21" fillId="0" borderId="0" xfId="60" applyFont="1" applyAlignment="1">
      <alignment horizontal="left"/>
      <protection/>
    </xf>
    <xf numFmtId="164" fontId="20" fillId="0" borderId="0" xfId="60" applyFont="1" applyAlignment="1">
      <alignment horizontal="left"/>
      <protection/>
    </xf>
    <xf numFmtId="164" fontId="20" fillId="0" borderId="0" xfId="60" applyFont="1" applyAlignment="1">
      <alignment/>
      <protection/>
    </xf>
    <xf numFmtId="164" fontId="21" fillId="0" borderId="0" xfId="60" applyFont="1" applyBorder="1" applyAlignment="1">
      <alignment horizontal="center"/>
      <protection/>
    </xf>
    <xf numFmtId="164" fontId="21" fillId="0" borderId="0" xfId="60" applyFont="1">
      <alignment/>
      <protection/>
    </xf>
    <xf numFmtId="164" fontId="21" fillId="0" borderId="27" xfId="60" applyFont="1" applyBorder="1" applyAlignment="1">
      <alignment horizontal="center"/>
      <protection/>
    </xf>
    <xf numFmtId="164" fontId="21" fillId="0" borderId="28" xfId="60" applyFont="1" applyBorder="1" applyAlignment="1">
      <alignment horizontal="center"/>
      <protection/>
    </xf>
    <xf numFmtId="164" fontId="21" fillId="0" borderId="29" xfId="60" applyFont="1" applyBorder="1" applyAlignment="1">
      <alignment horizontal="center"/>
      <protection/>
    </xf>
    <xf numFmtId="164" fontId="21" fillId="0" borderId="30" xfId="60" applyFont="1" applyBorder="1" applyAlignment="1">
      <alignment horizontal="center"/>
      <protection/>
    </xf>
    <xf numFmtId="164" fontId="21" fillId="0" borderId="31" xfId="60" applyFont="1" applyBorder="1" applyAlignment="1">
      <alignment horizontal="center" vertical="center"/>
      <protection/>
    </xf>
    <xf numFmtId="164" fontId="21" fillId="0" borderId="31" xfId="60" applyFont="1" applyBorder="1" applyAlignment="1">
      <alignment horizontal="center" vertical="center" wrapText="1"/>
      <protection/>
    </xf>
    <xf numFmtId="164" fontId="21" fillId="0" borderId="31" xfId="60" applyFont="1" applyBorder="1" applyAlignment="1">
      <alignment horizontal="center"/>
      <protection/>
    </xf>
    <xf numFmtId="164" fontId="21" fillId="0" borderId="32" xfId="60" applyFont="1" applyBorder="1" applyAlignment="1">
      <alignment horizontal="center" vertical="center" wrapText="1"/>
      <protection/>
    </xf>
    <xf numFmtId="164" fontId="20" fillId="0" borderId="33" xfId="60" applyFont="1" applyBorder="1">
      <alignment/>
      <protection/>
    </xf>
    <xf numFmtId="166" fontId="20" fillId="0" borderId="17" xfId="60" applyNumberFormat="1" applyFont="1" applyBorder="1">
      <alignment/>
      <protection/>
    </xf>
    <xf numFmtId="164" fontId="20" fillId="0" borderId="17" xfId="60" applyFont="1" applyBorder="1" applyAlignment="1">
      <alignment horizontal="left"/>
      <protection/>
    </xf>
    <xf numFmtId="166" fontId="20" fillId="0" borderId="34" xfId="60" applyNumberFormat="1" applyFont="1" applyBorder="1">
      <alignment/>
      <protection/>
    </xf>
    <xf numFmtId="164" fontId="20" fillId="0" borderId="35" xfId="60" applyFont="1" applyBorder="1">
      <alignment/>
      <protection/>
    </xf>
    <xf numFmtId="166" fontId="20" fillId="0" borderId="14" xfId="60" applyNumberFormat="1" applyFont="1" applyBorder="1">
      <alignment/>
      <protection/>
    </xf>
    <xf numFmtId="164" fontId="20" fillId="0" borderId="14" xfId="60" applyFont="1" applyBorder="1">
      <alignment/>
      <protection/>
    </xf>
    <xf numFmtId="166" fontId="20" fillId="0" borderId="36" xfId="60" applyNumberFormat="1" applyFont="1" applyBorder="1">
      <alignment/>
      <protection/>
    </xf>
    <xf numFmtId="164" fontId="20" fillId="0" borderId="14" xfId="60" applyFont="1" applyBorder="1" applyAlignment="1">
      <alignment/>
      <protection/>
    </xf>
    <xf numFmtId="166" fontId="22" fillId="0" borderId="14" xfId="60" applyNumberFormat="1" applyFont="1" applyBorder="1">
      <alignment/>
      <protection/>
    </xf>
    <xf numFmtId="166" fontId="22" fillId="0" borderId="36" xfId="60" applyNumberFormat="1" applyFont="1" applyBorder="1">
      <alignment/>
      <protection/>
    </xf>
    <xf numFmtId="164" fontId="20" fillId="0" borderId="14" xfId="0" applyFont="1" applyBorder="1" applyAlignment="1">
      <alignment shrinkToFit="1"/>
    </xf>
    <xf numFmtId="166" fontId="20" fillId="0" borderId="35" xfId="60" applyNumberFormat="1" applyFont="1" applyBorder="1">
      <alignment/>
      <protection/>
    </xf>
    <xf numFmtId="164" fontId="22" fillId="0" borderId="14" xfId="60" applyFont="1" applyBorder="1">
      <alignment/>
      <protection/>
    </xf>
    <xf numFmtId="164" fontId="22" fillId="0" borderId="36" xfId="60" applyFont="1" applyBorder="1">
      <alignment/>
      <protection/>
    </xf>
    <xf numFmtId="164" fontId="20" fillId="0" borderId="37" xfId="60" applyFont="1" applyBorder="1">
      <alignment/>
      <protection/>
    </xf>
    <xf numFmtId="164" fontId="20" fillId="0" borderId="38" xfId="60" applyFont="1" applyBorder="1">
      <alignment/>
      <protection/>
    </xf>
    <xf numFmtId="166" fontId="22" fillId="0" borderId="38" xfId="60" applyNumberFormat="1" applyFont="1" applyBorder="1">
      <alignment/>
      <protection/>
    </xf>
    <xf numFmtId="166" fontId="22" fillId="0" borderId="39" xfId="60" applyNumberFormat="1" applyFont="1" applyBorder="1">
      <alignment/>
      <protection/>
    </xf>
    <xf numFmtId="164" fontId="21" fillId="0" borderId="40" xfId="60" applyFont="1" applyBorder="1">
      <alignment/>
      <protection/>
    </xf>
    <xf numFmtId="166" fontId="21" fillId="0" borderId="41" xfId="60" applyNumberFormat="1" applyFont="1" applyBorder="1">
      <alignment/>
      <protection/>
    </xf>
    <xf numFmtId="166" fontId="21" fillId="0" borderId="42" xfId="60" applyNumberFormat="1" applyFont="1" applyBorder="1">
      <alignment/>
      <protection/>
    </xf>
    <xf numFmtId="164" fontId="21" fillId="0" borderId="41" xfId="60" applyFont="1" applyBorder="1">
      <alignment/>
      <protection/>
    </xf>
    <xf numFmtId="166" fontId="21" fillId="0" borderId="43" xfId="60" applyNumberFormat="1" applyFont="1" applyBorder="1">
      <alignment/>
      <protection/>
    </xf>
    <xf numFmtId="164" fontId="21" fillId="0" borderId="33" xfId="60" applyFont="1" applyBorder="1">
      <alignment/>
      <protection/>
    </xf>
    <xf numFmtId="166" fontId="21" fillId="0" borderId="17" xfId="60" applyNumberFormat="1" applyFont="1" applyBorder="1">
      <alignment/>
      <protection/>
    </xf>
    <xf numFmtId="164" fontId="21" fillId="0" borderId="17" xfId="60" applyFont="1" applyBorder="1">
      <alignment/>
      <protection/>
    </xf>
    <xf numFmtId="164" fontId="20" fillId="0" borderId="0" xfId="60" applyFont="1" applyBorder="1">
      <alignment/>
      <protection/>
    </xf>
    <xf numFmtId="164" fontId="20" fillId="0" borderId="44" xfId="60" applyFont="1" applyBorder="1">
      <alignment/>
      <protection/>
    </xf>
    <xf numFmtId="164" fontId="21" fillId="0" borderId="35" xfId="60" applyFont="1" applyBorder="1">
      <alignment/>
      <protection/>
    </xf>
    <xf numFmtId="166" fontId="21" fillId="0" borderId="14" xfId="60" applyNumberFormat="1" applyFont="1" applyBorder="1">
      <alignment/>
      <protection/>
    </xf>
    <xf numFmtId="166" fontId="21" fillId="0" borderId="45" xfId="60" applyNumberFormat="1" applyFont="1" applyBorder="1">
      <alignment/>
      <protection/>
    </xf>
    <xf numFmtId="164" fontId="20" fillId="0" borderId="45" xfId="60" applyFont="1" applyBorder="1" applyAlignment="1">
      <alignment wrapText="1"/>
      <protection/>
    </xf>
    <xf numFmtId="164" fontId="21" fillId="0" borderId="14" xfId="60" applyFont="1" applyBorder="1">
      <alignment/>
      <protection/>
    </xf>
    <xf numFmtId="164" fontId="20" fillId="0" borderId="35" xfId="60" applyFont="1" applyBorder="1" applyAlignment="1">
      <alignment wrapText="1"/>
      <protection/>
    </xf>
    <xf numFmtId="164" fontId="20" fillId="0" borderId="46" xfId="60" applyFont="1" applyBorder="1" applyAlignment="1">
      <alignment wrapText="1"/>
      <protection/>
    </xf>
    <xf numFmtId="166" fontId="20" fillId="0" borderId="45" xfId="60" applyNumberFormat="1" applyFont="1" applyBorder="1">
      <alignment/>
      <protection/>
    </xf>
    <xf numFmtId="164" fontId="21" fillId="0" borderId="38" xfId="60" applyFont="1" applyBorder="1">
      <alignment/>
      <protection/>
    </xf>
    <xf numFmtId="166" fontId="21" fillId="0" borderId="38" xfId="60" applyNumberFormat="1" applyFont="1" applyBorder="1">
      <alignment/>
      <protection/>
    </xf>
    <xf numFmtId="166" fontId="20" fillId="0" borderId="38" xfId="60" applyNumberFormat="1" applyFont="1" applyBorder="1">
      <alignment/>
      <protection/>
    </xf>
    <xf numFmtId="166" fontId="20" fillId="0" borderId="39" xfId="60" applyNumberFormat="1" applyFont="1" applyBorder="1">
      <alignment/>
      <protection/>
    </xf>
    <xf numFmtId="164" fontId="21" fillId="0" borderId="40" xfId="0" applyFont="1" applyBorder="1" applyAlignment="1">
      <alignment/>
    </xf>
    <xf numFmtId="166" fontId="21" fillId="0" borderId="41" xfId="0" applyNumberFormat="1" applyFont="1" applyBorder="1" applyAlignment="1">
      <alignment/>
    </xf>
    <xf numFmtId="164" fontId="21" fillId="0" borderId="41" xfId="0" applyFont="1" applyBorder="1" applyAlignment="1">
      <alignment/>
    </xf>
    <xf numFmtId="166" fontId="20" fillId="0" borderId="0" xfId="60" applyNumberFormat="1" applyFont="1" applyBorder="1">
      <alignment/>
      <protection/>
    </xf>
    <xf numFmtId="164" fontId="21" fillId="0" borderId="0" xfId="60" applyFont="1" applyAlignment="1">
      <alignment horizontal="center"/>
      <protection/>
    </xf>
    <xf numFmtId="164" fontId="21" fillId="0" borderId="47" xfId="60" applyFont="1" applyBorder="1" applyAlignment="1">
      <alignment horizontal="center"/>
      <protection/>
    </xf>
    <xf numFmtId="164" fontId="21" fillId="0" borderId="48" xfId="60" applyFont="1" applyBorder="1" applyAlignment="1">
      <alignment horizontal="center"/>
      <protection/>
    </xf>
    <xf numFmtId="164" fontId="21" fillId="0" borderId="49" xfId="60" applyFont="1" applyBorder="1" applyAlignment="1">
      <alignment horizontal="center"/>
      <protection/>
    </xf>
    <xf numFmtId="164" fontId="21" fillId="0" borderId="30" xfId="60" applyFont="1" applyBorder="1" applyAlignment="1">
      <alignment horizontal="center" vertical="center"/>
      <protection/>
    </xf>
    <xf numFmtId="166" fontId="21" fillId="0" borderId="31" xfId="60" applyNumberFormat="1" applyFont="1" applyBorder="1" applyAlignment="1">
      <alignment horizontal="center" vertical="center" wrapText="1"/>
      <protection/>
    </xf>
    <xf numFmtId="166" fontId="21" fillId="0" borderId="32" xfId="60" applyNumberFormat="1" applyFont="1" applyBorder="1" applyAlignment="1">
      <alignment horizontal="center" vertical="center" wrapText="1"/>
      <protection/>
    </xf>
    <xf numFmtId="166" fontId="20" fillId="0" borderId="50" xfId="60" applyNumberFormat="1" applyFont="1" applyBorder="1">
      <alignment/>
      <protection/>
    </xf>
    <xf numFmtId="164" fontId="20" fillId="0" borderId="17" xfId="60" applyFont="1" applyBorder="1">
      <alignment/>
      <protection/>
    </xf>
    <xf numFmtId="166" fontId="20" fillId="0" borderId="51" xfId="60" applyNumberFormat="1" applyFont="1" applyBorder="1">
      <alignment/>
      <protection/>
    </xf>
    <xf numFmtId="164" fontId="20" fillId="0" borderId="14" xfId="60" applyFont="1" applyBorder="1" applyAlignment="1">
      <alignment horizontal="left"/>
      <protection/>
    </xf>
    <xf numFmtId="166" fontId="22" fillId="0" borderId="51" xfId="60" applyNumberFormat="1" applyFont="1" applyBorder="1">
      <alignment/>
      <protection/>
    </xf>
    <xf numFmtId="164" fontId="20" fillId="0" borderId="52" xfId="60" applyFont="1" applyBorder="1">
      <alignment/>
      <protection/>
    </xf>
    <xf numFmtId="168" fontId="20" fillId="0" borderId="35" xfId="60" applyNumberFormat="1" applyFont="1" applyBorder="1" applyAlignment="1">
      <alignment vertical="top" wrapText="1"/>
      <protection/>
    </xf>
    <xf numFmtId="166" fontId="21" fillId="0" borderId="53" xfId="60" applyNumberFormat="1" applyFont="1" applyBorder="1">
      <alignment/>
      <protection/>
    </xf>
    <xf numFmtId="166" fontId="21" fillId="0" borderId="50" xfId="60" applyNumberFormat="1" applyFont="1" applyBorder="1">
      <alignment/>
      <protection/>
    </xf>
    <xf numFmtId="166" fontId="21" fillId="0" borderId="34" xfId="60" applyNumberFormat="1" applyFont="1" applyBorder="1">
      <alignment/>
      <protection/>
    </xf>
    <xf numFmtId="164" fontId="20" fillId="0" borderId="37" xfId="60" applyFont="1" applyBorder="1" applyAlignment="1">
      <alignment wrapText="1"/>
      <protection/>
    </xf>
    <xf numFmtId="166" fontId="20" fillId="0" borderId="54" xfId="60" applyNumberFormat="1" applyFont="1" applyBorder="1">
      <alignment/>
      <protection/>
    </xf>
    <xf numFmtId="166" fontId="21" fillId="0" borderId="39" xfId="60" applyNumberFormat="1" applyFont="1" applyBorder="1">
      <alignment/>
      <protection/>
    </xf>
    <xf numFmtId="164" fontId="21" fillId="0" borderId="0" xfId="60" applyFont="1" applyBorder="1">
      <alignment/>
      <protection/>
    </xf>
    <xf numFmtId="166" fontId="21" fillId="0" borderId="0" xfId="60" applyNumberFormat="1" applyFont="1" applyBorder="1">
      <alignment/>
      <protection/>
    </xf>
    <xf numFmtId="164" fontId="26" fillId="0" borderId="0" xfId="60" applyFont="1">
      <alignment/>
      <protection/>
    </xf>
    <xf numFmtId="166" fontId="26" fillId="0" borderId="0" xfId="60" applyNumberFormat="1" applyFont="1" applyAlignment="1">
      <alignment/>
      <protection/>
    </xf>
    <xf numFmtId="166" fontId="26" fillId="0" borderId="0" xfId="60" applyNumberFormat="1" applyFont="1">
      <alignment/>
      <protection/>
    </xf>
    <xf numFmtId="164" fontId="27" fillId="0" borderId="0" xfId="0" applyFont="1" applyBorder="1" applyAlignment="1">
      <alignment/>
    </xf>
    <xf numFmtId="164" fontId="28" fillId="0" borderId="0" xfId="0" applyFont="1" applyBorder="1" applyAlignment="1">
      <alignment/>
    </xf>
    <xf numFmtId="164" fontId="28" fillId="0" borderId="0" xfId="0" applyFont="1" applyBorder="1" applyAlignment="1">
      <alignment/>
    </xf>
    <xf numFmtId="164" fontId="0" fillId="0" borderId="0" xfId="0" applyBorder="1" applyAlignment="1">
      <alignment/>
    </xf>
    <xf numFmtId="164" fontId="25" fillId="0" borderId="0" xfId="0" applyFont="1" applyBorder="1" applyAlignment="1">
      <alignment horizontal="center" shrinkToFit="1"/>
    </xf>
    <xf numFmtId="164" fontId="29" fillId="0" borderId="25" xfId="0" applyFont="1" applyBorder="1" applyAlignment="1">
      <alignment/>
    </xf>
    <xf numFmtId="164" fontId="28" fillId="0" borderId="25" xfId="0" applyFont="1" applyBorder="1" applyAlignment="1">
      <alignment/>
    </xf>
    <xf numFmtId="164" fontId="28" fillId="0" borderId="25" xfId="0" applyFont="1" applyBorder="1" applyAlignment="1">
      <alignment/>
    </xf>
    <xf numFmtId="164" fontId="0" fillId="0" borderId="25" xfId="0" applyBorder="1" applyAlignment="1">
      <alignment/>
    </xf>
    <xf numFmtId="164" fontId="21" fillId="0" borderId="10" xfId="0" applyFont="1" applyBorder="1" applyAlignment="1">
      <alignment horizontal="center" vertical="center"/>
    </xf>
    <xf numFmtId="164" fontId="30" fillId="0" borderId="11" xfId="0" applyFont="1" applyBorder="1" applyAlignment="1">
      <alignment horizontal="center" vertical="center" wrapText="1"/>
    </xf>
    <xf numFmtId="164" fontId="30" fillId="0" borderId="55" xfId="0" applyFont="1" applyBorder="1" applyAlignment="1">
      <alignment horizontal="center" vertical="center" wrapText="1"/>
    </xf>
    <xf numFmtId="164" fontId="30" fillId="0" borderId="12" xfId="0" applyFont="1" applyBorder="1" applyAlignment="1">
      <alignment horizontal="center" vertical="center"/>
    </xf>
    <xf numFmtId="164" fontId="21" fillId="0" borderId="14" xfId="60" applyFont="1" applyBorder="1" applyAlignment="1">
      <alignment horizontal="center" vertical="center" wrapText="1"/>
      <protection/>
    </xf>
    <xf numFmtId="164" fontId="21" fillId="0" borderId="15" xfId="60" applyFont="1" applyBorder="1" applyAlignment="1">
      <alignment horizontal="center" vertical="center" wrapText="1"/>
      <protection/>
    </xf>
    <xf numFmtId="164" fontId="21" fillId="0" borderId="16" xfId="0" applyFont="1" applyBorder="1" applyAlignment="1">
      <alignment horizontal="left" vertical="center"/>
    </xf>
    <xf numFmtId="166" fontId="21" fillId="0" borderId="17" xfId="0" applyNumberFormat="1" applyFont="1" applyBorder="1" applyAlignment="1">
      <alignment horizontal="right" vertical="center" wrapText="1"/>
    </xf>
    <xf numFmtId="166" fontId="21" fillId="0" borderId="15" xfId="0" applyNumberFormat="1" applyFont="1" applyBorder="1" applyAlignment="1">
      <alignment horizontal="right" vertical="center" wrapText="1"/>
    </xf>
    <xf numFmtId="164" fontId="31" fillId="0" borderId="0" xfId="0" applyFont="1" applyAlignment="1">
      <alignment/>
    </xf>
    <xf numFmtId="166" fontId="20" fillId="0" borderId="14" xfId="0" applyNumberFormat="1" applyFont="1" applyBorder="1" applyAlignment="1">
      <alignment horizontal="right" vertical="center" wrapText="1"/>
    </xf>
    <xf numFmtId="166" fontId="21" fillId="0" borderId="14" xfId="0" applyNumberFormat="1" applyFont="1" applyBorder="1" applyAlignment="1">
      <alignment horizontal="right" vertical="center" wrapText="1"/>
    </xf>
    <xf numFmtId="166" fontId="21" fillId="0" borderId="19" xfId="0" applyNumberFormat="1" applyFont="1" applyBorder="1" applyAlignment="1">
      <alignment horizontal="right" vertical="center" wrapText="1"/>
    </xf>
    <xf numFmtId="164" fontId="20" fillId="0" borderId="13" xfId="0" applyFont="1" applyBorder="1" applyAlignment="1">
      <alignment wrapText="1"/>
    </xf>
    <xf numFmtId="164" fontId="32" fillId="0" borderId="0" xfId="0" applyFont="1" applyAlignment="1">
      <alignment/>
    </xf>
    <xf numFmtId="166" fontId="21" fillId="0" borderId="0" xfId="0" applyNumberFormat="1" applyFont="1" applyBorder="1" applyAlignment="1">
      <alignment horizontal="right" vertical="center" wrapText="1"/>
    </xf>
    <xf numFmtId="164" fontId="22" fillId="0" borderId="13" xfId="0" applyFont="1" applyBorder="1" applyAlignment="1">
      <alignment/>
    </xf>
    <xf numFmtId="166" fontId="22" fillId="0" borderId="14" xfId="0" applyNumberFormat="1" applyFont="1" applyBorder="1" applyAlignment="1">
      <alignment horizontal="right" vertical="center" wrapText="1"/>
    </xf>
    <xf numFmtId="164" fontId="0" fillId="0" borderId="0" xfId="0" applyFont="1" applyAlignment="1">
      <alignment/>
    </xf>
    <xf numFmtId="164" fontId="22" fillId="0" borderId="13" xfId="0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horizontal="right" vertical="center" wrapText="1"/>
    </xf>
    <xf numFmtId="166" fontId="21" fillId="0" borderId="15" xfId="0" applyNumberFormat="1" applyFont="1" applyBorder="1" applyAlignment="1">
      <alignment/>
    </xf>
    <xf numFmtId="164" fontId="22" fillId="0" borderId="13" xfId="0" applyFont="1" applyBorder="1" applyAlignment="1">
      <alignment wrapText="1"/>
    </xf>
    <xf numFmtId="166" fontId="33" fillId="0" borderId="14" xfId="0" applyNumberFormat="1" applyFont="1" applyBorder="1" applyAlignment="1">
      <alignment/>
    </xf>
    <xf numFmtId="164" fontId="21" fillId="0" borderId="13" xfId="0" applyFont="1" applyBorder="1" applyAlignment="1">
      <alignment shrinkToFit="1"/>
    </xf>
    <xf numFmtId="166" fontId="0" fillId="0" borderId="0" xfId="0" applyNumberFormat="1" applyAlignment="1">
      <alignment/>
    </xf>
    <xf numFmtId="164" fontId="20" fillId="0" borderId="13" xfId="0" applyFont="1" applyBorder="1" applyAlignment="1">
      <alignment shrinkToFit="1"/>
    </xf>
    <xf numFmtId="164" fontId="22" fillId="0" borderId="13" xfId="0" applyFont="1" applyBorder="1" applyAlignment="1">
      <alignment shrinkToFit="1"/>
    </xf>
    <xf numFmtId="164" fontId="21" fillId="0" borderId="22" xfId="0" applyFont="1" applyBorder="1" applyAlignment="1">
      <alignment shrinkToFit="1"/>
    </xf>
    <xf numFmtId="166" fontId="21" fillId="0" borderId="23" xfId="0" applyNumberFormat="1" applyFont="1" applyBorder="1" applyAlignment="1">
      <alignment/>
    </xf>
    <xf numFmtId="166" fontId="21" fillId="0" borderId="56" xfId="0" applyNumberFormat="1" applyFont="1" applyBorder="1" applyAlignment="1">
      <alignment/>
    </xf>
    <xf numFmtId="164" fontId="25" fillId="0" borderId="0" xfId="0" applyFont="1" applyBorder="1" applyAlignment="1">
      <alignment horizontal="center"/>
    </xf>
    <xf numFmtId="164" fontId="25" fillId="0" borderId="25" xfId="0" applyFont="1" applyBorder="1" applyAlignment="1">
      <alignment horizontal="center"/>
    </xf>
    <xf numFmtId="164" fontId="34" fillId="0" borderId="57" xfId="0" applyFont="1" applyBorder="1" applyAlignment="1">
      <alignment/>
    </xf>
    <xf numFmtId="164" fontId="34" fillId="0" borderId="0" xfId="0" applyFont="1" applyBorder="1" applyAlignment="1">
      <alignment/>
    </xf>
    <xf numFmtId="164" fontId="21" fillId="0" borderId="58" xfId="0" applyFont="1" applyBorder="1" applyAlignment="1">
      <alignment horizontal="center" vertical="center" wrapText="1"/>
    </xf>
    <xf numFmtId="164" fontId="30" fillId="0" borderId="59" xfId="0" applyFont="1" applyBorder="1" applyAlignment="1">
      <alignment horizontal="center" vertical="center" wrapText="1"/>
    </xf>
    <xf numFmtId="164" fontId="30" fillId="0" borderId="60" xfId="0" applyFont="1" applyBorder="1" applyAlignment="1">
      <alignment horizontal="center" vertical="center"/>
    </xf>
    <xf numFmtId="164" fontId="34" fillId="0" borderId="17" xfId="0" applyFont="1" applyBorder="1" applyAlignment="1">
      <alignment/>
    </xf>
    <xf numFmtId="164" fontId="34" fillId="0" borderId="50" xfId="0" applyFont="1" applyBorder="1" applyAlignment="1">
      <alignment/>
    </xf>
    <xf numFmtId="166" fontId="21" fillId="0" borderId="61" xfId="0" applyNumberFormat="1" applyFont="1" applyBorder="1" applyAlignment="1">
      <alignment horizontal="center" vertical="center" wrapText="1"/>
    </xf>
    <xf numFmtId="164" fontId="21" fillId="0" borderId="61" xfId="60" applyFont="1" applyBorder="1" applyAlignment="1">
      <alignment horizontal="center" vertical="center" wrapText="1"/>
      <protection/>
    </xf>
    <xf numFmtId="164" fontId="21" fillId="0" borderId="62" xfId="60" applyFont="1" applyBorder="1" applyAlignment="1">
      <alignment horizontal="center" vertical="center" wrapText="1"/>
      <protection/>
    </xf>
    <xf numFmtId="164" fontId="24" fillId="0" borderId="0" xfId="0" applyFont="1" applyBorder="1" applyAlignment="1">
      <alignment/>
    </xf>
    <xf numFmtId="164" fontId="24" fillId="0" borderId="0" xfId="0" applyFont="1" applyAlignment="1">
      <alignment/>
    </xf>
    <xf numFmtId="164" fontId="35" fillId="0" borderId="57" xfId="0" applyFont="1" applyBorder="1" applyAlignment="1">
      <alignment/>
    </xf>
    <xf numFmtId="164" fontId="35" fillId="0" borderId="0" xfId="0" applyFont="1" applyBorder="1" applyAlignment="1">
      <alignment/>
    </xf>
    <xf numFmtId="164" fontId="21" fillId="0" borderId="63" xfId="0" applyFont="1" applyBorder="1" applyAlignment="1">
      <alignment/>
    </xf>
    <xf numFmtId="166" fontId="21" fillId="0" borderId="64" xfId="0" applyNumberFormat="1" applyFont="1" applyBorder="1" applyAlignment="1">
      <alignment wrapText="1"/>
    </xf>
    <xf numFmtId="166" fontId="21" fillId="0" borderId="64" xfId="0" applyNumberFormat="1" applyFont="1" applyBorder="1" applyAlignment="1">
      <alignment/>
    </xf>
    <xf numFmtId="166" fontId="21" fillId="0" borderId="65" xfId="0" applyNumberFormat="1" applyFont="1" applyBorder="1" applyAlignment="1">
      <alignment/>
    </xf>
    <xf numFmtId="166" fontId="21" fillId="0" borderId="66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Alignment="1">
      <alignment/>
    </xf>
    <xf numFmtId="166" fontId="21" fillId="0" borderId="14" xfId="0" applyNumberFormat="1" applyFont="1" applyBorder="1" applyAlignment="1">
      <alignment wrapText="1"/>
    </xf>
    <xf numFmtId="166" fontId="20" fillId="0" borderId="14" xfId="0" applyNumberFormat="1" applyFont="1" applyBorder="1" applyAlignment="1">
      <alignment wrapText="1"/>
    </xf>
    <xf numFmtId="166" fontId="20" fillId="0" borderId="15" xfId="0" applyNumberFormat="1" applyFont="1" applyBorder="1" applyAlignment="1">
      <alignment/>
    </xf>
    <xf numFmtId="164" fontId="21" fillId="0" borderId="13" xfId="0" applyFont="1" applyBorder="1" applyAlignment="1">
      <alignment wrapText="1"/>
    </xf>
    <xf numFmtId="170" fontId="21" fillId="0" borderId="14" xfId="0" applyNumberFormat="1" applyFont="1" applyBorder="1" applyAlignment="1">
      <alignment wrapText="1"/>
    </xf>
    <xf numFmtId="164" fontId="20" fillId="0" borderId="13" xfId="0" applyFont="1" applyBorder="1" applyAlignment="1">
      <alignment horizontal="left" wrapText="1"/>
    </xf>
    <xf numFmtId="164" fontId="35" fillId="0" borderId="67" xfId="0" applyFont="1" applyBorder="1" applyAlignment="1">
      <alignment/>
    </xf>
    <xf numFmtId="164" fontId="35" fillId="0" borderId="68" xfId="0" applyFont="1" applyBorder="1" applyAlignment="1">
      <alignment/>
    </xf>
    <xf numFmtId="164" fontId="34" fillId="0" borderId="0" xfId="0" applyFont="1" applyAlignment="1">
      <alignment/>
    </xf>
    <xf numFmtId="170" fontId="20" fillId="0" borderId="14" xfId="0" applyNumberFormat="1" applyFont="1" applyBorder="1" applyAlignment="1">
      <alignment wrapText="1"/>
    </xf>
    <xf numFmtId="164" fontId="36" fillId="0" borderId="0" xfId="0" applyFont="1" applyAlignment="1">
      <alignment/>
    </xf>
    <xf numFmtId="164" fontId="22" fillId="0" borderId="13" xfId="0" applyFont="1" applyBorder="1" applyAlignment="1">
      <alignment/>
    </xf>
    <xf numFmtId="166" fontId="22" fillId="0" borderId="14" xfId="0" applyNumberFormat="1" applyFont="1" applyBorder="1" applyAlignment="1">
      <alignment wrapText="1"/>
    </xf>
    <xf numFmtId="164" fontId="33" fillId="0" borderId="0" xfId="0" applyFont="1" applyBorder="1" applyAlignment="1">
      <alignment/>
    </xf>
    <xf numFmtId="164" fontId="33" fillId="0" borderId="0" xfId="0" applyFont="1" applyAlignment="1">
      <alignment/>
    </xf>
    <xf numFmtId="164" fontId="37" fillId="0" borderId="0" xfId="0" applyFont="1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Alignment="1">
      <alignment/>
    </xf>
    <xf numFmtId="164" fontId="35" fillId="0" borderId="0" xfId="0" applyFont="1" applyAlignment="1">
      <alignment/>
    </xf>
    <xf numFmtId="164" fontId="21" fillId="0" borderId="22" xfId="0" applyFont="1" applyBorder="1" applyAlignment="1">
      <alignment wrapText="1"/>
    </xf>
    <xf numFmtId="170" fontId="21" fillId="0" borderId="23" xfId="0" applyNumberFormat="1" applyFont="1" applyBorder="1" applyAlignment="1">
      <alignment vertical="center" wrapText="1"/>
    </xf>
    <xf numFmtId="164" fontId="38" fillId="0" borderId="0" xfId="57" applyFont="1" applyAlignment="1">
      <alignment horizontal="right"/>
      <protection/>
    </xf>
    <xf numFmtId="164" fontId="38" fillId="0" borderId="0" xfId="57" applyFont="1">
      <alignment/>
      <protection/>
    </xf>
    <xf numFmtId="164" fontId="39" fillId="0" borderId="0" xfId="57" applyFont="1" applyAlignment="1">
      <alignment horizontal="center"/>
      <protection/>
    </xf>
    <xf numFmtId="164" fontId="38" fillId="0" borderId="0" xfId="57" applyFont="1" applyAlignment="1">
      <alignment horizontal="center"/>
      <protection/>
    </xf>
    <xf numFmtId="164" fontId="38" fillId="0" borderId="0" xfId="57" applyFont="1" applyBorder="1">
      <alignment/>
      <protection/>
    </xf>
    <xf numFmtId="166" fontId="38" fillId="0" borderId="0" xfId="57" applyNumberFormat="1" applyFont="1">
      <alignment/>
      <protection/>
    </xf>
    <xf numFmtId="164" fontId="38" fillId="0" borderId="0" xfId="57" applyFont="1" applyBorder="1" applyAlignment="1">
      <alignment horizontal="right"/>
      <protection/>
    </xf>
    <xf numFmtId="164" fontId="39" fillId="0" borderId="0" xfId="57" applyFont="1" applyBorder="1" applyAlignment="1">
      <alignment horizontal="center"/>
      <protection/>
    </xf>
    <xf numFmtId="164" fontId="38" fillId="0" borderId="0" xfId="57" applyFont="1" applyBorder="1" applyAlignment="1">
      <alignment horizontal="center"/>
      <protection/>
    </xf>
    <xf numFmtId="166" fontId="38" fillId="0" borderId="0" xfId="57" applyNumberFormat="1" applyFont="1" applyBorder="1">
      <alignment/>
      <protection/>
    </xf>
    <xf numFmtId="164" fontId="40" fillId="0" borderId="0" xfId="57" applyFont="1" applyBorder="1" applyAlignment="1">
      <alignment horizontal="center"/>
      <protection/>
    </xf>
    <xf numFmtId="164" fontId="41" fillId="0" borderId="0" xfId="57" applyFont="1" applyBorder="1" applyAlignment="1">
      <alignment horizontal="center"/>
      <protection/>
    </xf>
    <xf numFmtId="164" fontId="38" fillId="0" borderId="25" xfId="57" applyFont="1" applyBorder="1" applyAlignment="1">
      <alignment horizontal="right"/>
      <protection/>
    </xf>
    <xf numFmtId="164" fontId="38" fillId="0" borderId="25" xfId="57" applyFont="1" applyBorder="1">
      <alignment/>
      <protection/>
    </xf>
    <xf numFmtId="164" fontId="39" fillId="0" borderId="25" xfId="57" applyFont="1" applyBorder="1" applyAlignment="1">
      <alignment horizontal="center"/>
      <protection/>
    </xf>
    <xf numFmtId="164" fontId="38" fillId="0" borderId="25" xfId="57" applyFont="1" applyBorder="1" applyAlignment="1">
      <alignment horizontal="center"/>
      <protection/>
    </xf>
    <xf numFmtId="166" fontId="30" fillId="0" borderId="25" xfId="57" applyNumberFormat="1" applyFont="1" applyBorder="1" applyAlignment="1">
      <alignment horizontal="right"/>
      <protection/>
    </xf>
    <xf numFmtId="164" fontId="30" fillId="0" borderId="10" xfId="57" applyFont="1" applyBorder="1" applyAlignment="1">
      <alignment horizontal="center" vertical="center"/>
      <protection/>
    </xf>
    <xf numFmtId="164" fontId="30" fillId="0" borderId="55" xfId="56" applyFont="1" applyBorder="1" applyAlignment="1">
      <alignment horizontal="center" vertical="center"/>
      <protection/>
    </xf>
    <xf numFmtId="164" fontId="30" fillId="0" borderId="11" xfId="57" applyFont="1" applyBorder="1" applyAlignment="1">
      <alignment horizontal="center"/>
      <protection/>
    </xf>
    <xf numFmtId="164" fontId="30" fillId="0" borderId="11" xfId="57" applyFont="1" applyBorder="1" applyAlignment="1">
      <alignment horizontal="center" vertical="center" wrapText="1"/>
      <protection/>
    </xf>
    <xf numFmtId="166" fontId="30" fillId="0" borderId="12" xfId="57" applyNumberFormat="1" applyFont="1" applyBorder="1" applyAlignment="1">
      <alignment horizontal="center" vertical="center" wrapText="1"/>
      <protection/>
    </xf>
    <xf numFmtId="164" fontId="30" fillId="0" borderId="20" xfId="57" applyFont="1" applyBorder="1" applyAlignment="1">
      <alignment horizontal="center" vertical="center" wrapText="1"/>
      <protection/>
    </xf>
    <xf numFmtId="164" fontId="30" fillId="0" borderId="14" xfId="57" applyFont="1" applyBorder="1" applyAlignment="1">
      <alignment horizontal="center" vertical="center" wrapText="1"/>
      <protection/>
    </xf>
    <xf numFmtId="164" fontId="30" fillId="0" borderId="14" xfId="57" applyFont="1" applyBorder="1" applyAlignment="1">
      <alignment horizontal="center" vertical="center"/>
      <protection/>
    </xf>
    <xf numFmtId="164" fontId="39" fillId="0" borderId="0" xfId="57" applyFont="1">
      <alignment/>
      <protection/>
    </xf>
    <xf numFmtId="168" fontId="38" fillId="0" borderId="13" xfId="57" applyNumberFormat="1" applyFont="1" applyBorder="1" applyAlignment="1">
      <alignment horizontal="center"/>
      <protection/>
    </xf>
    <xf numFmtId="164" fontId="38" fillId="0" borderId="14" xfId="57" applyFont="1" applyBorder="1" applyAlignment="1">
      <alignment/>
      <protection/>
    </xf>
    <xf numFmtId="164" fontId="39" fillId="0" borderId="14" xfId="57" applyFont="1" applyBorder="1">
      <alignment/>
      <protection/>
    </xf>
    <xf numFmtId="166" fontId="38" fillId="0" borderId="51" xfId="57" applyNumberFormat="1" applyFont="1" applyBorder="1">
      <alignment/>
      <protection/>
    </xf>
    <xf numFmtId="166" fontId="38" fillId="0" borderId="14" xfId="57" applyNumberFormat="1" applyFont="1" applyBorder="1">
      <alignment/>
      <protection/>
    </xf>
    <xf numFmtId="166" fontId="38" fillId="0" borderId="20" xfId="57" applyNumberFormat="1" applyFont="1" applyBorder="1">
      <alignment/>
      <protection/>
    </xf>
    <xf numFmtId="166" fontId="38" fillId="0" borderId="15" xfId="57" applyNumberFormat="1" applyFont="1" applyBorder="1">
      <alignment/>
      <protection/>
    </xf>
    <xf numFmtId="171" fontId="38" fillId="0" borderId="13" xfId="57" applyNumberFormat="1" applyFont="1" applyBorder="1" applyAlignment="1">
      <alignment horizontal="center"/>
      <protection/>
    </xf>
    <xf numFmtId="164" fontId="38" fillId="0" borderId="14" xfId="57" applyFont="1" applyBorder="1" applyAlignment="1">
      <alignment horizontal="left"/>
      <protection/>
    </xf>
    <xf numFmtId="166" fontId="30" fillId="0" borderId="14" xfId="57" applyNumberFormat="1" applyFont="1" applyBorder="1">
      <alignment/>
      <protection/>
    </xf>
    <xf numFmtId="171" fontId="38" fillId="0" borderId="13" xfId="56" applyNumberFormat="1" applyFont="1" applyBorder="1" applyAlignment="1">
      <alignment horizontal="center" vertical="center"/>
      <protection/>
    </xf>
    <xf numFmtId="164" fontId="38" fillId="0" borderId="14" xfId="56" applyFont="1" applyBorder="1" applyAlignment="1">
      <alignment horizontal="left" vertical="center"/>
      <protection/>
    </xf>
    <xf numFmtId="166" fontId="38" fillId="0" borderId="20" xfId="57" applyNumberFormat="1" applyFont="1" applyBorder="1" applyAlignment="1">
      <alignment horizontal="right"/>
      <protection/>
    </xf>
    <xf numFmtId="166" fontId="38" fillId="0" borderId="14" xfId="57" applyNumberFormat="1" applyFont="1" applyBorder="1" applyAlignment="1">
      <alignment horizontal="right"/>
      <protection/>
    </xf>
    <xf numFmtId="166" fontId="38" fillId="0" borderId="15" xfId="57" applyNumberFormat="1" applyFont="1" applyBorder="1" applyAlignment="1">
      <alignment horizontal="right"/>
      <protection/>
    </xf>
    <xf numFmtId="166" fontId="38" fillId="0" borderId="54" xfId="57" applyNumberFormat="1" applyFont="1" applyBorder="1">
      <alignment/>
      <protection/>
    </xf>
    <xf numFmtId="166" fontId="38" fillId="0" borderId="38" xfId="57" applyNumberFormat="1" applyFont="1" applyBorder="1">
      <alignment/>
      <protection/>
    </xf>
    <xf numFmtId="164" fontId="39" fillId="0" borderId="0" xfId="57" applyFont="1" applyBorder="1">
      <alignment/>
      <protection/>
    </xf>
    <xf numFmtId="171" fontId="38" fillId="0" borderId="69" xfId="57" applyNumberFormat="1" applyFont="1" applyBorder="1" applyAlignment="1">
      <alignment horizontal="center"/>
      <protection/>
    </xf>
    <xf numFmtId="164" fontId="38" fillId="0" borderId="70" xfId="57" applyFont="1" applyBorder="1" applyAlignment="1">
      <alignment/>
      <protection/>
    </xf>
    <xf numFmtId="164" fontId="39" fillId="0" borderId="24" xfId="57" applyFont="1" applyBorder="1">
      <alignment/>
      <protection/>
    </xf>
    <xf numFmtId="166" fontId="38" fillId="0" borderId="23" xfId="57" applyNumberFormat="1" applyFont="1" applyBorder="1">
      <alignment/>
      <protection/>
    </xf>
    <xf numFmtId="166" fontId="39" fillId="0" borderId="23" xfId="57" applyNumberFormat="1" applyFont="1" applyBorder="1">
      <alignment/>
      <protection/>
    </xf>
    <xf numFmtId="166" fontId="38" fillId="0" borderId="71" xfId="57" applyNumberFormat="1" applyFont="1" applyBorder="1">
      <alignment/>
      <protection/>
    </xf>
    <xf numFmtId="166" fontId="38" fillId="0" borderId="70" xfId="57" applyNumberFormat="1" applyFont="1" applyBorder="1">
      <alignment/>
      <protection/>
    </xf>
    <xf numFmtId="166" fontId="38" fillId="0" borderId="72" xfId="57" applyNumberFormat="1" applyFont="1" applyBorder="1">
      <alignment/>
      <protection/>
    </xf>
    <xf numFmtId="171" fontId="38" fillId="0" borderId="16" xfId="57" applyNumberFormat="1" applyFont="1" applyBorder="1" applyAlignment="1">
      <alignment horizontal="center"/>
      <protection/>
    </xf>
    <xf numFmtId="164" fontId="38" fillId="0" borderId="17" xfId="57" applyFont="1" applyBorder="1" applyAlignment="1">
      <alignment/>
      <protection/>
    </xf>
    <xf numFmtId="164" fontId="39" fillId="0" borderId="50" xfId="57" applyFont="1" applyBorder="1">
      <alignment/>
      <protection/>
    </xf>
    <xf numFmtId="166" fontId="38" fillId="0" borderId="17" xfId="57" applyNumberFormat="1" applyFont="1" applyBorder="1">
      <alignment/>
      <protection/>
    </xf>
    <xf numFmtId="166" fontId="38" fillId="0" borderId="18" xfId="57" applyNumberFormat="1" applyFont="1" applyBorder="1">
      <alignment/>
      <protection/>
    </xf>
    <xf numFmtId="166" fontId="38" fillId="0" borderId="19" xfId="57" applyNumberFormat="1" applyFont="1" applyBorder="1">
      <alignment/>
      <protection/>
    </xf>
    <xf numFmtId="166" fontId="38" fillId="0" borderId="50" xfId="57" applyNumberFormat="1" applyFont="1" applyBorder="1">
      <alignment/>
      <protection/>
    </xf>
    <xf numFmtId="166" fontId="38" fillId="0" borderId="18" xfId="57" applyNumberFormat="1" applyFont="1" applyBorder="1" applyAlignment="1">
      <alignment horizontal="right"/>
      <protection/>
    </xf>
    <xf numFmtId="166" fontId="38" fillId="0" borderId="17" xfId="57" applyNumberFormat="1" applyFont="1" applyBorder="1" applyAlignment="1">
      <alignment horizontal="right"/>
      <protection/>
    </xf>
    <xf numFmtId="166" fontId="38" fillId="0" borderId="19" xfId="57" applyNumberFormat="1" applyFont="1" applyBorder="1" applyAlignment="1">
      <alignment horizontal="right"/>
      <protection/>
    </xf>
    <xf numFmtId="164" fontId="38" fillId="0" borderId="14" xfId="57" applyFont="1" applyBorder="1" applyAlignment="1">
      <alignment horizontal="right"/>
      <protection/>
    </xf>
    <xf numFmtId="164" fontId="39" fillId="0" borderId="73" xfId="57" applyFont="1" applyBorder="1">
      <alignment/>
      <protection/>
    </xf>
    <xf numFmtId="166" fontId="38" fillId="0" borderId="74" xfId="57" applyNumberFormat="1" applyFont="1" applyBorder="1" applyAlignment="1">
      <alignment horizontal="right"/>
      <protection/>
    </xf>
    <xf numFmtId="164" fontId="39" fillId="0" borderId="70" xfId="57" applyFont="1" applyBorder="1">
      <alignment/>
      <protection/>
    </xf>
    <xf numFmtId="166" fontId="38" fillId="0" borderId="75" xfId="57" applyNumberFormat="1" applyFont="1" applyBorder="1">
      <alignment/>
      <protection/>
    </xf>
    <xf numFmtId="164" fontId="39" fillId="0" borderId="23" xfId="57" applyFont="1" applyBorder="1">
      <alignment/>
      <protection/>
    </xf>
    <xf numFmtId="166" fontId="38" fillId="0" borderId="23" xfId="57" applyNumberFormat="1" applyFont="1" applyBorder="1" applyAlignment="1">
      <alignment horizontal="right"/>
      <protection/>
    </xf>
    <xf numFmtId="166" fontId="38" fillId="0" borderId="70" xfId="57" applyNumberFormat="1" applyFont="1" applyBorder="1" applyAlignment="1">
      <alignment horizontal="right"/>
      <protection/>
    </xf>
    <xf numFmtId="166" fontId="38" fillId="0" borderId="72" xfId="57" applyNumberFormat="1" applyFont="1" applyBorder="1" applyAlignment="1">
      <alignment horizontal="right"/>
      <protection/>
    </xf>
    <xf numFmtId="164" fontId="38" fillId="0" borderId="20" xfId="57" applyFont="1" applyBorder="1" applyAlignment="1">
      <alignment horizontal="right"/>
      <protection/>
    </xf>
    <xf numFmtId="164" fontId="39" fillId="0" borderId="76" xfId="57" applyFont="1" applyBorder="1">
      <alignment/>
      <protection/>
    </xf>
    <xf numFmtId="164" fontId="39" fillId="0" borderId="77" xfId="57" applyFont="1" applyBorder="1">
      <alignment/>
      <protection/>
    </xf>
    <xf numFmtId="166" fontId="38" fillId="0" borderId="71" xfId="57" applyNumberFormat="1" applyFont="1" applyBorder="1" applyAlignment="1">
      <alignment horizontal="right"/>
      <protection/>
    </xf>
    <xf numFmtId="166" fontId="38" fillId="0" borderId="24" xfId="57" applyNumberFormat="1" applyFont="1" applyBorder="1">
      <alignment/>
      <protection/>
    </xf>
    <xf numFmtId="164" fontId="39" fillId="0" borderId="17" xfId="57" applyFont="1" applyBorder="1">
      <alignment/>
      <protection/>
    </xf>
    <xf numFmtId="164" fontId="38" fillId="0" borderId="14" xfId="57" applyFont="1" applyBorder="1" applyAlignment="1">
      <alignment vertical="top" wrapText="1"/>
      <protection/>
    </xf>
    <xf numFmtId="166" fontId="30" fillId="0" borderId="0" xfId="57" applyNumberFormat="1" applyFont="1" applyBorder="1">
      <alignment/>
      <protection/>
    </xf>
    <xf numFmtId="164" fontId="30" fillId="0" borderId="13" xfId="57" applyFont="1" applyBorder="1" applyAlignment="1">
      <alignment horizontal="left"/>
      <protection/>
    </xf>
    <xf numFmtId="164" fontId="42" fillId="0" borderId="14" xfId="57" applyFont="1" applyBorder="1">
      <alignment/>
      <protection/>
    </xf>
    <xf numFmtId="166" fontId="30" fillId="0" borderId="51" xfId="57" applyNumberFormat="1" applyFont="1" applyBorder="1">
      <alignment/>
      <protection/>
    </xf>
    <xf numFmtId="166" fontId="30" fillId="0" borderId="20" xfId="57" applyNumberFormat="1" applyFont="1" applyBorder="1">
      <alignment/>
      <protection/>
    </xf>
    <xf numFmtId="166" fontId="30" fillId="0" borderId="15" xfId="57" applyNumberFormat="1" applyFont="1" applyBorder="1">
      <alignment/>
      <protection/>
    </xf>
    <xf numFmtId="164" fontId="30" fillId="0" borderId="78" xfId="57" applyFont="1" applyBorder="1" applyAlignment="1">
      <alignment horizontal="left"/>
      <protection/>
    </xf>
    <xf numFmtId="164" fontId="30" fillId="0" borderId="38" xfId="56" applyFont="1" applyBorder="1" applyAlignment="1">
      <alignment horizontal="left"/>
      <protection/>
    </xf>
    <xf numFmtId="164" fontId="42" fillId="0" borderId="38" xfId="57" applyFont="1" applyBorder="1">
      <alignment/>
      <protection/>
    </xf>
    <xf numFmtId="166" fontId="30" fillId="0" borderId="54" xfId="57" applyNumberFormat="1" applyFont="1" applyBorder="1">
      <alignment/>
      <protection/>
    </xf>
    <xf numFmtId="166" fontId="30" fillId="0" borderId="38" xfId="57" applyNumberFormat="1" applyFont="1" applyBorder="1">
      <alignment/>
      <protection/>
    </xf>
    <xf numFmtId="166" fontId="30" fillId="0" borderId="74" xfId="57" applyNumberFormat="1" applyFont="1" applyBorder="1">
      <alignment/>
      <protection/>
    </xf>
    <xf numFmtId="166" fontId="30" fillId="0" borderId="79" xfId="57" applyNumberFormat="1" applyFont="1" applyBorder="1">
      <alignment/>
      <protection/>
    </xf>
    <xf numFmtId="166" fontId="30" fillId="0" borderId="77" xfId="57" applyNumberFormat="1" applyFont="1" applyBorder="1">
      <alignment/>
      <protection/>
    </xf>
    <xf numFmtId="164" fontId="42" fillId="0" borderId="77" xfId="57" applyFont="1" applyBorder="1">
      <alignment/>
      <protection/>
    </xf>
    <xf numFmtId="164" fontId="30" fillId="0" borderId="22" xfId="57" applyFont="1" applyBorder="1" applyAlignment="1">
      <alignment horizontal="left"/>
      <protection/>
    </xf>
    <xf numFmtId="164" fontId="30" fillId="0" borderId="23" xfId="56" applyFont="1" applyBorder="1" applyAlignment="1">
      <alignment horizontal="left"/>
      <protection/>
    </xf>
    <xf numFmtId="164" fontId="42" fillId="0" borderId="23" xfId="57" applyFont="1" applyBorder="1">
      <alignment/>
      <protection/>
    </xf>
    <xf numFmtId="166" fontId="30" fillId="0" borderId="75" xfId="57" applyNumberFormat="1" applyFont="1" applyBorder="1">
      <alignment/>
      <protection/>
    </xf>
    <xf numFmtId="166" fontId="30" fillId="0" borderId="56" xfId="57" applyNumberFormat="1" applyFont="1" applyBorder="1">
      <alignment/>
      <protection/>
    </xf>
    <xf numFmtId="164" fontId="42" fillId="0" borderId="0" xfId="57" applyFont="1" applyBorder="1">
      <alignment/>
      <protection/>
    </xf>
    <xf numFmtId="164" fontId="30" fillId="0" borderId="16" xfId="57" applyFont="1" applyBorder="1" applyAlignment="1">
      <alignment horizontal="left"/>
      <protection/>
    </xf>
    <xf numFmtId="164" fontId="30" fillId="0" borderId="17" xfId="56" applyFont="1" applyBorder="1" applyAlignment="1">
      <alignment horizontal="left"/>
      <protection/>
    </xf>
    <xf numFmtId="164" fontId="42" fillId="0" borderId="50" xfId="57" applyFont="1" applyBorder="1">
      <alignment/>
      <protection/>
    </xf>
    <xf numFmtId="166" fontId="30" fillId="0" borderId="17" xfId="57" applyNumberFormat="1" applyFont="1" applyBorder="1">
      <alignment/>
      <protection/>
    </xf>
    <xf numFmtId="166" fontId="30" fillId="0" borderId="18" xfId="57" applyNumberFormat="1" applyFont="1" applyBorder="1" applyAlignment="1">
      <alignment horizontal="right"/>
      <protection/>
    </xf>
    <xf numFmtId="166" fontId="30" fillId="0" borderId="17" xfId="57" applyNumberFormat="1" applyFont="1" applyBorder="1" applyAlignment="1">
      <alignment horizontal="right"/>
      <protection/>
    </xf>
    <xf numFmtId="166" fontId="30" fillId="0" borderId="19" xfId="57" applyNumberFormat="1" applyFont="1" applyBorder="1" applyAlignment="1">
      <alignment horizontal="right"/>
      <protection/>
    </xf>
    <xf numFmtId="166" fontId="30" fillId="0" borderId="50" xfId="57" applyNumberFormat="1" applyFont="1" applyBorder="1">
      <alignment/>
      <protection/>
    </xf>
    <xf numFmtId="166" fontId="30" fillId="0" borderId="14" xfId="57" applyNumberFormat="1" applyFont="1" applyBorder="1" applyAlignment="1">
      <alignment horizontal="right"/>
      <protection/>
    </xf>
    <xf numFmtId="166" fontId="30" fillId="0" borderId="15" xfId="57" applyNumberFormat="1" applyFont="1" applyBorder="1" applyAlignment="1">
      <alignment horizontal="right"/>
      <protection/>
    </xf>
    <xf numFmtId="164" fontId="42" fillId="0" borderId="0" xfId="57" applyFont="1">
      <alignment/>
      <protection/>
    </xf>
    <xf numFmtId="164" fontId="30" fillId="0" borderId="14" xfId="56" applyFont="1" applyBorder="1" applyAlignment="1">
      <alignment horizontal="left"/>
      <protection/>
    </xf>
    <xf numFmtId="166" fontId="30" fillId="0" borderId="20" xfId="57" applyNumberFormat="1" applyFont="1" applyBorder="1" applyAlignment="1">
      <alignment horizontal="right"/>
      <protection/>
    </xf>
    <xf numFmtId="168" fontId="30" fillId="0" borderId="13" xfId="57" applyNumberFormat="1" applyFont="1" applyBorder="1" applyAlignment="1">
      <alignment horizontal="left"/>
      <protection/>
    </xf>
    <xf numFmtId="164" fontId="32" fillId="0" borderId="14" xfId="56" applyFont="1" applyBorder="1" applyAlignment="1">
      <alignment horizontal="left"/>
      <protection/>
    </xf>
    <xf numFmtId="166" fontId="30" fillId="0" borderId="51" xfId="57" applyNumberFormat="1" applyFont="1" applyBorder="1" applyAlignment="1">
      <alignment horizontal="right"/>
      <protection/>
    </xf>
    <xf numFmtId="164" fontId="30" fillId="0" borderId="13" xfId="57" applyFont="1" applyBorder="1" applyAlignment="1">
      <alignment horizontal="right"/>
      <protection/>
    </xf>
    <xf numFmtId="164" fontId="30" fillId="0" borderId="14" xfId="57" applyFont="1" applyBorder="1">
      <alignment/>
      <protection/>
    </xf>
    <xf numFmtId="164" fontId="42" fillId="0" borderId="14" xfId="57" applyFont="1" applyBorder="1" applyAlignment="1">
      <alignment horizontal="left"/>
      <protection/>
    </xf>
    <xf numFmtId="164" fontId="30" fillId="0" borderId="0" xfId="57" applyFont="1" applyBorder="1">
      <alignment/>
      <protection/>
    </xf>
    <xf numFmtId="164" fontId="38" fillId="0" borderId="13" xfId="57" applyFont="1" applyBorder="1" applyAlignment="1">
      <alignment horizontal="right"/>
      <protection/>
    </xf>
    <xf numFmtId="164" fontId="38" fillId="0" borderId="14" xfId="57" applyFont="1" applyBorder="1">
      <alignment/>
      <protection/>
    </xf>
    <xf numFmtId="164" fontId="39" fillId="0" borderId="14" xfId="57" applyFont="1" applyBorder="1" applyAlignment="1">
      <alignment horizontal="center"/>
      <protection/>
    </xf>
    <xf numFmtId="164" fontId="38" fillId="0" borderId="51" xfId="57" applyFont="1" applyBorder="1" applyAlignment="1">
      <alignment horizontal="center"/>
      <protection/>
    </xf>
    <xf numFmtId="164" fontId="38" fillId="0" borderId="15" xfId="57" applyFont="1" applyBorder="1" applyAlignment="1">
      <alignment horizontal="right"/>
      <protection/>
    </xf>
    <xf numFmtId="166" fontId="38" fillId="0" borderId="13" xfId="57" applyNumberFormat="1" applyFont="1" applyBorder="1" applyAlignment="1">
      <alignment horizontal="center"/>
      <protection/>
    </xf>
    <xf numFmtId="166" fontId="38" fillId="0" borderId="51" xfId="57" applyNumberFormat="1" applyFont="1" applyBorder="1" applyAlignment="1">
      <alignment horizontal="right"/>
      <protection/>
    </xf>
    <xf numFmtId="164" fontId="39" fillId="0" borderId="14" xfId="57" applyFont="1" applyBorder="1" applyAlignment="1">
      <alignment horizontal="left"/>
      <protection/>
    </xf>
    <xf numFmtId="164" fontId="38" fillId="0" borderId="51" xfId="57" applyFont="1" applyBorder="1" applyAlignment="1">
      <alignment horizontal="right"/>
      <protection/>
    </xf>
    <xf numFmtId="164" fontId="30" fillId="0" borderId="14" xfId="57" applyFont="1" applyBorder="1" applyAlignment="1">
      <alignment horizontal="right"/>
      <protection/>
    </xf>
    <xf numFmtId="164" fontId="30" fillId="0" borderId="0" xfId="57" applyFont="1" applyBorder="1" applyAlignment="1">
      <alignment horizontal="right"/>
      <protection/>
    </xf>
    <xf numFmtId="164" fontId="30" fillId="0" borderId="69" xfId="57" applyFont="1" applyBorder="1" applyAlignment="1">
      <alignment horizontal="right"/>
      <protection/>
    </xf>
    <xf numFmtId="164" fontId="30" fillId="0" borderId="70" xfId="57" applyFont="1" applyBorder="1" applyAlignment="1">
      <alignment horizontal="right"/>
      <protection/>
    </xf>
    <xf numFmtId="164" fontId="42" fillId="0" borderId="70" xfId="57" applyFont="1" applyBorder="1" applyAlignment="1">
      <alignment horizontal="left"/>
      <protection/>
    </xf>
    <xf numFmtId="166" fontId="30" fillId="0" borderId="24" xfId="57" applyNumberFormat="1" applyFont="1" applyBorder="1" applyAlignment="1">
      <alignment horizontal="right"/>
      <protection/>
    </xf>
    <xf numFmtId="166" fontId="30" fillId="0" borderId="72" xfId="57" applyNumberFormat="1" applyFont="1" applyBorder="1" applyAlignment="1">
      <alignment horizontal="right"/>
      <protection/>
    </xf>
    <xf numFmtId="164" fontId="30" fillId="0" borderId="0" xfId="57" applyFont="1" applyAlignment="1">
      <alignment horizontal="right"/>
      <protection/>
    </xf>
    <xf numFmtId="164" fontId="0" fillId="0" borderId="0" xfId="0" applyFill="1" applyAlignment="1">
      <alignment/>
    </xf>
    <xf numFmtId="164" fontId="43" fillId="0" borderId="77" xfId="0" applyFont="1" applyFill="1" applyBorder="1" applyAlignment="1">
      <alignment horizontal="center" vertical="center"/>
    </xf>
    <xf numFmtId="164" fontId="43" fillId="0" borderId="0" xfId="0" applyFont="1" applyFill="1" applyBorder="1" applyAlignment="1">
      <alignment horizontal="center" vertical="center"/>
    </xf>
    <xf numFmtId="164" fontId="44" fillId="0" borderId="14" xfId="0" applyFont="1" applyFill="1" applyBorder="1" applyAlignment="1">
      <alignment horizontal="center" vertical="center" wrapText="1"/>
    </xf>
    <xf numFmtId="164" fontId="44" fillId="0" borderId="14" xfId="0" applyFont="1" applyFill="1" applyBorder="1" applyAlignment="1">
      <alignment horizontal="center" vertical="center"/>
    </xf>
    <xf numFmtId="164" fontId="44" fillId="0" borderId="80" xfId="0" applyFont="1" applyFill="1" applyBorder="1" applyAlignment="1">
      <alignment horizontal="center" vertical="center" wrapText="1"/>
    </xf>
    <xf numFmtId="164" fontId="38" fillId="0" borderId="14" xfId="0" applyFont="1" applyBorder="1" applyAlignment="1">
      <alignment horizontal="center" vertical="center" wrapText="1"/>
    </xf>
    <xf numFmtId="164" fontId="38" fillId="0" borderId="14" xfId="0" applyFont="1" applyBorder="1" applyAlignment="1">
      <alignment vertical="center" wrapText="1"/>
    </xf>
    <xf numFmtId="166" fontId="38" fillId="0" borderId="14" xfId="0" applyNumberFormat="1" applyFont="1" applyBorder="1" applyAlignment="1">
      <alignment vertical="center"/>
    </xf>
    <xf numFmtId="166" fontId="38" fillId="0" borderId="14" xfId="0" applyNumberFormat="1" applyFont="1" applyFill="1" applyBorder="1" applyAlignment="1">
      <alignment vertical="center"/>
    </xf>
    <xf numFmtId="164" fontId="45" fillId="0" borderId="0" xfId="0" applyFont="1" applyAlignment="1">
      <alignment/>
    </xf>
    <xf numFmtId="166" fontId="45" fillId="0" borderId="0" xfId="0" applyNumberFormat="1" applyFont="1" applyAlignment="1">
      <alignment/>
    </xf>
    <xf numFmtId="166" fontId="38" fillId="0" borderId="20" xfId="0" applyNumberFormat="1" applyFont="1" applyBorder="1" applyAlignment="1">
      <alignment vertical="center"/>
    </xf>
    <xf numFmtId="166" fontId="38" fillId="0" borderId="0" xfId="0" applyNumberFormat="1" applyFont="1" applyBorder="1" applyAlignment="1">
      <alignment vertical="center"/>
    </xf>
    <xf numFmtId="166" fontId="46" fillId="0" borderId="0" xfId="0" applyNumberFormat="1" applyFont="1" applyBorder="1" applyAlignment="1">
      <alignment vertical="center"/>
    </xf>
    <xf numFmtId="164" fontId="38" fillId="0" borderId="0" xfId="0" applyFont="1" applyAlignment="1">
      <alignment/>
    </xf>
    <xf numFmtId="166" fontId="38" fillId="0" borderId="0" xfId="0" applyNumberFormat="1" applyFont="1" applyAlignment="1">
      <alignment/>
    </xf>
    <xf numFmtId="166" fontId="38" fillId="0" borderId="14" xfId="0" applyNumberFormat="1" applyFont="1" applyBorder="1" applyAlignment="1">
      <alignment/>
    </xf>
    <xf numFmtId="166" fontId="38" fillId="0" borderId="14" xfId="0" applyNumberFormat="1" applyFont="1" applyFill="1" applyBorder="1" applyAlignment="1">
      <alignment/>
    </xf>
    <xf numFmtId="164" fontId="46" fillId="0" borderId="0" xfId="0" applyFont="1" applyAlignment="1">
      <alignment/>
    </xf>
    <xf numFmtId="166" fontId="46" fillId="0" borderId="0" xfId="0" applyNumberFormat="1" applyFont="1" applyAlignment="1">
      <alignment/>
    </xf>
    <xf numFmtId="164" fontId="30" fillId="0" borderId="14" xfId="0" applyFont="1" applyBorder="1" applyAlignment="1">
      <alignment horizontal="center" vertical="center" wrapText="1"/>
    </xf>
    <xf numFmtId="164" fontId="30" fillId="0" borderId="14" xfId="0" applyFont="1" applyBorder="1" applyAlignment="1">
      <alignment vertical="center" wrapText="1"/>
    </xf>
    <xf numFmtId="166" fontId="30" fillId="0" borderId="14" xfId="0" applyNumberFormat="1" applyFont="1" applyBorder="1" applyAlignment="1">
      <alignment vertical="center"/>
    </xf>
    <xf numFmtId="166" fontId="30" fillId="0" borderId="14" xfId="0" applyNumberFormat="1" applyFont="1" applyFill="1" applyBorder="1" applyAlignment="1">
      <alignment vertical="center"/>
    </xf>
    <xf numFmtId="164" fontId="47" fillId="0" borderId="0" xfId="0" applyFont="1" applyAlignment="1">
      <alignment/>
    </xf>
    <xf numFmtId="164" fontId="48" fillId="0" borderId="0" xfId="0" applyFont="1" applyAlignment="1">
      <alignment/>
    </xf>
    <xf numFmtId="166" fontId="47" fillId="0" borderId="0" xfId="0" applyNumberFormat="1" applyFont="1" applyAlignment="1">
      <alignment/>
    </xf>
    <xf numFmtId="166" fontId="48" fillId="0" borderId="0" xfId="0" applyNumberFormat="1" applyFont="1" applyAlignment="1">
      <alignment/>
    </xf>
    <xf numFmtId="164" fontId="38" fillId="0" borderId="20" xfId="0" applyFont="1" applyBorder="1" applyAlignment="1">
      <alignment vertical="center" wrapText="1"/>
    </xf>
    <xf numFmtId="164" fontId="0" fillId="0" borderId="20" xfId="0" applyBorder="1" applyAlignment="1">
      <alignment/>
    </xf>
    <xf numFmtId="166" fontId="0" fillId="0" borderId="51" xfId="0" applyNumberFormat="1" applyBorder="1" applyAlignment="1">
      <alignment/>
    </xf>
    <xf numFmtId="164" fontId="1" fillId="0" borderId="20" xfId="0" applyFont="1" applyBorder="1" applyAlignment="1">
      <alignment/>
    </xf>
    <xf numFmtId="166" fontId="1" fillId="0" borderId="14" xfId="0" applyNumberFormat="1" applyFont="1" applyBorder="1" applyAlignment="1">
      <alignment/>
    </xf>
    <xf numFmtId="166" fontId="1" fillId="0" borderId="14" xfId="0" applyNumberFormat="1" applyFont="1" applyFill="1" applyBorder="1" applyAlignment="1">
      <alignment/>
    </xf>
    <xf numFmtId="164" fontId="1" fillId="0" borderId="14" xfId="0" applyFont="1" applyBorder="1" applyAlignment="1">
      <alignment/>
    </xf>
    <xf numFmtId="164" fontId="1" fillId="0" borderId="14" xfId="0" applyFont="1" applyFill="1" applyBorder="1" applyAlignment="1">
      <alignment/>
    </xf>
    <xf numFmtId="164" fontId="45" fillId="0" borderId="20" xfId="0" applyFont="1" applyBorder="1" applyAlignment="1">
      <alignment/>
    </xf>
    <xf numFmtId="166" fontId="45" fillId="0" borderId="51" xfId="0" applyNumberFormat="1" applyFont="1" applyBorder="1" applyAlignment="1">
      <alignment/>
    </xf>
    <xf numFmtId="164" fontId="45" fillId="0" borderId="0" xfId="0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0" xfId="58">
      <alignment/>
      <protection/>
    </xf>
    <xf numFmtId="166" fontId="1" fillId="0" borderId="0" xfId="58" applyNumberFormat="1">
      <alignment/>
      <protection/>
    </xf>
    <xf numFmtId="166" fontId="38" fillId="0" borderId="0" xfId="58" applyNumberFormat="1" applyFont="1">
      <alignment/>
      <protection/>
    </xf>
    <xf numFmtId="164" fontId="30" fillId="0" borderId="0" xfId="58" applyFont="1">
      <alignment/>
      <protection/>
    </xf>
    <xf numFmtId="164" fontId="38" fillId="0" borderId="0" xfId="58" applyFont="1">
      <alignment/>
      <protection/>
    </xf>
    <xf numFmtId="164" fontId="49" fillId="0" borderId="0" xfId="58" applyFont="1" applyBorder="1" applyAlignment="1">
      <alignment horizontal="center" vertical="center"/>
      <protection/>
    </xf>
    <xf numFmtId="164" fontId="49" fillId="0" borderId="0" xfId="58" applyFont="1" applyBorder="1" applyAlignment="1">
      <alignment horizontal="center"/>
      <protection/>
    </xf>
    <xf numFmtId="164" fontId="30" fillId="0" borderId="10" xfId="58" applyFont="1" applyBorder="1" applyAlignment="1">
      <alignment horizontal="center" vertical="center"/>
      <protection/>
    </xf>
    <xf numFmtId="166" fontId="30" fillId="0" borderId="11" xfId="58" applyNumberFormat="1" applyFont="1" applyBorder="1" applyAlignment="1">
      <alignment horizontal="center" vertical="center"/>
      <protection/>
    </xf>
    <xf numFmtId="164" fontId="30" fillId="0" borderId="11" xfId="58" applyFont="1" applyBorder="1" applyAlignment="1">
      <alignment horizontal="center" vertical="center"/>
      <protection/>
    </xf>
    <xf numFmtId="164" fontId="30" fillId="0" borderId="81" xfId="58" applyFont="1" applyBorder="1" applyAlignment="1">
      <alignment horizontal="center" vertical="center" wrapText="1"/>
      <protection/>
    </xf>
    <xf numFmtId="166" fontId="30" fillId="0" borderId="12" xfId="58" applyNumberFormat="1" applyFont="1" applyBorder="1" applyAlignment="1">
      <alignment horizontal="center" vertical="center"/>
      <protection/>
    </xf>
    <xf numFmtId="164" fontId="1" fillId="0" borderId="0" xfId="58" applyAlignment="1">
      <alignment horizontal="center" vertical="center"/>
      <protection/>
    </xf>
    <xf numFmtId="164" fontId="38" fillId="0" borderId="13" xfId="58" applyFont="1" applyBorder="1">
      <alignment/>
      <protection/>
    </xf>
    <xf numFmtId="166" fontId="38" fillId="0" borderId="14" xfId="58" applyNumberFormat="1" applyFont="1" applyBorder="1">
      <alignment/>
      <protection/>
    </xf>
    <xf numFmtId="166" fontId="38" fillId="0" borderId="20" xfId="58" applyNumberFormat="1" applyFont="1" applyBorder="1" applyAlignment="1">
      <alignment horizontal="right"/>
      <protection/>
    </xf>
    <xf numFmtId="164" fontId="38" fillId="0" borderId="14" xfId="58" applyFont="1" applyBorder="1">
      <alignment/>
      <protection/>
    </xf>
    <xf numFmtId="166" fontId="38" fillId="0" borderId="15" xfId="58" applyNumberFormat="1" applyFont="1" applyBorder="1">
      <alignment/>
      <protection/>
    </xf>
    <xf numFmtId="164" fontId="30" fillId="0" borderId="13" xfId="58" applyFont="1" applyBorder="1">
      <alignment/>
      <protection/>
    </xf>
    <xf numFmtId="166" fontId="30" fillId="0" borderId="14" xfId="58" applyNumberFormat="1" applyFont="1" applyBorder="1">
      <alignment/>
      <protection/>
    </xf>
    <xf numFmtId="166" fontId="30" fillId="0" borderId="20" xfId="58" applyNumberFormat="1" applyFont="1" applyBorder="1">
      <alignment/>
      <protection/>
    </xf>
    <xf numFmtId="166" fontId="30" fillId="0" borderId="15" xfId="58" applyNumberFormat="1" applyFont="1" applyBorder="1">
      <alignment/>
      <protection/>
    </xf>
    <xf numFmtId="164" fontId="50" fillId="0" borderId="13" xfId="58" applyFont="1" applyBorder="1">
      <alignment/>
      <protection/>
    </xf>
    <xf numFmtId="166" fontId="50" fillId="0" borderId="14" xfId="58" applyNumberFormat="1" applyFont="1" applyBorder="1">
      <alignment/>
      <protection/>
    </xf>
    <xf numFmtId="166" fontId="50" fillId="0" borderId="20" xfId="58" applyNumberFormat="1" applyFont="1" applyBorder="1">
      <alignment/>
      <protection/>
    </xf>
    <xf numFmtId="166" fontId="50" fillId="0" borderId="15" xfId="58" applyNumberFormat="1" applyFont="1" applyBorder="1">
      <alignment/>
      <protection/>
    </xf>
    <xf numFmtId="164" fontId="38" fillId="0" borderId="13" xfId="58" applyFont="1" applyBorder="1" applyAlignment="1">
      <alignment wrapText="1"/>
      <protection/>
    </xf>
    <xf numFmtId="172" fontId="38" fillId="0" borderId="13" xfId="58" applyNumberFormat="1" applyFont="1" applyBorder="1" applyAlignment="1">
      <alignment wrapText="1"/>
      <protection/>
    </xf>
    <xf numFmtId="164" fontId="38" fillId="0" borderId="13" xfId="0" applyFont="1" applyBorder="1" applyAlignment="1">
      <alignment wrapText="1"/>
    </xf>
    <xf numFmtId="166" fontId="38" fillId="0" borderId="20" xfId="58" applyNumberFormat="1" applyFont="1" applyBorder="1">
      <alignment/>
      <protection/>
    </xf>
    <xf numFmtId="164" fontId="50" fillId="0" borderId="16" xfId="58" applyFont="1" applyBorder="1">
      <alignment/>
      <protection/>
    </xf>
    <xf numFmtId="166" fontId="50" fillId="0" borderId="17" xfId="58" applyNumberFormat="1" applyFont="1" applyBorder="1">
      <alignment/>
      <protection/>
    </xf>
    <xf numFmtId="166" fontId="50" fillId="0" borderId="18" xfId="58" applyNumberFormat="1" applyFont="1" applyBorder="1">
      <alignment/>
      <protection/>
    </xf>
    <xf numFmtId="166" fontId="50" fillId="0" borderId="19" xfId="58" applyNumberFormat="1" applyFont="1" applyBorder="1">
      <alignment/>
      <protection/>
    </xf>
    <xf numFmtId="164" fontId="38" fillId="0" borderId="22" xfId="58" applyFont="1" applyBorder="1">
      <alignment/>
      <protection/>
    </xf>
    <xf numFmtId="166" fontId="38" fillId="0" borderId="23" xfId="58" applyNumberFormat="1" applyFont="1" applyBorder="1">
      <alignment/>
      <protection/>
    </xf>
    <xf numFmtId="166" fontId="38" fillId="0" borderId="82" xfId="58" applyNumberFormat="1" applyFont="1" applyBorder="1" applyAlignment="1">
      <alignment horizontal="right"/>
      <protection/>
    </xf>
    <xf numFmtId="166" fontId="38" fillId="0" borderId="56" xfId="58" applyNumberFormat="1" applyFont="1" applyBorder="1">
      <alignment/>
      <protection/>
    </xf>
    <xf numFmtId="164" fontId="38" fillId="0" borderId="16" xfId="58" applyFont="1" applyBorder="1">
      <alignment/>
      <protection/>
    </xf>
    <xf numFmtId="166" fontId="38" fillId="0" borderId="17" xfId="58" applyNumberFormat="1" applyFont="1" applyBorder="1">
      <alignment/>
      <protection/>
    </xf>
    <xf numFmtId="166" fontId="38" fillId="0" borderId="18" xfId="58" applyNumberFormat="1" applyFont="1" applyBorder="1" applyAlignment="1">
      <alignment horizontal="right"/>
      <protection/>
    </xf>
    <xf numFmtId="166" fontId="38" fillId="0" borderId="19" xfId="58" applyNumberFormat="1" applyFont="1" applyBorder="1">
      <alignment/>
      <protection/>
    </xf>
    <xf numFmtId="164" fontId="47" fillId="0" borderId="0" xfId="58" applyFont="1">
      <alignment/>
      <protection/>
    </xf>
    <xf numFmtId="164" fontId="51" fillId="0" borderId="22" xfId="58" applyFont="1" applyBorder="1">
      <alignment/>
      <protection/>
    </xf>
    <xf numFmtId="166" fontId="51" fillId="0" borderId="23" xfId="58" applyNumberFormat="1" applyFont="1" applyBorder="1">
      <alignment/>
      <protection/>
    </xf>
    <xf numFmtId="166" fontId="51" fillId="0" borderId="82" xfId="58" applyNumberFormat="1" applyFont="1" applyBorder="1">
      <alignment/>
      <protection/>
    </xf>
    <xf numFmtId="166" fontId="51" fillId="0" borderId="56" xfId="58" applyNumberFormat="1" applyFont="1" applyBorder="1">
      <alignment/>
      <protection/>
    </xf>
    <xf numFmtId="164" fontId="52" fillId="0" borderId="0" xfId="58" applyFont="1">
      <alignment/>
      <protection/>
    </xf>
    <xf numFmtId="164" fontId="30" fillId="0" borderId="11" xfId="58" applyFont="1" applyBorder="1" applyAlignment="1">
      <alignment horizontal="center"/>
      <protection/>
    </xf>
    <xf numFmtId="166" fontId="30" fillId="0" borderId="12" xfId="58" applyNumberFormat="1" applyFont="1" applyBorder="1" applyAlignment="1">
      <alignment horizontal="center"/>
      <protection/>
    </xf>
    <xf numFmtId="164" fontId="53" fillId="0" borderId="0" xfId="58" applyFont="1">
      <alignment/>
      <protection/>
    </xf>
    <xf numFmtId="164" fontId="38" fillId="0" borderId="13" xfId="0" applyFont="1" applyBorder="1" applyAlignment="1">
      <alignment/>
    </xf>
    <xf numFmtId="164" fontId="38" fillId="0" borderId="13" xfId="0" applyFont="1" applyFill="1" applyBorder="1" applyAlignment="1">
      <alignment wrapText="1"/>
    </xf>
    <xf numFmtId="166" fontId="38" fillId="0" borderId="14" xfId="58" applyNumberFormat="1" applyFont="1" applyFill="1" applyBorder="1">
      <alignment/>
      <protection/>
    </xf>
    <xf numFmtId="166" fontId="38" fillId="0" borderId="15" xfId="58" applyNumberFormat="1" applyFont="1" applyFill="1" applyBorder="1">
      <alignment/>
      <protection/>
    </xf>
    <xf numFmtId="164" fontId="1" fillId="0" borderId="0" xfId="58" applyFill="1">
      <alignment/>
      <protection/>
    </xf>
    <xf numFmtId="164" fontId="38" fillId="0" borderId="22" xfId="0" applyFont="1" applyBorder="1" applyAlignment="1">
      <alignment wrapText="1"/>
    </xf>
    <xf numFmtId="164" fontId="38" fillId="0" borderId="10" xfId="0" applyFont="1" applyBorder="1" applyAlignment="1">
      <alignment wrapText="1"/>
    </xf>
    <xf numFmtId="166" fontId="38" fillId="0" borderId="11" xfId="58" applyNumberFormat="1" applyFont="1" applyBorder="1">
      <alignment/>
      <protection/>
    </xf>
    <xf numFmtId="166" fontId="38" fillId="0" borderId="12" xfId="58" applyNumberFormat="1" applyFont="1" applyBorder="1">
      <alignment/>
      <protection/>
    </xf>
    <xf numFmtId="164" fontId="1" fillId="0" borderId="0" xfId="58" applyBorder="1">
      <alignment/>
      <protection/>
    </xf>
    <xf numFmtId="164" fontId="38" fillId="0" borderId="13" xfId="58" applyFont="1" applyFill="1" applyBorder="1">
      <alignment/>
      <protection/>
    </xf>
    <xf numFmtId="164" fontId="38" fillId="0" borderId="13" xfId="58" applyFont="1" applyFill="1" applyBorder="1" applyAlignment="1">
      <alignment wrapText="1"/>
      <protection/>
    </xf>
    <xf numFmtId="164" fontId="1" fillId="0" borderId="0" xfId="58" applyFont="1">
      <alignment/>
      <protection/>
    </xf>
    <xf numFmtId="164" fontId="23" fillId="0" borderId="0" xfId="0" applyFont="1" applyBorder="1" applyAlignment="1">
      <alignment horizontal="center" wrapText="1"/>
    </xf>
    <xf numFmtId="164" fontId="23" fillId="0" borderId="0" xfId="0" applyFont="1" applyAlignment="1">
      <alignment horizontal="center" wrapText="1"/>
    </xf>
    <xf numFmtId="164" fontId="21" fillId="0" borderId="11" xfId="0" applyFont="1" applyBorder="1" applyAlignment="1">
      <alignment horizontal="center" vertical="center"/>
    </xf>
    <xf numFmtId="166" fontId="21" fillId="0" borderId="11" xfId="0" applyNumberFormat="1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 horizontal="center" vertical="center" wrapText="1"/>
    </xf>
    <xf numFmtId="166" fontId="30" fillId="0" borderId="83" xfId="0" applyNumberFormat="1" applyFont="1" applyBorder="1" applyAlignment="1">
      <alignment horizontal="center" vertical="center" wrapText="1"/>
    </xf>
    <xf numFmtId="166" fontId="30" fillId="0" borderId="0" xfId="0" applyNumberFormat="1" applyFont="1" applyBorder="1" applyAlignment="1">
      <alignment horizontal="center" vertical="center" wrapText="1"/>
    </xf>
    <xf numFmtId="164" fontId="20" fillId="0" borderId="13" xfId="0" applyFont="1" applyBorder="1" applyAlignment="1">
      <alignment horizontal="left" vertical="center" wrapText="1"/>
    </xf>
    <xf numFmtId="166" fontId="20" fillId="0" borderId="14" xfId="0" applyNumberFormat="1" applyFont="1" applyBorder="1" applyAlignment="1">
      <alignment horizontal="right" vertical="center"/>
    </xf>
    <xf numFmtId="166" fontId="38" fillId="0" borderId="14" xfId="0" applyNumberFormat="1" applyFont="1" applyBorder="1" applyAlignment="1">
      <alignment horizontal="right" vertical="center"/>
    </xf>
    <xf numFmtId="166" fontId="38" fillId="0" borderId="84" xfId="0" applyNumberFormat="1" applyFont="1" applyBorder="1" applyAlignment="1">
      <alignment horizontal="right" vertical="center"/>
    </xf>
    <xf numFmtId="166" fontId="38" fillId="0" borderId="0" xfId="0" applyNumberFormat="1" applyFont="1" applyBorder="1" applyAlignment="1">
      <alignment horizontal="right" vertical="center"/>
    </xf>
    <xf numFmtId="164" fontId="21" fillId="0" borderId="13" xfId="0" applyFont="1" applyBorder="1" applyAlignment="1">
      <alignment horizontal="left" vertical="center" wrapText="1"/>
    </xf>
    <xf numFmtId="166" fontId="21" fillId="0" borderId="14" xfId="0" applyNumberFormat="1" applyFont="1" applyBorder="1" applyAlignment="1">
      <alignment horizontal="right" vertical="center"/>
    </xf>
    <xf numFmtId="166" fontId="30" fillId="0" borderId="14" xfId="0" applyNumberFormat="1" applyFont="1" applyBorder="1" applyAlignment="1">
      <alignment horizontal="right" vertical="center"/>
    </xf>
    <xf numFmtId="166" fontId="30" fillId="0" borderId="84" xfId="0" applyNumberFormat="1" applyFont="1" applyBorder="1" applyAlignment="1">
      <alignment horizontal="right" vertical="center"/>
    </xf>
    <xf numFmtId="166" fontId="30" fillId="0" borderId="0" xfId="0" applyNumberFormat="1" applyFont="1" applyBorder="1" applyAlignment="1">
      <alignment horizontal="right" vertical="center"/>
    </xf>
    <xf numFmtId="164" fontId="33" fillId="0" borderId="13" xfId="0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horizontal="right" vertical="center"/>
    </xf>
    <xf numFmtId="164" fontId="20" fillId="0" borderId="13" xfId="0" applyFont="1" applyBorder="1" applyAlignment="1">
      <alignment horizontal="left" vertical="center"/>
    </xf>
    <xf numFmtId="164" fontId="21" fillId="0" borderId="13" xfId="0" applyFont="1" applyBorder="1" applyAlignment="1">
      <alignment horizontal="left" vertical="center"/>
    </xf>
    <xf numFmtId="166" fontId="30" fillId="0" borderId="15" xfId="0" applyNumberFormat="1" applyFont="1" applyBorder="1" applyAlignment="1">
      <alignment horizontal="right" vertical="center"/>
    </xf>
    <xf numFmtId="166" fontId="38" fillId="0" borderId="15" xfId="0" applyNumberFormat="1" applyFont="1" applyBorder="1" applyAlignment="1">
      <alignment horizontal="right" vertical="center"/>
    </xf>
    <xf numFmtId="164" fontId="33" fillId="0" borderId="22" xfId="0" applyFont="1" applyBorder="1" applyAlignment="1">
      <alignment horizontal="left" vertical="center"/>
    </xf>
    <xf numFmtId="166" fontId="33" fillId="0" borderId="23" xfId="0" applyNumberFormat="1" applyFont="1" applyBorder="1" applyAlignment="1">
      <alignment horizontal="right" vertical="center"/>
    </xf>
    <xf numFmtId="166" fontId="50" fillId="0" borderId="23" xfId="0" applyNumberFormat="1" applyFont="1" applyBorder="1" applyAlignment="1">
      <alignment horizontal="right" vertical="center"/>
    </xf>
    <xf numFmtId="166" fontId="50" fillId="0" borderId="85" xfId="0" applyNumberFormat="1" applyFont="1" applyBorder="1" applyAlignment="1">
      <alignment horizontal="right" vertical="center"/>
    </xf>
    <xf numFmtId="166" fontId="50" fillId="0" borderId="0" xfId="0" applyNumberFormat="1" applyFont="1" applyBorder="1" applyAlignment="1">
      <alignment horizontal="right" vertical="center"/>
    </xf>
    <xf numFmtId="164" fontId="54" fillId="0" borderId="0" xfId="0" applyFont="1" applyAlignment="1">
      <alignment/>
    </xf>
    <xf numFmtId="164" fontId="1" fillId="0" borderId="0" xfId="59">
      <alignment/>
      <protection/>
    </xf>
    <xf numFmtId="166" fontId="1" fillId="0" borderId="0" xfId="59" applyNumberFormat="1">
      <alignment/>
      <protection/>
    </xf>
    <xf numFmtId="164" fontId="23" fillId="0" borderId="0" xfId="59" applyFont="1" applyBorder="1" applyAlignment="1">
      <alignment horizontal="center" wrapText="1"/>
      <protection/>
    </xf>
    <xf numFmtId="164" fontId="23" fillId="0" borderId="0" xfId="59" applyFont="1" applyBorder="1" applyAlignment="1">
      <alignment horizontal="center"/>
      <protection/>
    </xf>
    <xf numFmtId="164" fontId="20" fillId="0" borderId="0" xfId="59" applyFont="1">
      <alignment/>
      <protection/>
    </xf>
    <xf numFmtId="164" fontId="21" fillId="0" borderId="10" xfId="59" applyFont="1" applyBorder="1" applyAlignment="1">
      <alignment horizontal="left" vertical="center" wrapText="1"/>
      <protection/>
    </xf>
    <xf numFmtId="164" fontId="21" fillId="0" borderId="11" xfId="59" applyFont="1" applyBorder="1" applyAlignment="1">
      <alignment horizontal="center" vertical="center"/>
      <protection/>
    </xf>
    <xf numFmtId="164" fontId="30" fillId="0" borderId="11" xfId="59" applyFont="1" applyBorder="1" applyAlignment="1">
      <alignment horizontal="center" vertical="center" wrapText="1"/>
      <protection/>
    </xf>
    <xf numFmtId="166" fontId="30" fillId="0" borderId="83" xfId="59" applyNumberFormat="1" applyFont="1" applyBorder="1" applyAlignment="1">
      <alignment horizontal="center" vertical="center"/>
      <protection/>
    </xf>
    <xf numFmtId="164" fontId="38" fillId="0" borderId="13" xfId="59" applyFont="1" applyBorder="1">
      <alignment/>
      <protection/>
    </xf>
    <xf numFmtId="166" fontId="38" fillId="0" borderId="14" xfId="59" applyNumberFormat="1" applyFont="1" applyBorder="1">
      <alignment/>
      <protection/>
    </xf>
    <xf numFmtId="166" fontId="38" fillId="0" borderId="15" xfId="59" applyNumberFormat="1" applyFont="1" applyBorder="1">
      <alignment/>
      <protection/>
    </xf>
    <xf numFmtId="164" fontId="38" fillId="0" borderId="13" xfId="59" applyFont="1" applyBorder="1" applyAlignment="1">
      <alignment wrapText="1"/>
      <protection/>
    </xf>
    <xf numFmtId="166" fontId="38" fillId="0" borderId="84" xfId="59" applyNumberFormat="1" applyFont="1" applyBorder="1">
      <alignment/>
      <protection/>
    </xf>
    <xf numFmtId="164" fontId="38" fillId="0" borderId="78" xfId="59" applyFont="1" applyBorder="1" applyAlignment="1">
      <alignment wrapText="1"/>
      <protection/>
    </xf>
    <xf numFmtId="166" fontId="38" fillId="0" borderId="38" xfId="59" applyNumberFormat="1" applyFont="1" applyBorder="1">
      <alignment/>
      <protection/>
    </xf>
    <xf numFmtId="166" fontId="38" fillId="0" borderId="86" xfId="59" applyNumberFormat="1" applyFont="1" applyBorder="1">
      <alignment/>
      <protection/>
    </xf>
    <xf numFmtId="164" fontId="50" fillId="0" borderId="22" xfId="59" applyFont="1" applyBorder="1">
      <alignment/>
      <protection/>
    </xf>
    <xf numFmtId="166" fontId="50" fillId="0" borderId="23" xfId="59" applyNumberFormat="1" applyFont="1" applyBorder="1">
      <alignment/>
      <protection/>
    </xf>
    <xf numFmtId="166" fontId="50" fillId="0" borderId="56" xfId="59" applyNumberFormat="1" applyFont="1" applyBorder="1">
      <alignment/>
      <protection/>
    </xf>
    <xf numFmtId="164" fontId="50" fillId="0" borderId="0" xfId="59" applyFont="1" applyBorder="1">
      <alignment/>
      <protection/>
    </xf>
    <xf numFmtId="166" fontId="50" fillId="0" borderId="0" xfId="59" applyNumberFormat="1" applyFont="1" applyBorder="1">
      <alignment/>
      <protection/>
    </xf>
    <xf numFmtId="164" fontId="50" fillId="0" borderId="25" xfId="59" applyFont="1" applyBorder="1">
      <alignment/>
      <protection/>
    </xf>
    <xf numFmtId="166" fontId="50" fillId="0" borderId="25" xfId="59" applyNumberFormat="1" applyFont="1" applyBorder="1">
      <alignment/>
      <protection/>
    </xf>
    <xf numFmtId="164" fontId="30" fillId="0" borderId="13" xfId="59" applyFont="1" applyBorder="1" applyAlignment="1">
      <alignment vertical="top" wrapText="1"/>
      <protection/>
    </xf>
    <xf numFmtId="164" fontId="30" fillId="0" borderId="14" xfId="59" applyFont="1" applyBorder="1" applyAlignment="1">
      <alignment horizontal="center"/>
      <protection/>
    </xf>
    <xf numFmtId="164" fontId="50" fillId="0" borderId="13" xfId="59" applyFont="1" applyBorder="1">
      <alignment/>
      <protection/>
    </xf>
    <xf numFmtId="166" fontId="50" fillId="0" borderId="14" xfId="59" applyNumberFormat="1" applyFont="1" applyBorder="1">
      <alignment/>
      <protection/>
    </xf>
    <xf numFmtId="166" fontId="50" fillId="0" borderId="15" xfId="59" applyNumberFormat="1" applyFont="1" applyBorder="1">
      <alignment/>
      <protection/>
    </xf>
    <xf numFmtId="166" fontId="50" fillId="0" borderId="84" xfId="59" applyNumberFormat="1" applyFont="1" applyBorder="1">
      <alignment/>
      <protection/>
    </xf>
    <xf numFmtId="164" fontId="30" fillId="0" borderId="13" xfId="59" applyFont="1" applyBorder="1">
      <alignment/>
      <protection/>
    </xf>
    <xf numFmtId="166" fontId="30" fillId="0" borderId="14" xfId="59" applyNumberFormat="1" applyFont="1" applyBorder="1">
      <alignment/>
      <protection/>
    </xf>
    <xf numFmtId="166" fontId="30" fillId="0" borderId="84" xfId="59" applyNumberFormat="1" applyFont="1" applyBorder="1">
      <alignment/>
      <protection/>
    </xf>
    <xf numFmtId="164" fontId="53" fillId="0" borderId="0" xfId="59" applyFont="1">
      <alignment/>
      <protection/>
    </xf>
    <xf numFmtId="164" fontId="38" fillId="0" borderId="14" xfId="59" applyFont="1" applyBorder="1">
      <alignment/>
      <protection/>
    </xf>
    <xf numFmtId="164" fontId="1" fillId="0" borderId="84" xfId="59" applyBorder="1">
      <alignment/>
      <protection/>
    </xf>
    <xf numFmtId="164" fontId="30" fillId="0" borderId="22" xfId="59" applyFont="1" applyBorder="1">
      <alignment/>
      <protection/>
    </xf>
    <xf numFmtId="166" fontId="30" fillId="0" borderId="23" xfId="59" applyNumberFormat="1" applyFont="1" applyBorder="1">
      <alignment/>
      <protection/>
    </xf>
    <xf numFmtId="166" fontId="30" fillId="0" borderId="56" xfId="59" applyNumberFormat="1" applyFont="1" applyBorder="1">
      <alignment/>
      <protection/>
    </xf>
    <xf numFmtId="164" fontId="23" fillId="0" borderId="0" xfId="58" applyFont="1">
      <alignment/>
      <protection/>
    </xf>
    <xf numFmtId="164" fontId="24" fillId="0" borderId="0" xfId="58" applyFont="1">
      <alignment/>
      <protection/>
    </xf>
    <xf numFmtId="164" fontId="23" fillId="0" borderId="0" xfId="58" applyFont="1" applyBorder="1" applyAlignment="1">
      <alignment horizontal="center" vertical="center"/>
      <protection/>
    </xf>
    <xf numFmtId="164" fontId="23" fillId="0" borderId="0" xfId="58" applyFont="1" applyBorder="1" applyAlignment="1">
      <alignment horizontal="center"/>
      <protection/>
    </xf>
    <xf numFmtId="164" fontId="21" fillId="0" borderId="0" xfId="58" applyFont="1" applyBorder="1" applyAlignment="1">
      <alignment horizontal="center"/>
      <protection/>
    </xf>
    <xf numFmtId="164" fontId="1" fillId="0" borderId="0" xfId="58" applyAlignment="1">
      <alignment/>
      <protection/>
    </xf>
    <xf numFmtId="164" fontId="30" fillId="0" borderId="10" xfId="58" applyFont="1" applyBorder="1" applyAlignment="1">
      <alignment horizontal="left" vertical="center" wrapText="1"/>
      <protection/>
    </xf>
    <xf numFmtId="164" fontId="30" fillId="0" borderId="11" xfId="58" applyFont="1" applyBorder="1" applyAlignment="1">
      <alignment horizontal="center" vertical="center" wrapText="1"/>
      <protection/>
    </xf>
    <xf numFmtId="166" fontId="30" fillId="0" borderId="11" xfId="58" applyNumberFormat="1" applyFont="1" applyBorder="1" applyAlignment="1">
      <alignment horizontal="center" vertical="center" wrapText="1"/>
      <protection/>
    </xf>
    <xf numFmtId="166" fontId="30" fillId="0" borderId="12" xfId="58" applyNumberFormat="1" applyFont="1" applyBorder="1" applyAlignment="1">
      <alignment horizontal="center" vertical="center" wrapText="1"/>
      <protection/>
    </xf>
    <xf numFmtId="164" fontId="1" fillId="0" borderId="0" xfId="58" applyAlignment="1">
      <alignment horizontal="left" vertical="center" wrapText="1"/>
      <protection/>
    </xf>
    <xf numFmtId="164" fontId="30" fillId="0" borderId="13" xfId="58" applyFont="1" applyBorder="1" applyAlignment="1">
      <alignment horizontal="left"/>
      <protection/>
    </xf>
    <xf numFmtId="164" fontId="30" fillId="0" borderId="14" xfId="58" applyFont="1" applyBorder="1" applyAlignment="1">
      <alignment horizontal="center"/>
      <protection/>
    </xf>
    <xf numFmtId="166" fontId="30" fillId="0" borderId="14" xfId="58" applyNumberFormat="1" applyFont="1" applyBorder="1" applyAlignment="1">
      <alignment/>
      <protection/>
    </xf>
    <xf numFmtId="166" fontId="30" fillId="0" borderId="15" xfId="58" applyNumberFormat="1" applyFont="1" applyBorder="1" applyAlignment="1">
      <alignment/>
      <protection/>
    </xf>
    <xf numFmtId="166" fontId="51" fillId="0" borderId="23" xfId="58" applyNumberFormat="1" applyFont="1" applyBorder="1" applyAlignment="1">
      <alignment/>
      <protection/>
    </xf>
    <xf numFmtId="166" fontId="51" fillId="0" borderId="56" xfId="58" applyNumberFormat="1" applyFont="1" applyBorder="1" applyAlignment="1">
      <alignment/>
      <protection/>
    </xf>
    <xf numFmtId="172" fontId="38" fillId="0" borderId="0" xfId="0" applyNumberFormat="1" applyFont="1" applyAlignment="1">
      <alignment horizontal="center"/>
    </xf>
    <xf numFmtId="164" fontId="55" fillId="0" borderId="0" xfId="0" applyFont="1" applyAlignment="1">
      <alignment/>
    </xf>
    <xf numFmtId="164" fontId="40" fillId="0" borderId="0" xfId="0" applyFont="1" applyBorder="1" applyAlignment="1">
      <alignment horizontal="center" wrapText="1"/>
    </xf>
    <xf numFmtId="164" fontId="40" fillId="0" borderId="0" xfId="0" applyFont="1" applyAlignment="1">
      <alignment/>
    </xf>
    <xf numFmtId="164" fontId="56" fillId="0" borderId="0" xfId="0" applyFont="1" applyAlignment="1">
      <alignment/>
    </xf>
    <xf numFmtId="164" fontId="30" fillId="0" borderId="10" xfId="0" applyFont="1" applyBorder="1" applyAlignment="1">
      <alignment horizontal="center" vertical="center" wrapText="1"/>
    </xf>
    <xf numFmtId="164" fontId="30" fillId="0" borderId="12" xfId="0" applyFont="1" applyBorder="1" applyAlignment="1">
      <alignment horizontal="center" vertical="center" wrapText="1"/>
    </xf>
    <xf numFmtId="164" fontId="30" fillId="0" borderId="15" xfId="0" applyFont="1" applyBorder="1" applyAlignment="1">
      <alignment horizontal="center" vertical="center" wrapText="1"/>
    </xf>
    <xf numFmtId="164" fontId="38" fillId="0" borderId="13" xfId="0" applyFont="1" applyBorder="1" applyAlignment="1">
      <alignment horizontal="justify" vertical="top" wrapText="1"/>
    </xf>
    <xf numFmtId="172" fontId="38" fillId="0" borderId="14" xfId="0" applyNumberFormat="1" applyFont="1" applyBorder="1" applyAlignment="1">
      <alignment horizontal="center" vertical="top" wrapText="1"/>
    </xf>
    <xf numFmtId="167" fontId="38" fillId="0" borderId="14" xfId="0" applyNumberFormat="1" applyFont="1" applyBorder="1" applyAlignment="1">
      <alignment horizontal="center"/>
    </xf>
    <xf numFmtId="167" fontId="38" fillId="0" borderId="15" xfId="0" applyNumberFormat="1" applyFont="1" applyBorder="1" applyAlignment="1">
      <alignment horizontal="center"/>
    </xf>
    <xf numFmtId="164" fontId="58" fillId="0" borderId="13" xfId="0" applyFont="1" applyBorder="1" applyAlignment="1">
      <alignment horizontal="justify" vertical="top" wrapText="1"/>
    </xf>
    <xf numFmtId="172" fontId="58" fillId="0" borderId="14" xfId="0" applyNumberFormat="1" applyFont="1" applyBorder="1" applyAlignment="1">
      <alignment horizontal="center" vertical="top" wrapText="1"/>
    </xf>
    <xf numFmtId="172" fontId="58" fillId="0" borderId="15" xfId="0" applyNumberFormat="1" applyFont="1" applyBorder="1" applyAlignment="1">
      <alignment horizontal="center" vertical="top" wrapText="1"/>
    </xf>
    <xf numFmtId="164" fontId="58" fillId="0" borderId="13" xfId="0" applyFont="1" applyBorder="1" applyAlignment="1">
      <alignment horizontal="left" vertical="center" wrapText="1"/>
    </xf>
    <xf numFmtId="164" fontId="30" fillId="0" borderId="13" xfId="0" applyFont="1" applyBorder="1" applyAlignment="1">
      <alignment horizontal="justify" vertical="top" wrapText="1"/>
    </xf>
    <xf numFmtId="172" fontId="30" fillId="0" borderId="14" xfId="0" applyNumberFormat="1" applyFont="1" applyBorder="1" applyAlignment="1">
      <alignment horizontal="center" vertical="top" wrapText="1"/>
    </xf>
    <xf numFmtId="172" fontId="30" fillId="0" borderId="15" xfId="0" applyNumberFormat="1" applyFont="1" applyBorder="1" applyAlignment="1">
      <alignment horizontal="center" vertical="top" wrapText="1"/>
    </xf>
    <xf numFmtId="164" fontId="50" fillId="0" borderId="13" xfId="0" applyFont="1" applyBorder="1" applyAlignment="1">
      <alignment horizontal="justify" vertical="top" wrapText="1"/>
    </xf>
    <xf numFmtId="172" fontId="50" fillId="0" borderId="14" xfId="0" applyNumberFormat="1" applyFont="1" applyBorder="1" applyAlignment="1">
      <alignment horizontal="center" vertical="top" wrapText="1"/>
    </xf>
    <xf numFmtId="172" fontId="50" fillId="0" borderId="15" xfId="0" applyNumberFormat="1" applyFont="1" applyBorder="1" applyAlignment="1">
      <alignment horizontal="center" vertical="top" wrapText="1"/>
    </xf>
    <xf numFmtId="164" fontId="50" fillId="0" borderId="0" xfId="0" applyFont="1" applyAlignment="1">
      <alignment/>
    </xf>
    <xf numFmtId="167" fontId="38" fillId="0" borderId="79" xfId="0" applyNumberFormat="1" applyFont="1" applyBorder="1" applyAlignment="1">
      <alignment horizontal="center"/>
    </xf>
    <xf numFmtId="164" fontId="30" fillId="0" borderId="22" xfId="0" applyFont="1" applyBorder="1" applyAlignment="1">
      <alignment horizontal="justify" vertical="top" wrapText="1"/>
    </xf>
    <xf numFmtId="172" fontId="30" fillId="0" borderId="23" xfId="0" applyNumberFormat="1" applyFont="1" applyBorder="1" applyAlignment="1">
      <alignment horizontal="center" vertical="top" wrapText="1"/>
    </xf>
    <xf numFmtId="172" fontId="30" fillId="0" borderId="56" xfId="0" applyNumberFormat="1" applyFont="1" applyBorder="1" applyAlignment="1">
      <alignment horizontal="center" vertical="top" wrapText="1"/>
    </xf>
    <xf numFmtId="164" fontId="59" fillId="0" borderId="0" xfId="0" applyFont="1" applyAlignment="1">
      <alignment horizontal="justify"/>
    </xf>
    <xf numFmtId="173" fontId="38" fillId="0" borderId="0" xfId="0" applyNumberFormat="1" applyFont="1" applyAlignment="1">
      <alignment/>
    </xf>
    <xf numFmtId="164" fontId="55" fillId="0" borderId="0" xfId="0" applyFont="1" applyAlignment="1">
      <alignment horizontal="justify"/>
    </xf>
    <xf numFmtId="164" fontId="40" fillId="0" borderId="0" xfId="0" applyFont="1" applyBorder="1" applyAlignment="1">
      <alignment horizontal="center"/>
    </xf>
    <xf numFmtId="164" fontId="30" fillId="0" borderId="10" xfId="0" applyFont="1" applyBorder="1" applyAlignment="1">
      <alignment horizontal="center"/>
    </xf>
    <xf numFmtId="164" fontId="30" fillId="0" borderId="11" xfId="0" applyFont="1" applyBorder="1" applyAlignment="1">
      <alignment horizontal="center"/>
    </xf>
    <xf numFmtId="172" fontId="30" fillId="0" borderId="12" xfId="0" applyNumberFormat="1" applyFont="1" applyBorder="1" applyAlignment="1">
      <alignment horizontal="center"/>
    </xf>
    <xf numFmtId="172" fontId="38" fillId="0" borderId="14" xfId="0" applyNumberFormat="1" applyFont="1" applyBorder="1" applyAlignment="1">
      <alignment horizontal="center"/>
    </xf>
    <xf numFmtId="172" fontId="38" fillId="0" borderId="15" xfId="0" applyNumberFormat="1" applyFont="1" applyBorder="1" applyAlignment="1">
      <alignment horizontal="center"/>
    </xf>
    <xf numFmtId="164" fontId="30" fillId="0" borderId="22" xfId="0" applyFont="1" applyBorder="1" applyAlignment="1">
      <alignment/>
    </xf>
    <xf numFmtId="172" fontId="30" fillId="0" borderId="23" xfId="0" applyNumberFormat="1" applyFont="1" applyBorder="1" applyAlignment="1">
      <alignment horizontal="center"/>
    </xf>
    <xf numFmtId="172" fontId="30" fillId="0" borderId="56" xfId="0" applyNumberFormat="1" applyFont="1" applyBorder="1" applyAlignment="1">
      <alignment horizontal="center"/>
    </xf>
    <xf numFmtId="164" fontId="30" fillId="0" borderId="0" xfId="0" applyFont="1" applyAlignment="1">
      <alignment/>
    </xf>
    <xf numFmtId="164" fontId="30" fillId="0" borderId="0" xfId="0" applyFont="1" applyBorder="1" applyAlignment="1">
      <alignment horizontal="center"/>
    </xf>
    <xf numFmtId="174" fontId="30" fillId="0" borderId="0" xfId="0" applyNumberFormat="1" applyFont="1" applyBorder="1" applyAlignment="1">
      <alignment horizontal="center"/>
    </xf>
    <xf numFmtId="164" fontId="30" fillId="0" borderId="10" xfId="0" applyFont="1" applyBorder="1" applyAlignment="1">
      <alignment horizontal="center" vertical="center"/>
    </xf>
    <xf numFmtId="164" fontId="30" fillId="0" borderId="11" xfId="0" applyFont="1" applyBorder="1" applyAlignment="1">
      <alignment horizontal="center" vertical="center"/>
    </xf>
    <xf numFmtId="164" fontId="38" fillId="0" borderId="13" xfId="0" applyFont="1" applyBorder="1" applyAlignment="1">
      <alignment horizontal="left"/>
    </xf>
    <xf numFmtId="164" fontId="38" fillId="0" borderId="14" xfId="0" applyFont="1" applyBorder="1" applyAlignment="1">
      <alignment horizontal="center"/>
    </xf>
    <xf numFmtId="166" fontId="38" fillId="0" borderId="15" xfId="0" applyNumberFormat="1" applyFont="1" applyBorder="1" applyAlignment="1">
      <alignment/>
    </xf>
    <xf numFmtId="164" fontId="30" fillId="0" borderId="13" xfId="0" applyFont="1" applyBorder="1" applyAlignment="1">
      <alignment horizontal="left"/>
    </xf>
    <xf numFmtId="166" fontId="30" fillId="0" borderId="14" xfId="0" applyNumberFormat="1" applyFont="1" applyBorder="1" applyAlignment="1">
      <alignment/>
    </xf>
    <xf numFmtId="166" fontId="30" fillId="0" borderId="15" xfId="0" applyNumberFormat="1" applyFont="1" applyBorder="1" applyAlignment="1">
      <alignment/>
    </xf>
    <xf numFmtId="164" fontId="38" fillId="0" borderId="13" xfId="0" applyFont="1" applyBorder="1" applyAlignment="1">
      <alignment horizontal="left" vertical="center"/>
    </xf>
    <xf numFmtId="164" fontId="30" fillId="0" borderId="22" xfId="0" applyFont="1" applyBorder="1" applyAlignment="1">
      <alignment horizontal="left"/>
    </xf>
    <xf numFmtId="164" fontId="38" fillId="0" borderId="23" xfId="0" applyFont="1" applyBorder="1" applyAlignment="1">
      <alignment horizontal="center"/>
    </xf>
    <xf numFmtId="166" fontId="30" fillId="0" borderId="23" xfId="0" applyNumberFormat="1" applyFont="1" applyBorder="1" applyAlignment="1">
      <alignment/>
    </xf>
    <xf numFmtId="166" fontId="30" fillId="0" borderId="56" xfId="0" applyNumberFormat="1" applyFont="1" applyBorder="1" applyAlignment="1">
      <alignment/>
    </xf>
    <xf numFmtId="164" fontId="47" fillId="0" borderId="0" xfId="0" applyFont="1" applyBorder="1" applyAlignment="1">
      <alignment/>
    </xf>
    <xf numFmtId="164" fontId="38" fillId="0" borderId="0" xfId="0" applyFont="1" applyBorder="1" applyAlignment="1">
      <alignment/>
    </xf>
    <xf numFmtId="164" fontId="30" fillId="0" borderId="0" xfId="0" applyFont="1" applyAlignment="1">
      <alignment horizontal="right"/>
    </xf>
    <xf numFmtId="164" fontId="51" fillId="0" borderId="0" xfId="0" applyFont="1" applyAlignment="1">
      <alignment/>
    </xf>
    <xf numFmtId="164" fontId="60" fillId="0" borderId="0" xfId="0" applyFont="1" applyAlignment="1">
      <alignment/>
    </xf>
    <xf numFmtId="174" fontId="38" fillId="0" borderId="0" xfId="0" applyNumberFormat="1" applyFont="1" applyAlignment="1">
      <alignment/>
    </xf>
    <xf numFmtId="166" fontId="38" fillId="0" borderId="0" xfId="0" applyNumberFormat="1" applyFont="1" applyAlignment="1">
      <alignment horizontal="right"/>
    </xf>
    <xf numFmtId="164" fontId="38" fillId="0" borderId="14" xfId="0" applyFont="1" applyBorder="1" applyAlignment="1">
      <alignment/>
    </xf>
    <xf numFmtId="164" fontId="38" fillId="0" borderId="15" xfId="0" applyFont="1" applyBorder="1" applyAlignment="1">
      <alignment/>
    </xf>
    <xf numFmtId="164" fontId="30" fillId="0" borderId="14" xfId="0" applyFont="1" applyBorder="1" applyAlignment="1">
      <alignment/>
    </xf>
    <xf numFmtId="164" fontId="30" fillId="0" borderId="15" xfId="0" applyFont="1" applyBorder="1" applyAlignment="1">
      <alignment/>
    </xf>
    <xf numFmtId="164" fontId="30" fillId="0" borderId="23" xfId="0" applyFont="1" applyBorder="1" applyAlignment="1">
      <alignment/>
    </xf>
    <xf numFmtId="164" fontId="30" fillId="0" borderId="56" xfId="0" applyFont="1" applyBorder="1" applyAlignment="1">
      <alignment/>
    </xf>
    <xf numFmtId="164" fontId="30" fillId="0" borderId="0" xfId="0" applyFont="1" applyBorder="1" applyAlignment="1">
      <alignment horizontal="right"/>
    </xf>
    <xf numFmtId="164" fontId="38" fillId="0" borderId="0" xfId="0" applyFont="1" applyAlignment="1">
      <alignment horizontal="center"/>
    </xf>
    <xf numFmtId="164" fontId="38" fillId="0" borderId="0" xfId="0" applyFont="1" applyAlignment="1">
      <alignment horizontal="right"/>
    </xf>
    <xf numFmtId="174" fontId="30" fillId="0" borderId="0" xfId="0" applyNumberFormat="1" applyFont="1" applyBorder="1" applyAlignment="1">
      <alignment horizontal="center" vertical="center"/>
    </xf>
    <xf numFmtId="174" fontId="30" fillId="0" borderId="0" xfId="0" applyNumberFormat="1" applyFont="1" applyAlignment="1">
      <alignment horizontal="center" vertical="center"/>
    </xf>
    <xf numFmtId="166" fontId="38" fillId="0" borderId="0" xfId="0" applyNumberFormat="1" applyFont="1" applyAlignment="1">
      <alignment/>
    </xf>
    <xf numFmtId="164" fontId="38" fillId="0" borderId="0" xfId="0" applyFont="1" applyAlignment="1">
      <alignment/>
    </xf>
    <xf numFmtId="164" fontId="38" fillId="0" borderId="0" xfId="0" applyFont="1" applyBorder="1" applyAlignment="1">
      <alignment horizontal="right"/>
    </xf>
    <xf numFmtId="164" fontId="30" fillId="0" borderId="0" xfId="61" applyFont="1" applyBorder="1" applyAlignment="1">
      <alignment horizontal="center"/>
      <protection/>
    </xf>
    <xf numFmtId="166" fontId="38" fillId="0" borderId="0" xfId="61" applyNumberFormat="1" applyFont="1">
      <alignment/>
      <protection/>
    </xf>
    <xf numFmtId="164" fontId="0" fillId="0" borderId="0" xfId="61">
      <alignment/>
      <protection/>
    </xf>
    <xf numFmtId="164" fontId="30" fillId="0" borderId="0" xfId="61" applyFont="1" applyBorder="1" applyAlignment="1">
      <alignment/>
      <protection/>
    </xf>
    <xf numFmtId="166" fontId="30" fillId="0" borderId="0" xfId="61" applyNumberFormat="1" applyFont="1" applyBorder="1" applyAlignment="1">
      <alignment horizontal="center"/>
      <protection/>
    </xf>
    <xf numFmtId="164" fontId="38" fillId="0" borderId="0" xfId="61" applyFont="1" applyBorder="1" applyAlignment="1">
      <alignment horizontal="center"/>
      <protection/>
    </xf>
    <xf numFmtId="166" fontId="38" fillId="0" borderId="0" xfId="61" applyNumberFormat="1" applyFont="1" applyBorder="1" applyAlignment="1">
      <alignment horizontal="center"/>
      <protection/>
    </xf>
    <xf numFmtId="164" fontId="30" fillId="0" borderId="10" xfId="61" applyFont="1" applyBorder="1">
      <alignment/>
      <protection/>
    </xf>
    <xf numFmtId="166" fontId="30" fillId="0" borderId="11" xfId="61" applyNumberFormat="1" applyFont="1" applyBorder="1" applyAlignment="1">
      <alignment horizontal="center"/>
      <protection/>
    </xf>
    <xf numFmtId="166" fontId="30" fillId="0" borderId="12" xfId="61" applyNumberFormat="1" applyFont="1" applyBorder="1" applyAlignment="1">
      <alignment horizontal="center"/>
      <protection/>
    </xf>
    <xf numFmtId="164" fontId="38" fillId="0" borderId="0" xfId="61" applyFont="1">
      <alignment/>
      <protection/>
    </xf>
    <xf numFmtId="164" fontId="38" fillId="0" borderId="13" xfId="61" applyFont="1" applyBorder="1">
      <alignment/>
      <protection/>
    </xf>
    <xf numFmtId="166" fontId="38" fillId="0" borderId="14" xfId="61" applyNumberFormat="1" applyFont="1" applyBorder="1">
      <alignment/>
      <protection/>
    </xf>
    <xf numFmtId="166" fontId="38" fillId="0" borderId="15" xfId="61" applyNumberFormat="1" applyFont="1" applyBorder="1">
      <alignment/>
      <protection/>
    </xf>
    <xf numFmtId="164" fontId="50" fillId="0" borderId="13" xfId="61" applyFont="1" applyBorder="1">
      <alignment/>
      <protection/>
    </xf>
    <xf numFmtId="166" fontId="50" fillId="0" borderId="14" xfId="61" applyNumberFormat="1" applyFont="1" applyBorder="1">
      <alignment/>
      <protection/>
    </xf>
    <xf numFmtId="166" fontId="50" fillId="0" borderId="15" xfId="61" applyNumberFormat="1" applyFont="1" applyBorder="1">
      <alignment/>
      <protection/>
    </xf>
    <xf numFmtId="164" fontId="38" fillId="0" borderId="78" xfId="61" applyFont="1" applyBorder="1">
      <alignment/>
      <protection/>
    </xf>
    <xf numFmtId="166" fontId="38" fillId="0" borderId="38" xfId="61" applyNumberFormat="1" applyFont="1" applyBorder="1">
      <alignment/>
      <protection/>
    </xf>
    <xf numFmtId="164" fontId="30" fillId="0" borderId="87" xfId="61" applyFont="1" applyBorder="1">
      <alignment/>
      <protection/>
    </xf>
    <xf numFmtId="166" fontId="30" fillId="0" borderId="31" xfId="61" applyNumberFormat="1" applyFont="1" applyBorder="1">
      <alignment/>
      <protection/>
    </xf>
    <xf numFmtId="166" fontId="30" fillId="0" borderId="88" xfId="61" applyNumberFormat="1" applyFont="1" applyBorder="1">
      <alignment/>
      <protection/>
    </xf>
    <xf numFmtId="164" fontId="30" fillId="0" borderId="16" xfId="61" applyFont="1" applyBorder="1" applyAlignment="1">
      <alignment horizontal="left" vertical="center"/>
      <protection/>
    </xf>
    <xf numFmtId="166" fontId="30" fillId="0" borderId="17" xfId="61" applyNumberFormat="1" applyFont="1" applyBorder="1" applyAlignment="1">
      <alignment horizontal="center" vertical="center" wrapText="1"/>
      <protection/>
    </xf>
    <xf numFmtId="166" fontId="30" fillId="0" borderId="17" xfId="61" applyNumberFormat="1" applyFont="1" applyBorder="1" applyAlignment="1">
      <alignment horizontal="center"/>
      <protection/>
    </xf>
    <xf numFmtId="166" fontId="30" fillId="0" borderId="19" xfId="61" applyNumberFormat="1" applyFont="1" applyBorder="1" applyAlignment="1">
      <alignment horizontal="center"/>
      <protection/>
    </xf>
    <xf numFmtId="164" fontId="51" fillId="0" borderId="16" xfId="61" applyFont="1" applyBorder="1" applyAlignment="1">
      <alignment horizontal="left" vertical="center"/>
      <protection/>
    </xf>
    <xf numFmtId="166" fontId="38" fillId="0" borderId="17" xfId="61" applyNumberFormat="1" applyFont="1" applyBorder="1">
      <alignment/>
      <protection/>
    </xf>
    <xf numFmtId="166" fontId="38" fillId="0" borderId="19" xfId="61" applyNumberFormat="1" applyFont="1" applyBorder="1">
      <alignment/>
      <protection/>
    </xf>
    <xf numFmtId="164" fontId="50" fillId="0" borderId="13" xfId="61" applyFont="1" applyBorder="1" applyAlignment="1">
      <alignment horizontal="left" vertical="center"/>
      <protection/>
    </xf>
    <xf numFmtId="166" fontId="50" fillId="0" borderId="14" xfId="61" applyNumberFormat="1" applyFont="1" applyBorder="1" applyAlignment="1">
      <alignment horizontal="right" vertical="center" wrapText="1"/>
      <protection/>
    </xf>
    <xf numFmtId="164" fontId="51" fillId="0" borderId="13" xfId="61" applyFont="1" applyBorder="1" applyAlignment="1">
      <alignment horizontal="left" vertical="center"/>
      <protection/>
    </xf>
    <xf numFmtId="166" fontId="30" fillId="0" borderId="14" xfId="61" applyNumberFormat="1" applyFont="1" applyBorder="1" applyAlignment="1">
      <alignment horizontal="center" vertical="center" wrapText="1"/>
      <protection/>
    </xf>
    <xf numFmtId="166" fontId="58" fillId="0" borderId="14" xfId="61" applyNumberFormat="1" applyFont="1" applyBorder="1">
      <alignment/>
      <protection/>
    </xf>
    <xf numFmtId="166" fontId="58" fillId="0" borderId="15" xfId="61" applyNumberFormat="1" applyFont="1" applyBorder="1">
      <alignment/>
      <protection/>
    </xf>
    <xf numFmtId="164" fontId="38" fillId="0" borderId="13" xfId="61" applyFont="1" applyBorder="1" applyAlignment="1">
      <alignment wrapText="1"/>
      <protection/>
    </xf>
    <xf numFmtId="164" fontId="50" fillId="0" borderId="13" xfId="58" applyFont="1" applyBorder="1" applyAlignment="1">
      <alignment wrapText="1"/>
      <protection/>
    </xf>
    <xf numFmtId="164" fontId="38" fillId="0" borderId="89" xfId="58" applyFont="1" applyBorder="1" applyAlignment="1">
      <alignment wrapText="1"/>
      <protection/>
    </xf>
    <xf numFmtId="164" fontId="38" fillId="0" borderId="14" xfId="58" applyFont="1" applyBorder="1" applyAlignment="1">
      <alignment wrapText="1"/>
      <protection/>
    </xf>
    <xf numFmtId="164" fontId="38" fillId="0" borderId="15" xfId="58" applyFont="1" applyBorder="1" applyAlignment="1">
      <alignment wrapText="1"/>
      <protection/>
    </xf>
    <xf numFmtId="164" fontId="38" fillId="0" borderId="0" xfId="58" applyFont="1" applyBorder="1" applyAlignment="1">
      <alignment wrapText="1"/>
      <protection/>
    </xf>
    <xf numFmtId="164" fontId="58" fillId="0" borderId="0" xfId="61" applyFont="1">
      <alignment/>
      <protection/>
    </xf>
    <xf numFmtId="164" fontId="30" fillId="0" borderId="13" xfId="61" applyFont="1" applyBorder="1">
      <alignment/>
      <protection/>
    </xf>
    <xf numFmtId="166" fontId="30" fillId="0" borderId="14" xfId="61" applyNumberFormat="1" applyFont="1" applyBorder="1">
      <alignment/>
      <protection/>
    </xf>
    <xf numFmtId="166" fontId="30" fillId="0" borderId="15" xfId="61" applyNumberFormat="1" applyFont="1" applyBorder="1">
      <alignment/>
      <protection/>
    </xf>
    <xf numFmtId="164" fontId="30" fillId="0" borderId="22" xfId="61" applyFont="1" applyBorder="1">
      <alignment/>
      <protection/>
    </xf>
    <xf numFmtId="166" fontId="30" fillId="0" borderId="23" xfId="61" applyNumberFormat="1" applyFont="1" applyBorder="1">
      <alignment/>
      <protection/>
    </xf>
    <xf numFmtId="166" fontId="30" fillId="0" borderId="56" xfId="61" applyNumberFormat="1" applyFont="1" applyBorder="1">
      <alignment/>
      <protection/>
    </xf>
    <xf numFmtId="164" fontId="30" fillId="0" borderId="0" xfId="61" applyFont="1" applyBorder="1">
      <alignment/>
      <protection/>
    </xf>
    <xf numFmtId="166" fontId="30" fillId="0" borderId="0" xfId="61" applyNumberFormat="1" applyFont="1" applyBorder="1">
      <alignment/>
      <protection/>
    </xf>
    <xf numFmtId="164" fontId="30" fillId="0" borderId="0" xfId="61" applyFont="1" applyBorder="1" applyAlignment="1">
      <alignment horizontal="justify" wrapText="1"/>
      <protection/>
    </xf>
    <xf numFmtId="164" fontId="38" fillId="0" borderId="0" xfId="61" applyFont="1" applyBorder="1">
      <alignment/>
      <protection/>
    </xf>
    <xf numFmtId="166" fontId="38" fillId="0" borderId="0" xfId="61" applyNumberFormat="1" applyFont="1" applyBorder="1">
      <alignment/>
      <protection/>
    </xf>
    <xf numFmtId="166" fontId="30" fillId="0" borderId="0" xfId="61" applyNumberFormat="1" applyFont="1" applyAlignment="1">
      <alignment horizontal="center"/>
      <protection/>
    </xf>
    <xf numFmtId="164" fontId="30" fillId="0" borderId="0" xfId="61" applyFont="1" applyAlignment="1">
      <alignment horizontal="center"/>
      <protection/>
    </xf>
    <xf numFmtId="166" fontId="30" fillId="0" borderId="55" xfId="61" applyNumberFormat="1" applyFont="1" applyBorder="1" applyAlignment="1">
      <alignment horizontal="center"/>
      <protection/>
    </xf>
    <xf numFmtId="164" fontId="30" fillId="0" borderId="11" xfId="61" applyFont="1" applyBorder="1" applyAlignment="1">
      <alignment horizontal="center"/>
      <protection/>
    </xf>
    <xf numFmtId="164" fontId="30" fillId="0" borderId="12" xfId="61" applyFont="1" applyBorder="1" applyAlignment="1">
      <alignment horizontal="center"/>
      <protection/>
    </xf>
    <xf numFmtId="166" fontId="30" fillId="0" borderId="14" xfId="61" applyNumberFormat="1" applyFont="1" applyBorder="1" applyAlignment="1">
      <alignment horizontal="right"/>
      <protection/>
    </xf>
    <xf numFmtId="164" fontId="38" fillId="0" borderId="14" xfId="61" applyFont="1" applyBorder="1">
      <alignment/>
      <protection/>
    </xf>
    <xf numFmtId="164" fontId="38" fillId="0" borderId="15" xfId="61" applyFont="1" applyBorder="1">
      <alignment/>
      <protection/>
    </xf>
    <xf numFmtId="166" fontId="38" fillId="0" borderId="51" xfId="61" applyNumberFormat="1" applyFont="1" applyBorder="1">
      <alignment/>
      <protection/>
    </xf>
    <xf numFmtId="166" fontId="30" fillId="0" borderId="51" xfId="61" applyNumberFormat="1" applyFont="1" applyBorder="1">
      <alignment/>
      <protection/>
    </xf>
    <xf numFmtId="164" fontId="38" fillId="0" borderId="38" xfId="61" applyFont="1" applyBorder="1">
      <alignment/>
      <protection/>
    </xf>
    <xf numFmtId="164" fontId="38" fillId="0" borderId="79" xfId="61" applyFont="1" applyBorder="1">
      <alignment/>
      <protection/>
    </xf>
    <xf numFmtId="166" fontId="30" fillId="0" borderId="50" xfId="61" applyNumberFormat="1" applyFont="1" applyBorder="1" applyAlignment="1">
      <alignment horizontal="center"/>
      <protection/>
    </xf>
    <xf numFmtId="164" fontId="30" fillId="0" borderId="14" xfId="61" applyFont="1" applyBorder="1" applyAlignment="1">
      <alignment horizontal="center"/>
      <protection/>
    </xf>
    <xf numFmtId="164" fontId="30" fillId="0" borderId="15" xfId="61" applyFont="1" applyBorder="1" applyAlignment="1">
      <alignment horizontal="center"/>
      <protection/>
    </xf>
    <xf numFmtId="166" fontId="38" fillId="0" borderId="50" xfId="61" applyNumberFormat="1" applyFont="1" applyBorder="1">
      <alignment/>
      <protection/>
    </xf>
    <xf numFmtId="164" fontId="30" fillId="0" borderId="13" xfId="58" applyFont="1" applyBorder="1" applyAlignment="1">
      <alignment wrapText="1"/>
      <protection/>
    </xf>
    <xf numFmtId="166" fontId="30" fillId="0" borderId="75" xfId="61" applyNumberFormat="1" applyFont="1" applyBorder="1">
      <alignment/>
      <protection/>
    </xf>
    <xf numFmtId="164" fontId="38" fillId="0" borderId="23" xfId="61" applyFont="1" applyBorder="1">
      <alignment/>
      <protection/>
    </xf>
    <xf numFmtId="164" fontId="38" fillId="0" borderId="56" xfId="61" applyFont="1" applyBorder="1">
      <alignment/>
      <protection/>
    </xf>
    <xf numFmtId="164" fontId="55" fillId="0" borderId="0" xfId="0" applyFont="1" applyAlignment="1">
      <alignment/>
    </xf>
    <xf numFmtId="164" fontId="59" fillId="0" borderId="0" xfId="0" applyFont="1" applyBorder="1" applyAlignment="1">
      <alignment horizontal="center"/>
    </xf>
    <xf numFmtId="164" fontId="59" fillId="0" borderId="0" xfId="0" applyFont="1" applyAlignment="1">
      <alignment horizontal="center"/>
    </xf>
    <xf numFmtId="164" fontId="49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49" fillId="0" borderId="61" xfId="0" applyFont="1" applyBorder="1" applyAlignment="1">
      <alignment horizontal="center" vertical="center"/>
    </xf>
    <xf numFmtId="164" fontId="49" fillId="0" borderId="61" xfId="0" applyFont="1" applyFill="1" applyBorder="1" applyAlignment="1">
      <alignment horizontal="center" vertical="center" wrapText="1"/>
    </xf>
    <xf numFmtId="164" fontId="49" fillId="0" borderId="61" xfId="0" applyFont="1" applyFill="1" applyBorder="1" applyAlignment="1">
      <alignment horizontal="center" vertical="top"/>
    </xf>
    <xf numFmtId="164" fontId="49" fillId="0" borderId="61" xfId="0" applyFont="1" applyFill="1" applyBorder="1" applyAlignment="1">
      <alignment horizontal="center" vertical="top" wrapText="1"/>
    </xf>
    <xf numFmtId="164" fontId="49" fillId="0" borderId="0" xfId="0" applyFont="1" applyAlignment="1">
      <alignment/>
    </xf>
    <xf numFmtId="164" fontId="55" fillId="0" borderId="61" xfId="0" applyFont="1" applyBorder="1" applyAlignment="1">
      <alignment/>
    </xf>
    <xf numFmtId="164" fontId="55" fillId="0" borderId="61" xfId="0" applyFont="1" applyBorder="1" applyAlignment="1">
      <alignment horizontal="center"/>
    </xf>
    <xf numFmtId="166" fontId="55" fillId="0" borderId="61" xfId="0" applyNumberFormat="1" applyFont="1" applyBorder="1" applyAlignment="1">
      <alignment horizontal="right"/>
    </xf>
    <xf numFmtId="171" fontId="55" fillId="0" borderId="61" xfId="0" applyNumberFormat="1" applyFont="1" applyBorder="1" applyAlignment="1">
      <alignment horizontal="center"/>
    </xf>
    <xf numFmtId="166" fontId="55" fillId="0" borderId="61" xfId="0" applyNumberFormat="1" applyFont="1" applyBorder="1" applyAlignment="1">
      <alignment/>
    </xf>
    <xf numFmtId="166" fontId="55" fillId="0" borderId="61" xfId="0" applyNumberFormat="1" applyFont="1" applyFill="1" applyBorder="1" applyAlignment="1">
      <alignment horizontal="right"/>
    </xf>
    <xf numFmtId="164" fontId="55" fillId="0" borderId="61" xfId="0" applyFont="1" applyBorder="1" applyAlignment="1">
      <alignment vertical="top" wrapText="1"/>
    </xf>
    <xf numFmtId="164" fontId="49" fillId="0" borderId="61" xfId="0" applyFont="1" applyBorder="1" applyAlignment="1">
      <alignment/>
    </xf>
    <xf numFmtId="164" fontId="49" fillId="0" borderId="61" xfId="0" applyFont="1" applyBorder="1" applyAlignment="1">
      <alignment horizontal="center"/>
    </xf>
    <xf numFmtId="166" fontId="49" fillId="0" borderId="61" xfId="0" applyNumberFormat="1" applyFont="1" applyBorder="1" applyAlignment="1">
      <alignment horizontal="right"/>
    </xf>
    <xf numFmtId="171" fontId="49" fillId="0" borderId="61" xfId="0" applyNumberFormat="1" applyFont="1" applyBorder="1" applyAlignment="1">
      <alignment horizontal="center"/>
    </xf>
    <xf numFmtId="166" fontId="49" fillId="0" borderId="61" xfId="0" applyNumberFormat="1" applyFont="1" applyBorder="1" applyAlignment="1">
      <alignment/>
    </xf>
    <xf numFmtId="166" fontId="49" fillId="0" borderId="61" xfId="0" applyNumberFormat="1" applyFont="1" applyFill="1" applyBorder="1" applyAlignment="1">
      <alignment horizontal="right"/>
    </xf>
    <xf numFmtId="168" fontId="49" fillId="0" borderId="0" xfId="61" applyNumberFormat="1" applyFont="1" applyBorder="1" applyAlignment="1">
      <alignment horizontal="center"/>
      <protection/>
    </xf>
    <xf numFmtId="168" fontId="49" fillId="0" borderId="0" xfId="61" applyNumberFormat="1" applyFont="1" applyAlignment="1">
      <alignment horizontal="center"/>
      <protection/>
    </xf>
    <xf numFmtId="164" fontId="55" fillId="0" borderId="0" xfId="61" applyFont="1">
      <alignment/>
      <protection/>
    </xf>
    <xf numFmtId="164" fontId="61" fillId="0" borderId="0" xfId="0" applyFont="1" applyAlignment="1">
      <alignment/>
    </xf>
    <xf numFmtId="164" fontId="49" fillId="0" borderId="61" xfId="61" applyFont="1" applyBorder="1" applyAlignment="1">
      <alignment horizontal="center" vertical="center"/>
      <protection/>
    </xf>
    <xf numFmtId="164" fontId="49" fillId="0" borderId="61" xfId="61" applyFont="1" applyBorder="1" applyAlignment="1">
      <alignment horizontal="center" vertical="center" wrapText="1"/>
      <protection/>
    </xf>
    <xf numFmtId="164" fontId="49" fillId="0" borderId="61" xfId="61" applyFont="1" applyFill="1" applyBorder="1" applyAlignment="1">
      <alignment horizontal="center" vertical="center" wrapText="1"/>
      <protection/>
    </xf>
    <xf numFmtId="164" fontId="55" fillId="0" borderId="61" xfId="61" applyFont="1" applyBorder="1">
      <alignment/>
      <protection/>
    </xf>
    <xf numFmtId="164" fontId="55" fillId="0" borderId="61" xfId="61" applyFont="1" applyBorder="1" applyAlignment="1">
      <alignment horizontal="center"/>
      <protection/>
    </xf>
    <xf numFmtId="166" fontId="55" fillId="0" borderId="61" xfId="61" applyNumberFormat="1" applyFont="1" applyBorder="1">
      <alignment/>
      <protection/>
    </xf>
    <xf numFmtId="166" fontId="55" fillId="0" borderId="61" xfId="61" applyNumberFormat="1" applyFont="1" applyFill="1" applyBorder="1">
      <alignment/>
      <protection/>
    </xf>
    <xf numFmtId="164" fontId="49" fillId="0" borderId="61" xfId="61" applyFont="1" applyBorder="1">
      <alignment/>
      <protection/>
    </xf>
    <xf numFmtId="166" fontId="49" fillId="0" borderId="61" xfId="61" applyNumberFormat="1" applyFont="1" applyBorder="1">
      <alignment/>
      <protection/>
    </xf>
    <xf numFmtId="164" fontId="23" fillId="0" borderId="0" xfId="0" applyFont="1" applyBorder="1" applyAlignment="1">
      <alignment horizontal="center"/>
    </xf>
    <xf numFmtId="164" fontId="21" fillId="0" borderId="10" xfId="0" applyFont="1" applyBorder="1" applyAlignment="1">
      <alignment horizontal="left"/>
    </xf>
    <xf numFmtId="164" fontId="0" fillId="0" borderId="12" xfId="0" applyFont="1" applyBorder="1" applyAlignment="1">
      <alignment horizontal="left"/>
    </xf>
    <xf numFmtId="164" fontId="20" fillId="0" borderId="16" xfId="0" applyFont="1" applyBorder="1" applyAlignment="1">
      <alignment horizontal="left"/>
    </xf>
    <xf numFmtId="166" fontId="20" fillId="0" borderId="19" xfId="0" applyNumberFormat="1" applyFont="1" applyBorder="1" applyAlignment="1">
      <alignment/>
    </xf>
    <xf numFmtId="168" fontId="20" fillId="0" borderId="13" xfId="0" applyNumberFormat="1" applyFont="1" applyBorder="1" applyAlignment="1">
      <alignment/>
    </xf>
    <xf numFmtId="164" fontId="21" fillId="0" borderId="78" xfId="0" applyFont="1" applyBorder="1" applyAlignment="1">
      <alignment/>
    </xf>
    <xf numFmtId="166" fontId="21" fillId="0" borderId="79" xfId="0" applyNumberFormat="1" applyFont="1" applyBorder="1" applyAlignment="1">
      <alignment/>
    </xf>
    <xf numFmtId="164" fontId="21" fillId="0" borderId="13" xfId="0" applyFont="1" applyBorder="1" applyAlignment="1">
      <alignment vertical="top" wrapText="1"/>
    </xf>
    <xf numFmtId="166" fontId="20" fillId="0" borderId="79" xfId="0" applyNumberFormat="1" applyFont="1" applyBorder="1" applyAlignment="1">
      <alignment/>
    </xf>
    <xf numFmtId="168" fontId="20" fillId="0" borderId="78" xfId="0" applyNumberFormat="1" applyFont="1" applyBorder="1" applyAlignment="1">
      <alignment/>
    </xf>
    <xf numFmtId="168" fontId="21" fillId="0" borderId="78" xfId="0" applyNumberFormat="1" applyFont="1" applyBorder="1" applyAlignment="1">
      <alignment/>
    </xf>
    <xf numFmtId="164" fontId="21" fillId="0" borderId="22" xfId="0" applyFont="1" applyBorder="1" applyAlignment="1">
      <alignment/>
    </xf>
    <xf numFmtId="166" fontId="55" fillId="0" borderId="0" xfId="0" applyNumberFormat="1" applyFont="1" applyAlignment="1">
      <alignment/>
    </xf>
    <xf numFmtId="164" fontId="55" fillId="0" borderId="10" xfId="0" applyFont="1" applyBorder="1" applyAlignment="1">
      <alignment vertical="center"/>
    </xf>
    <xf numFmtId="164" fontId="62" fillId="0" borderId="12" xfId="0" applyFont="1" applyBorder="1" applyAlignment="1">
      <alignment horizontal="left" vertical="center"/>
    </xf>
    <xf numFmtId="164" fontId="55" fillId="0" borderId="13" xfId="0" applyFont="1" applyBorder="1" applyAlignment="1">
      <alignment vertical="center"/>
    </xf>
    <xf numFmtId="175" fontId="55" fillId="0" borderId="15" xfId="0" applyNumberFormat="1" applyFont="1" applyBorder="1" applyAlignment="1">
      <alignment horizontal="left" vertical="center"/>
    </xf>
    <xf numFmtId="166" fontId="55" fillId="0" borderId="15" xfId="0" applyNumberFormat="1" applyFont="1" applyBorder="1" applyAlignment="1">
      <alignment horizontal="left" vertical="center"/>
    </xf>
    <xf numFmtId="166" fontId="49" fillId="0" borderId="14" xfId="0" applyNumberFormat="1" applyFont="1" applyBorder="1" applyAlignment="1">
      <alignment horizontal="right" vertical="center" indent="4"/>
    </xf>
    <xf numFmtId="164" fontId="55" fillId="0" borderId="14" xfId="0" applyFont="1" applyBorder="1" applyAlignment="1">
      <alignment vertical="center"/>
    </xf>
    <xf numFmtId="166" fontId="49" fillId="0" borderId="15" xfId="0" applyNumberFormat="1" applyFont="1" applyBorder="1" applyAlignment="1">
      <alignment horizontal="right" vertical="center" indent="4"/>
    </xf>
    <xf numFmtId="166" fontId="55" fillId="0" borderId="14" xfId="0" applyNumberFormat="1" applyFont="1" applyBorder="1" applyAlignment="1">
      <alignment horizontal="right" vertical="center" indent="4"/>
    </xf>
    <xf numFmtId="166" fontId="55" fillId="0" borderId="15" xfId="0" applyNumberFormat="1" applyFont="1" applyBorder="1" applyAlignment="1">
      <alignment horizontal="right" vertical="center" indent="4"/>
    </xf>
    <xf numFmtId="166" fontId="49" fillId="0" borderId="14" xfId="0" applyNumberFormat="1" applyFont="1" applyBorder="1" applyAlignment="1">
      <alignment horizontal="left" vertical="center"/>
    </xf>
    <xf numFmtId="166" fontId="49" fillId="0" borderId="15" xfId="0" applyNumberFormat="1" applyFont="1" applyBorder="1" applyAlignment="1">
      <alignment vertical="center"/>
    </xf>
    <xf numFmtId="166" fontId="62" fillId="0" borderId="15" xfId="0" applyNumberFormat="1" applyFont="1" applyBorder="1" applyAlignment="1">
      <alignment horizontal="left" vertical="center" wrapText="1"/>
    </xf>
    <xf numFmtId="166" fontId="55" fillId="0" borderId="14" xfId="0" applyNumberFormat="1" applyFont="1" applyBorder="1" applyAlignment="1">
      <alignment horizontal="left" vertical="center"/>
    </xf>
    <xf numFmtId="166" fontId="55" fillId="0" borderId="15" xfId="0" applyNumberFormat="1" applyFont="1" applyBorder="1" applyAlignment="1">
      <alignment vertical="center"/>
    </xf>
    <xf numFmtId="171" fontId="55" fillId="0" borderId="15" xfId="0" applyNumberFormat="1" applyFont="1" applyBorder="1" applyAlignment="1">
      <alignment horizontal="left" vertical="center"/>
    </xf>
    <xf numFmtId="164" fontId="55" fillId="0" borderId="22" xfId="0" applyFont="1" applyBorder="1" applyAlignment="1">
      <alignment vertical="center"/>
    </xf>
    <xf numFmtId="166" fontId="55" fillId="0" borderId="23" xfId="0" applyNumberFormat="1" applyFont="1" applyBorder="1" applyAlignment="1">
      <alignment horizontal="left" vertical="center"/>
    </xf>
    <xf numFmtId="164" fontId="55" fillId="0" borderId="23" xfId="0" applyFont="1" applyBorder="1" applyAlignment="1">
      <alignment vertical="center"/>
    </xf>
    <xf numFmtId="166" fontId="55" fillId="0" borderId="56" xfId="0" applyNumberFormat="1" applyFont="1" applyBorder="1" applyAlignment="1">
      <alignment vertical="center"/>
    </xf>
    <xf numFmtId="164" fontId="55" fillId="0" borderId="10" xfId="0" applyFont="1" applyBorder="1" applyAlignment="1">
      <alignment horizontal="left" vertical="center" wrapText="1"/>
    </xf>
    <xf numFmtId="166" fontId="62" fillId="0" borderId="12" xfId="0" applyNumberFormat="1" applyFont="1" applyBorder="1" applyAlignment="1">
      <alignment horizontal="left" vertical="center" wrapText="1"/>
    </xf>
    <xf numFmtId="164" fontId="55" fillId="0" borderId="13" xfId="0" applyFont="1" applyBorder="1" applyAlignment="1">
      <alignment horizontal="left" vertical="center" wrapText="1"/>
    </xf>
    <xf numFmtId="166" fontId="49" fillId="0" borderId="23" xfId="0" applyNumberFormat="1" applyFont="1" applyBorder="1" applyAlignment="1">
      <alignment horizontal="right" vertical="center" indent="4"/>
    </xf>
    <xf numFmtId="166" fontId="49" fillId="0" borderId="56" xfId="0" applyNumberFormat="1" applyFont="1" applyBorder="1" applyAlignment="1">
      <alignment horizontal="right" vertical="center" indent="4"/>
    </xf>
    <xf numFmtId="164" fontId="40" fillId="0" borderId="0" xfId="0" applyFont="1" applyAlignment="1">
      <alignment horizontal="center" wrapText="1"/>
    </xf>
    <xf numFmtId="164" fontId="30" fillId="0" borderId="14" xfId="0" applyFont="1" applyBorder="1" applyAlignment="1">
      <alignment horizontal="center" vertical="center"/>
    </xf>
    <xf numFmtId="164" fontId="30" fillId="0" borderId="13" xfId="0" applyFont="1" applyBorder="1" applyAlignment="1">
      <alignment wrapText="1"/>
    </xf>
    <xf numFmtId="164" fontId="30" fillId="0" borderId="14" xfId="0" applyFont="1" applyBorder="1" applyAlignment="1">
      <alignment wrapText="1"/>
    </xf>
    <xf numFmtId="164" fontId="30" fillId="0" borderId="22" xfId="0" applyFont="1" applyBorder="1" applyAlignment="1">
      <alignment wrapText="1"/>
    </xf>
    <xf numFmtId="166" fontId="34" fillId="0" borderId="0" xfId="0" applyNumberFormat="1" applyFont="1" applyAlignment="1">
      <alignment/>
    </xf>
    <xf numFmtId="166" fontId="35" fillId="0" borderId="0" xfId="0" applyNumberFormat="1" applyFont="1" applyAlignment="1">
      <alignment/>
    </xf>
    <xf numFmtId="164" fontId="35" fillId="0" borderId="10" xfId="0" applyFont="1" applyBorder="1" applyAlignment="1">
      <alignment horizontal="center" vertical="center"/>
    </xf>
    <xf numFmtId="164" fontId="35" fillId="0" borderId="11" xfId="0" applyFont="1" applyBorder="1" applyAlignment="1">
      <alignment horizontal="center"/>
    </xf>
    <xf numFmtId="164" fontId="42" fillId="0" borderId="11" xfId="0" applyFont="1" applyBorder="1" applyAlignment="1">
      <alignment horizontal="center"/>
    </xf>
    <xf numFmtId="164" fontId="35" fillId="0" borderId="12" xfId="0" applyFont="1" applyBorder="1" applyAlignment="1">
      <alignment horizontal="center"/>
    </xf>
    <xf numFmtId="164" fontId="35" fillId="0" borderId="13" xfId="0" applyFont="1" applyBorder="1" applyAlignment="1">
      <alignment horizontal="center" vertical="center"/>
    </xf>
    <xf numFmtId="166" fontId="35" fillId="0" borderId="14" xfId="0" applyNumberFormat="1" applyFont="1" applyBorder="1" applyAlignment="1">
      <alignment/>
    </xf>
    <xf numFmtId="166" fontId="35" fillId="0" borderId="51" xfId="0" applyNumberFormat="1" applyFont="1" applyBorder="1" applyAlignment="1">
      <alignment/>
    </xf>
    <xf numFmtId="166" fontId="35" fillId="0" borderId="14" xfId="0" applyNumberFormat="1" applyFont="1" applyBorder="1" applyAlignment="1">
      <alignment horizontal="center"/>
    </xf>
    <xf numFmtId="166" fontId="35" fillId="0" borderId="51" xfId="0" applyNumberFormat="1" applyFont="1" applyBorder="1" applyAlignment="1">
      <alignment horizontal="center"/>
    </xf>
    <xf numFmtId="164" fontId="35" fillId="0" borderId="15" xfId="0" applyFont="1" applyBorder="1" applyAlignment="1">
      <alignment horizontal="center" wrapText="1"/>
    </xf>
    <xf numFmtId="164" fontId="35" fillId="0" borderId="13" xfId="0" applyFont="1" applyBorder="1" applyAlignment="1">
      <alignment horizontal="left" vertical="center"/>
    </xf>
    <xf numFmtId="166" fontId="34" fillId="0" borderId="14" xfId="0" applyNumberFormat="1" applyFont="1" applyBorder="1" applyAlignment="1">
      <alignment/>
    </xf>
    <xf numFmtId="164" fontId="35" fillId="0" borderId="15" xfId="0" applyFont="1" applyBorder="1" applyAlignment="1">
      <alignment/>
    </xf>
    <xf numFmtId="164" fontId="34" fillId="0" borderId="13" xfId="0" applyFont="1" applyBorder="1" applyAlignment="1">
      <alignment/>
    </xf>
    <xf numFmtId="166" fontId="34" fillId="0" borderId="51" xfId="0" applyNumberFormat="1" applyFont="1" applyBorder="1" applyAlignment="1">
      <alignment/>
    </xf>
    <xf numFmtId="166" fontId="34" fillId="0" borderId="15" xfId="0" applyNumberFormat="1" applyFont="1" applyBorder="1" applyAlignment="1">
      <alignment/>
    </xf>
    <xf numFmtId="166" fontId="35" fillId="0" borderId="51" xfId="0" applyNumberFormat="1" applyFont="1" applyFill="1" applyBorder="1" applyAlignment="1">
      <alignment/>
    </xf>
    <xf numFmtId="166" fontId="34" fillId="0" borderId="51" xfId="0" applyNumberFormat="1" applyFont="1" applyFill="1" applyBorder="1" applyAlignment="1">
      <alignment/>
    </xf>
    <xf numFmtId="176" fontId="34" fillId="0" borderId="14" xfId="0" applyNumberFormat="1" applyFont="1" applyBorder="1" applyAlignment="1">
      <alignment/>
    </xf>
    <xf numFmtId="176" fontId="34" fillId="0" borderId="51" xfId="0" applyNumberFormat="1" applyFont="1" applyBorder="1" applyAlignment="1">
      <alignment/>
    </xf>
    <xf numFmtId="164" fontId="33" fillId="0" borderId="13" xfId="0" applyFont="1" applyBorder="1" applyAlignment="1">
      <alignment/>
    </xf>
    <xf numFmtId="166" fontId="33" fillId="0" borderId="51" xfId="0" applyNumberFormat="1" applyFont="1" applyBorder="1" applyAlignment="1">
      <alignment/>
    </xf>
    <xf numFmtId="166" fontId="22" fillId="0" borderId="51" xfId="0" applyNumberFormat="1" applyFont="1" applyBorder="1" applyAlignment="1">
      <alignment/>
    </xf>
    <xf numFmtId="166" fontId="33" fillId="0" borderId="15" xfId="0" applyNumberFormat="1" applyFont="1" applyBorder="1" applyAlignment="1">
      <alignment/>
    </xf>
    <xf numFmtId="164" fontId="36" fillId="0" borderId="13" xfId="0" applyFont="1" applyBorder="1" applyAlignment="1">
      <alignment/>
    </xf>
    <xf numFmtId="166" fontId="34" fillId="0" borderId="14" xfId="0" applyNumberFormat="1" applyFont="1" applyFill="1" applyBorder="1" applyAlignment="1">
      <alignment/>
    </xf>
    <xf numFmtId="164" fontId="34" fillId="0" borderId="13" xfId="0" applyFont="1" applyFill="1" applyBorder="1" applyAlignment="1">
      <alignment/>
    </xf>
    <xf numFmtId="164" fontId="34" fillId="0" borderId="0" xfId="0" applyFont="1" applyFill="1" applyAlignment="1">
      <alignment/>
    </xf>
    <xf numFmtId="164" fontId="33" fillId="0" borderId="13" xfId="0" applyFont="1" applyFill="1" applyBorder="1" applyAlignment="1">
      <alignment/>
    </xf>
    <xf numFmtId="166" fontId="20" fillId="0" borderId="14" xfId="0" applyNumberFormat="1" applyFont="1" applyFill="1" applyBorder="1" applyAlignment="1">
      <alignment/>
    </xf>
    <xf numFmtId="166" fontId="33" fillId="0" borderId="51" xfId="0" applyNumberFormat="1" applyFont="1" applyFill="1" applyBorder="1" applyAlignment="1">
      <alignment/>
    </xf>
    <xf numFmtId="166" fontId="22" fillId="0" borderId="51" xfId="0" applyNumberFormat="1" applyFont="1" applyFill="1" applyBorder="1" applyAlignment="1">
      <alignment/>
    </xf>
    <xf numFmtId="166" fontId="33" fillId="0" borderId="14" xfId="0" applyNumberFormat="1" applyFont="1" applyFill="1" applyBorder="1" applyAlignment="1">
      <alignment/>
    </xf>
    <xf numFmtId="166" fontId="36" fillId="0" borderId="14" xfId="0" applyNumberFormat="1" applyFont="1" applyBorder="1" applyAlignment="1">
      <alignment/>
    </xf>
    <xf numFmtId="166" fontId="36" fillId="0" borderId="51" xfId="0" applyNumberFormat="1" applyFont="1" applyBorder="1" applyAlignment="1">
      <alignment/>
    </xf>
    <xf numFmtId="166" fontId="37" fillId="0" borderId="51" xfId="0" applyNumberFormat="1" applyFont="1" applyBorder="1" applyAlignment="1">
      <alignment/>
    </xf>
    <xf numFmtId="164" fontId="50" fillId="0" borderId="13" xfId="0" applyFont="1" applyBorder="1" applyAlignment="1">
      <alignment/>
    </xf>
    <xf numFmtId="166" fontId="63" fillId="0" borderId="14" xfId="0" applyNumberFormat="1" applyFont="1" applyBorder="1" applyAlignment="1">
      <alignment/>
    </xf>
    <xf numFmtId="166" fontId="50" fillId="0" borderId="51" xfId="0" applyNumberFormat="1" applyFont="1" applyBorder="1" applyAlignment="1">
      <alignment horizontal="right"/>
    </xf>
    <xf numFmtId="166" fontId="58" fillId="0" borderId="51" xfId="0" applyNumberFormat="1" applyFont="1" applyBorder="1" applyAlignment="1">
      <alignment horizontal="right"/>
    </xf>
    <xf numFmtId="164" fontId="63" fillId="0" borderId="0" xfId="0" applyFont="1" applyBorder="1" applyAlignment="1">
      <alignment/>
    </xf>
    <xf numFmtId="164" fontId="36" fillId="0" borderId="78" xfId="0" applyFont="1" applyBorder="1" applyAlignment="1">
      <alignment/>
    </xf>
    <xf numFmtId="166" fontId="37" fillId="0" borderId="14" xfId="0" applyNumberFormat="1" applyFont="1" applyBorder="1" applyAlignment="1">
      <alignment/>
    </xf>
    <xf numFmtId="164" fontId="37" fillId="0" borderId="0" xfId="0" applyFont="1" applyBorder="1" applyAlignment="1">
      <alignment/>
    </xf>
    <xf numFmtId="164" fontId="35" fillId="0" borderId="78" xfId="0" applyFont="1" applyBorder="1" applyAlignment="1">
      <alignment/>
    </xf>
    <xf numFmtId="166" fontId="37" fillId="0" borderId="38" xfId="0" applyNumberFormat="1" applyFont="1" applyBorder="1" applyAlignment="1">
      <alignment/>
    </xf>
    <xf numFmtId="166" fontId="36" fillId="0" borderId="54" xfId="0" applyNumberFormat="1" applyFont="1" applyBorder="1" applyAlignment="1">
      <alignment/>
    </xf>
    <xf numFmtId="166" fontId="37" fillId="0" borderId="54" xfId="0" applyNumberFormat="1" applyFont="1" applyBorder="1" applyAlignment="1">
      <alignment/>
    </xf>
    <xf numFmtId="166" fontId="35" fillId="0" borderId="79" xfId="0" applyNumberFormat="1" applyFont="1" applyBorder="1" applyAlignment="1">
      <alignment/>
    </xf>
    <xf numFmtId="164" fontId="50" fillId="0" borderId="22" xfId="0" applyFont="1" applyBorder="1" applyAlignment="1">
      <alignment/>
    </xf>
    <xf numFmtId="166" fontId="64" fillId="0" borderId="23" xfId="0" applyNumberFormat="1" applyFont="1" applyBorder="1" applyAlignment="1">
      <alignment/>
    </xf>
    <xf numFmtId="166" fontId="50" fillId="0" borderId="75" xfId="0" applyNumberFormat="1" applyFont="1" applyBorder="1" applyAlignment="1">
      <alignment/>
    </xf>
    <xf numFmtId="166" fontId="58" fillId="0" borderId="75" xfId="0" applyNumberFormat="1" applyFont="1" applyBorder="1" applyAlignment="1">
      <alignment/>
    </xf>
    <xf numFmtId="166" fontId="33" fillId="0" borderId="56" xfId="0" applyNumberFormat="1" applyFont="1" applyBorder="1" applyAlignment="1">
      <alignment/>
    </xf>
    <xf numFmtId="164" fontId="64" fillId="0" borderId="0" xfId="0" applyFont="1" applyBorder="1" applyAlignment="1">
      <alignment/>
    </xf>
    <xf numFmtId="164" fontId="64" fillId="0" borderId="25" xfId="0" applyFont="1" applyBorder="1" applyAlignment="1">
      <alignment/>
    </xf>
    <xf numFmtId="164" fontId="34" fillId="0" borderId="90" xfId="0" applyFont="1" applyBorder="1" applyAlignment="1">
      <alignment/>
    </xf>
    <xf numFmtId="166" fontId="34" fillId="0" borderId="0" xfId="0" applyNumberFormat="1" applyFont="1" applyBorder="1" applyAlignment="1">
      <alignment/>
    </xf>
    <xf numFmtId="166" fontId="35" fillId="0" borderId="0" xfId="0" applyNumberFormat="1" applyFont="1" applyBorder="1" applyAlignment="1">
      <alignment/>
    </xf>
    <xf numFmtId="167" fontId="38" fillId="0" borderId="0" xfId="0" applyNumberFormat="1" applyFont="1" applyAlignment="1">
      <alignment/>
    </xf>
    <xf numFmtId="164" fontId="30" fillId="0" borderId="91" xfId="0" applyFont="1" applyBorder="1" applyAlignment="1">
      <alignment horizontal="center" vertical="center" wrapText="1"/>
    </xf>
    <xf numFmtId="166" fontId="30" fillId="0" borderId="92" xfId="0" applyNumberFormat="1" applyFont="1" applyBorder="1" applyAlignment="1">
      <alignment horizontal="center" vertical="center" wrapText="1"/>
    </xf>
    <xf numFmtId="164" fontId="30" fillId="0" borderId="92" xfId="0" applyFont="1" applyBorder="1" applyAlignment="1">
      <alignment horizontal="center" vertical="center" wrapText="1"/>
    </xf>
    <xf numFmtId="164" fontId="30" fillId="0" borderId="11" xfId="0" applyFont="1" applyBorder="1" applyAlignment="1">
      <alignment horizontal="center" wrapText="1"/>
    </xf>
    <xf numFmtId="164" fontId="30" fillId="0" borderId="55" xfId="0" applyFont="1" applyBorder="1" applyAlignment="1">
      <alignment horizontal="center" wrapText="1"/>
    </xf>
    <xf numFmtId="167" fontId="30" fillId="0" borderId="12" xfId="0" applyNumberFormat="1" applyFont="1" applyBorder="1" applyAlignment="1">
      <alignment horizontal="center" wrapText="1"/>
    </xf>
    <xf numFmtId="164" fontId="30" fillId="0" borderId="23" xfId="0" applyFont="1" applyBorder="1" applyAlignment="1">
      <alignment horizontal="center" vertical="center" wrapText="1"/>
    </xf>
    <xf numFmtId="164" fontId="30" fillId="0" borderId="38" xfId="0" applyFont="1" applyBorder="1" applyAlignment="1">
      <alignment horizontal="center" vertical="center" wrapText="1"/>
    </xf>
    <xf numFmtId="164" fontId="30" fillId="0" borderId="75" xfId="0" applyFont="1" applyBorder="1" applyAlignment="1">
      <alignment horizontal="center" vertical="center" wrapText="1"/>
    </xf>
    <xf numFmtId="164" fontId="30" fillId="0" borderId="38" xfId="0" applyFont="1" applyBorder="1" applyAlignment="1">
      <alignment horizontal="center"/>
    </xf>
    <xf numFmtId="167" fontId="30" fillId="0" borderId="56" xfId="0" applyNumberFormat="1" applyFont="1" applyBorder="1" applyAlignment="1">
      <alignment horizontal="center"/>
    </xf>
    <xf numFmtId="164" fontId="38" fillId="0" borderId="16" xfId="0" applyFont="1" applyBorder="1" applyAlignment="1">
      <alignment/>
    </xf>
    <xf numFmtId="166" fontId="38" fillId="0" borderId="17" xfId="0" applyNumberFormat="1" applyFont="1" applyBorder="1" applyAlignment="1">
      <alignment/>
    </xf>
    <xf numFmtId="167" fontId="38" fillId="0" borderId="17" xfId="0" applyNumberFormat="1" applyFont="1" applyBorder="1" applyAlignment="1">
      <alignment/>
    </xf>
    <xf numFmtId="173" fontId="38" fillId="0" borderId="17" xfId="0" applyNumberFormat="1" applyFont="1" applyBorder="1" applyAlignment="1">
      <alignment/>
    </xf>
    <xf numFmtId="166" fontId="38" fillId="0" borderId="11" xfId="0" applyNumberFormat="1" applyFont="1" applyBorder="1" applyAlignment="1">
      <alignment/>
    </xf>
    <xf numFmtId="173" fontId="38" fillId="0" borderId="50" xfId="0" applyNumberFormat="1" applyFont="1" applyBorder="1" applyAlignment="1">
      <alignment/>
    </xf>
    <xf numFmtId="167" fontId="38" fillId="0" borderId="11" xfId="0" applyNumberFormat="1" applyFont="1" applyBorder="1" applyAlignment="1">
      <alignment/>
    </xf>
    <xf numFmtId="167" fontId="38" fillId="0" borderId="12" xfId="0" applyNumberFormat="1" applyFont="1" applyBorder="1" applyAlignment="1">
      <alignment/>
    </xf>
    <xf numFmtId="167" fontId="38" fillId="0" borderId="14" xfId="0" applyNumberFormat="1" applyFont="1" applyBorder="1" applyAlignment="1">
      <alignment/>
    </xf>
    <xf numFmtId="167" fontId="38" fillId="0" borderId="15" xfId="0" applyNumberFormat="1" applyFont="1" applyBorder="1" applyAlignment="1">
      <alignment/>
    </xf>
    <xf numFmtId="164" fontId="30" fillId="0" borderId="13" xfId="0" applyFont="1" applyBorder="1" applyAlignment="1">
      <alignment/>
    </xf>
    <xf numFmtId="167" fontId="30" fillId="0" borderId="17" xfId="0" applyNumberFormat="1" applyFont="1" applyBorder="1" applyAlignment="1">
      <alignment/>
    </xf>
    <xf numFmtId="173" fontId="30" fillId="0" borderId="17" xfId="0" applyNumberFormat="1" applyFont="1" applyBorder="1" applyAlignment="1">
      <alignment/>
    </xf>
    <xf numFmtId="173" fontId="30" fillId="0" borderId="50" xfId="0" applyNumberFormat="1" applyFont="1" applyBorder="1" applyAlignment="1">
      <alignment/>
    </xf>
    <xf numFmtId="167" fontId="30" fillId="0" borderId="15" xfId="0" applyNumberFormat="1" applyFont="1" applyBorder="1" applyAlignment="1">
      <alignment/>
    </xf>
    <xf numFmtId="167" fontId="30" fillId="0" borderId="14" xfId="0" applyNumberFormat="1" applyFont="1" applyBorder="1" applyAlignment="1">
      <alignment/>
    </xf>
    <xf numFmtId="164" fontId="30" fillId="0" borderId="78" xfId="0" applyFont="1" applyBorder="1" applyAlignment="1">
      <alignment/>
    </xf>
    <xf numFmtId="166" fontId="30" fillId="0" borderId="38" xfId="0" applyNumberFormat="1" applyFont="1" applyBorder="1" applyAlignment="1">
      <alignment/>
    </xf>
    <xf numFmtId="164" fontId="30" fillId="0" borderId="38" xfId="0" applyFont="1" applyBorder="1" applyAlignment="1">
      <alignment/>
    </xf>
    <xf numFmtId="173" fontId="30" fillId="0" borderId="14" xfId="0" applyNumberFormat="1" applyFont="1" applyBorder="1" applyAlignment="1">
      <alignment/>
    </xf>
    <xf numFmtId="166" fontId="50" fillId="0" borderId="23" xfId="0" applyNumberFormat="1" applyFont="1" applyBorder="1" applyAlignment="1">
      <alignment/>
    </xf>
    <xf numFmtId="167" fontId="30" fillId="0" borderId="23" xfId="0" applyNumberFormat="1" applyFont="1" applyBorder="1" applyAlignment="1">
      <alignment/>
    </xf>
    <xf numFmtId="173" fontId="50" fillId="0" borderId="23" xfId="0" applyNumberFormat="1" applyFont="1" applyBorder="1" applyAlignment="1">
      <alignment/>
    </xf>
    <xf numFmtId="173" fontId="50" fillId="0" borderId="75" xfId="0" applyNumberFormat="1" applyFont="1" applyBorder="1" applyAlignment="1">
      <alignment/>
    </xf>
    <xf numFmtId="167" fontId="50" fillId="0" borderId="23" xfId="0" applyNumberFormat="1" applyFont="1" applyBorder="1" applyAlignment="1">
      <alignment/>
    </xf>
    <xf numFmtId="167" fontId="50" fillId="0" borderId="56" xfId="0" applyNumberFormat="1" applyFont="1" applyBorder="1" applyAlignment="1">
      <alignment/>
    </xf>
    <xf numFmtId="164" fontId="20" fillId="0" borderId="0" xfId="0" applyFont="1" applyAlignment="1">
      <alignment horizontal="left"/>
    </xf>
    <xf numFmtId="164" fontId="33" fillId="0" borderId="0" xfId="0" applyFont="1" applyBorder="1" applyAlignment="1">
      <alignment horizontal="center"/>
    </xf>
    <xf numFmtId="164" fontId="65" fillId="0" borderId="0" xfId="0" applyFont="1" applyBorder="1" applyAlignment="1">
      <alignment horizontal="center"/>
    </xf>
    <xf numFmtId="164" fontId="65" fillId="0" borderId="0" xfId="0" applyFont="1" applyAlignment="1">
      <alignment horizontal="center"/>
    </xf>
    <xf numFmtId="164" fontId="23" fillId="0" borderId="0" xfId="0" applyFont="1" applyAlignment="1">
      <alignment horizontal="center"/>
    </xf>
    <xf numFmtId="166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right"/>
    </xf>
    <xf numFmtId="164" fontId="20" fillId="0" borderId="91" xfId="0" applyFont="1" applyBorder="1" applyAlignment="1">
      <alignment horizontal="left" vertical="top"/>
    </xf>
    <xf numFmtId="166" fontId="20" fillId="0" borderId="92" xfId="0" applyNumberFormat="1" applyFont="1" applyBorder="1" applyAlignment="1">
      <alignment horizontal="center" vertical="top" wrapText="1"/>
    </xf>
    <xf numFmtId="166" fontId="20" fillId="0" borderId="93" xfId="0" applyNumberFormat="1" applyFont="1" applyBorder="1" applyAlignment="1">
      <alignment horizontal="center" vertical="top" wrapText="1"/>
    </xf>
    <xf numFmtId="164" fontId="20" fillId="0" borderId="16" xfId="0" applyFont="1" applyBorder="1" applyAlignment="1">
      <alignment/>
    </xf>
    <xf numFmtId="166" fontId="20" fillId="0" borderId="17" xfId="0" applyNumberFormat="1" applyFont="1" applyBorder="1" applyAlignment="1">
      <alignment/>
    </xf>
    <xf numFmtId="166" fontId="20" fillId="0" borderId="12" xfId="0" applyNumberFormat="1" applyFont="1" applyBorder="1" applyAlignment="1">
      <alignment/>
    </xf>
    <xf numFmtId="164" fontId="20" fillId="0" borderId="22" xfId="0" applyFont="1" applyBorder="1" applyAlignment="1">
      <alignment/>
    </xf>
    <xf numFmtId="164" fontId="20" fillId="0" borderId="23" xfId="0" applyFont="1" applyBorder="1" applyAlignment="1">
      <alignment/>
    </xf>
    <xf numFmtId="166" fontId="20" fillId="0" borderId="82" xfId="0" applyNumberFormat="1" applyFont="1" applyBorder="1" applyAlignment="1">
      <alignment/>
    </xf>
    <xf numFmtId="166" fontId="20" fillId="0" borderId="56" xfId="0" applyNumberFormat="1" applyFont="1" applyBorder="1" applyAlignment="1">
      <alignment/>
    </xf>
    <xf numFmtId="164" fontId="20" fillId="0" borderId="0" xfId="0" applyFont="1" applyBorder="1" applyAlignment="1">
      <alignment horizontal="left" vertical="top"/>
    </xf>
    <xf numFmtId="164" fontId="20" fillId="0" borderId="0" xfId="0" applyFont="1" applyBorder="1" applyAlignment="1">
      <alignment horizontal="center" vertical="top"/>
    </xf>
    <xf numFmtId="166" fontId="20" fillId="0" borderId="0" xfId="0" applyNumberFormat="1" applyFont="1" applyBorder="1" applyAlignment="1">
      <alignment horizontal="center" vertical="top" wrapText="1"/>
    </xf>
    <xf numFmtId="164" fontId="20" fillId="0" borderId="94" xfId="0" applyFont="1" applyBorder="1" applyAlignment="1">
      <alignment horizontal="left" vertical="top"/>
    </xf>
    <xf numFmtId="164" fontId="20" fillId="0" borderId="95" xfId="0" applyFont="1" applyBorder="1" applyAlignment="1">
      <alignment horizontal="center" vertical="top"/>
    </xf>
    <xf numFmtId="166" fontId="20" fillId="0" borderId="11" xfId="0" applyNumberFormat="1" applyFont="1" applyBorder="1" applyAlignment="1">
      <alignment/>
    </xf>
    <xf numFmtId="166" fontId="20" fillId="0" borderId="18" xfId="0" applyNumberFormat="1" applyFont="1" applyBorder="1" applyAlignment="1">
      <alignment/>
    </xf>
    <xf numFmtId="166" fontId="20" fillId="0" borderId="23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4" fontId="20" fillId="0" borderId="0" xfId="0" applyFont="1" applyAlignment="1">
      <alignment horizontal="center"/>
    </xf>
    <xf numFmtId="164" fontId="3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1" fillId="0" borderId="96" xfId="0" applyFont="1" applyBorder="1" applyAlignment="1">
      <alignment horizontal="center"/>
    </xf>
    <xf numFmtId="164" fontId="21" fillId="0" borderId="97" xfId="0" applyFont="1" applyBorder="1" applyAlignment="1">
      <alignment horizontal="center"/>
    </xf>
    <xf numFmtId="166" fontId="21" fillId="0" borderId="97" xfId="0" applyNumberFormat="1" applyFont="1" applyBorder="1" applyAlignment="1">
      <alignment horizontal="center"/>
    </xf>
    <xf numFmtId="166" fontId="21" fillId="0" borderId="98" xfId="0" applyNumberFormat="1" applyFont="1" applyBorder="1" applyAlignment="1">
      <alignment horizontal="center"/>
    </xf>
    <xf numFmtId="164" fontId="21" fillId="0" borderId="69" xfId="0" applyFont="1" applyBorder="1" applyAlignment="1">
      <alignment horizontal="center"/>
    </xf>
    <xf numFmtId="164" fontId="21" fillId="0" borderId="70" xfId="0" applyFont="1" applyBorder="1" applyAlignment="1">
      <alignment horizontal="center"/>
    </xf>
    <xf numFmtId="166" fontId="21" fillId="0" borderId="70" xfId="0" applyNumberFormat="1" applyFont="1" applyBorder="1" applyAlignment="1">
      <alignment horizontal="center"/>
    </xf>
    <xf numFmtId="166" fontId="21" fillId="0" borderId="72" xfId="0" applyNumberFormat="1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21" fillId="0" borderId="13" xfId="0" applyFont="1" applyBorder="1" applyAlignment="1">
      <alignment horizontal="center"/>
    </xf>
    <xf numFmtId="164" fontId="33" fillId="0" borderId="14" xfId="0" applyFont="1" applyBorder="1" applyAlignment="1">
      <alignment/>
    </xf>
    <xf numFmtId="164" fontId="33" fillId="0" borderId="14" xfId="0" applyFont="1" applyBorder="1" applyAlignment="1">
      <alignment/>
    </xf>
    <xf numFmtId="166" fontId="21" fillId="0" borderId="15" xfId="0" applyNumberFormat="1" applyFont="1" applyBorder="1" applyAlignment="1">
      <alignment/>
    </xf>
    <xf numFmtId="164" fontId="20" fillId="0" borderId="13" xfId="0" applyFont="1" applyBorder="1" applyAlignment="1">
      <alignment horizontal="center" vertical="top"/>
    </xf>
    <xf numFmtId="164" fontId="21" fillId="0" borderId="13" xfId="0" applyFont="1" applyBorder="1" applyAlignment="1">
      <alignment horizontal="center" vertical="center"/>
    </xf>
    <xf numFmtId="164" fontId="21" fillId="0" borderId="14" xfId="0" applyFont="1" applyBorder="1" applyAlignment="1">
      <alignment wrapText="1"/>
    </xf>
    <xf numFmtId="164" fontId="21" fillId="0" borderId="78" xfId="0" applyFont="1" applyBorder="1" applyAlignment="1">
      <alignment horizontal="center"/>
    </xf>
    <xf numFmtId="164" fontId="33" fillId="0" borderId="38" xfId="0" applyFont="1" applyBorder="1" applyAlignment="1">
      <alignment/>
    </xf>
    <xf numFmtId="166" fontId="21" fillId="0" borderId="38" xfId="0" applyNumberFormat="1" applyFont="1" applyBorder="1" applyAlignment="1">
      <alignment/>
    </xf>
    <xf numFmtId="166" fontId="21" fillId="0" borderId="79" xfId="0" applyNumberFormat="1" applyFont="1" applyBorder="1" applyAlignment="1">
      <alignment/>
    </xf>
    <xf numFmtId="164" fontId="21" fillId="0" borderId="14" xfId="0" applyFont="1" applyBorder="1" applyAlignment="1">
      <alignment vertical="center" wrapText="1"/>
    </xf>
    <xf numFmtId="164" fontId="21" fillId="0" borderId="22" xfId="0" applyFont="1" applyBorder="1" applyAlignment="1">
      <alignment horizontal="center"/>
    </xf>
    <xf numFmtId="164" fontId="21" fillId="0" borderId="23" xfId="0" applyFont="1" applyBorder="1" applyAlignment="1">
      <alignment/>
    </xf>
    <xf numFmtId="164" fontId="20" fillId="0" borderId="0" xfId="0" applyFont="1" applyBorder="1" applyAlignment="1">
      <alignment horizontal="left"/>
    </xf>
    <xf numFmtId="166" fontId="20" fillId="0" borderId="0" xfId="0" applyNumberFormat="1" applyFont="1" applyAlignment="1">
      <alignment/>
    </xf>
    <xf numFmtId="164" fontId="20" fillId="0" borderId="0" xfId="0" applyFont="1" applyAlignment="1">
      <alignment horizontal="right"/>
    </xf>
    <xf numFmtId="166" fontId="21" fillId="0" borderId="11" xfId="0" applyNumberFormat="1" applyFont="1" applyBorder="1" applyAlignment="1">
      <alignment horizontal="center" vertical="top" wrapText="1"/>
    </xf>
    <xf numFmtId="166" fontId="21" fillId="0" borderId="12" xfId="0" applyNumberFormat="1" applyFont="1" applyBorder="1" applyAlignment="1">
      <alignment horizontal="center" vertical="top" wrapText="1"/>
    </xf>
    <xf numFmtId="164" fontId="20" fillId="0" borderId="13" xfId="0" applyFont="1" applyBorder="1" applyAlignment="1">
      <alignment horizontal="center" vertical="center"/>
    </xf>
    <xf numFmtId="164" fontId="20" fillId="0" borderId="14" xfId="0" applyFont="1" applyBorder="1" applyAlignment="1">
      <alignment horizontal="justify"/>
    </xf>
    <xf numFmtId="166" fontId="20" fillId="0" borderId="14" xfId="0" applyNumberFormat="1" applyFont="1" applyFill="1" applyBorder="1" applyAlignment="1">
      <alignment wrapText="1"/>
    </xf>
    <xf numFmtId="164" fontId="20" fillId="0" borderId="14" xfId="0" applyFont="1" applyBorder="1" applyAlignment="1">
      <alignment horizontal="justify" wrapText="1"/>
    </xf>
    <xf numFmtId="164" fontId="20" fillId="0" borderId="14" xfId="0" applyFont="1" applyBorder="1" applyAlignment="1">
      <alignment horizontal="justify" vertical="top"/>
    </xf>
    <xf numFmtId="164" fontId="33" fillId="0" borderId="14" xfId="0" applyFont="1" applyBorder="1" applyAlignment="1">
      <alignment vertical="top"/>
    </xf>
    <xf numFmtId="166" fontId="21" fillId="0" borderId="14" xfId="0" applyNumberFormat="1" applyFont="1" applyFill="1" applyBorder="1" applyAlignment="1">
      <alignment wrapText="1"/>
    </xf>
    <xf numFmtId="164" fontId="21" fillId="0" borderId="14" xfId="0" applyFont="1" applyBorder="1" applyAlignment="1">
      <alignment horizontal="justify" wrapText="1"/>
    </xf>
    <xf numFmtId="164" fontId="21" fillId="0" borderId="14" xfId="0" applyFont="1" applyBorder="1" applyAlignment="1">
      <alignment vertical="top" wrapText="1"/>
    </xf>
    <xf numFmtId="164" fontId="20" fillId="0" borderId="13" xfId="0" applyFont="1" applyFill="1" applyBorder="1" applyAlignment="1">
      <alignment horizontal="center" vertical="center"/>
    </xf>
    <xf numFmtId="164" fontId="20" fillId="0" borderId="14" xfId="0" applyFont="1" applyFill="1" applyBorder="1" applyAlignment="1">
      <alignment horizontal="justify" wrapText="1"/>
    </xf>
    <xf numFmtId="164" fontId="20" fillId="0" borderId="22" xfId="0" applyFont="1" applyBorder="1" applyAlignment="1">
      <alignment horizontal="center"/>
    </xf>
    <xf numFmtId="164" fontId="20" fillId="0" borderId="23" xfId="0" applyFont="1" applyFill="1" applyBorder="1" applyAlignment="1">
      <alignment horizontal="justify" wrapText="1"/>
    </xf>
    <xf numFmtId="166" fontId="20" fillId="0" borderId="23" xfId="0" applyNumberFormat="1" applyFont="1" applyFill="1" applyBorder="1" applyAlignment="1">
      <alignment/>
    </xf>
    <xf numFmtId="166" fontId="20" fillId="0" borderId="15" xfId="0" applyNumberFormat="1" applyFont="1" applyBorder="1" applyAlignment="1">
      <alignment wrapText="1"/>
    </xf>
    <xf numFmtId="164" fontId="21" fillId="0" borderId="14" xfId="0" applyFont="1" applyBorder="1" applyAlignment="1">
      <alignment horizontal="justify" vertical="top"/>
    </xf>
    <xf numFmtId="166" fontId="21" fillId="0" borderId="15" xfId="0" applyNumberFormat="1" applyFont="1" applyFill="1" applyBorder="1" applyAlignment="1">
      <alignment wrapText="1"/>
    </xf>
    <xf numFmtId="164" fontId="20" fillId="0" borderId="14" xfId="0" applyFont="1" applyBorder="1" applyAlignment="1">
      <alignment vertical="top"/>
    </xf>
    <xf numFmtId="164" fontId="20" fillId="0" borderId="14" xfId="0" applyFont="1" applyBorder="1" applyAlignment="1">
      <alignment vertical="top" wrapText="1"/>
    </xf>
    <xf numFmtId="166" fontId="20" fillId="0" borderId="15" xfId="0" applyNumberFormat="1" applyFont="1" applyFill="1" applyBorder="1" applyAlignment="1">
      <alignment wrapText="1"/>
    </xf>
    <xf numFmtId="164" fontId="33" fillId="0" borderId="22" xfId="0" applyFont="1" applyBorder="1" applyAlignment="1">
      <alignment horizontal="center"/>
    </xf>
    <xf numFmtId="164" fontId="33" fillId="0" borderId="23" xfId="0" applyFont="1" applyFill="1" applyBorder="1" applyAlignment="1">
      <alignment horizontal="justify" wrapText="1"/>
    </xf>
    <xf numFmtId="166" fontId="21" fillId="0" borderId="23" xfId="0" applyNumberFormat="1" applyFont="1" applyFill="1" applyBorder="1" applyAlignment="1">
      <alignment/>
    </xf>
    <xf numFmtId="166" fontId="21" fillId="0" borderId="56" xfId="0" applyNumberFormat="1" applyFont="1" applyFill="1" applyBorder="1" applyAlignment="1">
      <alignment/>
    </xf>
    <xf numFmtId="164" fontId="30" fillId="0" borderId="81" xfId="0" applyFont="1" applyBorder="1" applyAlignment="1">
      <alignment horizontal="center" vertical="center" wrapText="1"/>
    </xf>
    <xf numFmtId="164" fontId="30" fillId="0" borderId="83" xfId="0" applyFont="1" applyBorder="1" applyAlignment="1">
      <alignment horizontal="center" vertical="center" wrapText="1"/>
    </xf>
    <xf numFmtId="164" fontId="38" fillId="0" borderId="16" xfId="0" applyFont="1" applyBorder="1" applyAlignment="1">
      <alignment wrapText="1"/>
    </xf>
    <xf numFmtId="166" fontId="38" fillId="0" borderId="18" xfId="0" applyNumberFormat="1" applyFont="1" applyBorder="1" applyAlignment="1">
      <alignment horizontal="right"/>
    </xf>
    <xf numFmtId="166" fontId="38" fillId="0" borderId="99" xfId="0" applyNumberFormat="1" applyFont="1" applyBorder="1" applyAlignment="1">
      <alignment horizontal="right"/>
    </xf>
    <xf numFmtId="164" fontId="38" fillId="0" borderId="18" xfId="0" applyFont="1" applyBorder="1" applyAlignment="1">
      <alignment horizontal="right"/>
    </xf>
    <xf numFmtId="164" fontId="38" fillId="0" borderId="99" xfId="0" applyFont="1" applyBorder="1" applyAlignment="1">
      <alignment horizontal="right"/>
    </xf>
    <xf numFmtId="164" fontId="30" fillId="0" borderId="16" xfId="0" applyFont="1" applyBorder="1" applyAlignment="1">
      <alignment/>
    </xf>
    <xf numFmtId="166" fontId="30" fillId="0" borderId="18" xfId="0" applyNumberFormat="1" applyFont="1" applyBorder="1" applyAlignment="1">
      <alignment horizontal="right"/>
    </xf>
    <xf numFmtId="166" fontId="30" fillId="0" borderId="99" xfId="0" applyNumberFormat="1" applyFont="1" applyBorder="1" applyAlignment="1">
      <alignment horizontal="right"/>
    </xf>
    <xf numFmtId="166" fontId="58" fillId="0" borderId="18" xfId="0" applyNumberFormat="1" applyFont="1" applyBorder="1" applyAlignment="1">
      <alignment horizontal="right"/>
    </xf>
    <xf numFmtId="166" fontId="58" fillId="0" borderId="99" xfId="0" applyNumberFormat="1" applyFont="1" applyBorder="1" applyAlignment="1">
      <alignment horizontal="right"/>
    </xf>
    <xf numFmtId="164" fontId="58" fillId="0" borderId="16" xfId="0" applyFont="1" applyBorder="1" applyAlignment="1">
      <alignment wrapText="1"/>
    </xf>
    <xf numFmtId="164" fontId="58" fillId="0" borderId="18" xfId="0" applyFont="1" applyBorder="1" applyAlignment="1">
      <alignment horizontal="right"/>
    </xf>
    <xf numFmtId="164" fontId="30" fillId="0" borderId="16" xfId="0" applyFont="1" applyBorder="1" applyAlignment="1">
      <alignment wrapText="1"/>
    </xf>
    <xf numFmtId="166" fontId="38" fillId="0" borderId="18" xfId="0" applyNumberFormat="1" applyFont="1" applyBorder="1" applyAlignment="1">
      <alignment horizontal="right" wrapText="1"/>
    </xf>
    <xf numFmtId="164" fontId="38" fillId="0" borderId="18" xfId="0" applyFont="1" applyBorder="1" applyAlignment="1">
      <alignment horizontal="right" wrapText="1"/>
    </xf>
    <xf numFmtId="164" fontId="30" fillId="0" borderId="18" xfId="0" applyFont="1" applyBorder="1" applyAlignment="1">
      <alignment horizontal="right"/>
    </xf>
    <xf numFmtId="164" fontId="30" fillId="0" borderId="99" xfId="0" applyFont="1" applyBorder="1" applyAlignment="1">
      <alignment horizontal="right"/>
    </xf>
    <xf numFmtId="164" fontId="38" fillId="0" borderId="69" xfId="0" applyFont="1" applyBorder="1" applyAlignment="1">
      <alignment/>
    </xf>
    <xf numFmtId="166" fontId="38" fillId="0" borderId="71" xfId="0" applyNumberFormat="1" applyFont="1" applyBorder="1" applyAlignment="1">
      <alignment horizontal="right"/>
    </xf>
    <xf numFmtId="164" fontId="38" fillId="0" borderId="71" xfId="0" applyFont="1" applyBorder="1" applyAlignment="1">
      <alignment horizontal="right"/>
    </xf>
    <xf numFmtId="166" fontId="38" fillId="0" borderId="26" xfId="0" applyNumberFormat="1" applyFont="1" applyBorder="1" applyAlignment="1">
      <alignment horizontal="right"/>
    </xf>
    <xf numFmtId="166" fontId="49" fillId="0" borderId="0" xfId="0" applyNumberFormat="1" applyFont="1" applyAlignment="1">
      <alignment/>
    </xf>
    <xf numFmtId="166" fontId="30" fillId="0" borderId="11" xfId="0" applyNumberFormat="1" applyFont="1" applyBorder="1" applyAlignment="1">
      <alignment horizontal="center" vertical="center"/>
    </xf>
    <xf numFmtId="166" fontId="30" fillId="0" borderId="12" xfId="0" applyNumberFormat="1" applyFont="1" applyBorder="1" applyAlignment="1">
      <alignment horizontal="center" vertical="center"/>
    </xf>
    <xf numFmtId="166" fontId="30" fillId="0" borderId="14" xfId="0" applyNumberFormat="1" applyFont="1" applyBorder="1" applyAlignment="1">
      <alignment horizontal="center"/>
    </xf>
    <xf numFmtId="164" fontId="30" fillId="0" borderId="13" xfId="0" applyFont="1" applyBorder="1" applyAlignment="1">
      <alignment horizontal="left" vertical="center" wrapText="1"/>
    </xf>
    <xf numFmtId="164" fontId="50" fillId="0" borderId="13" xfId="0" applyFont="1" applyBorder="1" applyAlignment="1">
      <alignment horizontal="left" vertical="center" wrapText="1"/>
    </xf>
    <xf numFmtId="166" fontId="50" fillId="0" borderId="14" xfId="0" applyNumberFormat="1" applyFont="1" applyBorder="1" applyAlignment="1">
      <alignment/>
    </xf>
    <xf numFmtId="166" fontId="50" fillId="0" borderId="15" xfId="0" applyNumberFormat="1" applyFont="1" applyBorder="1" applyAlignment="1">
      <alignment/>
    </xf>
    <xf numFmtId="164" fontId="38" fillId="0" borderId="13" xfId="0" applyFont="1" applyBorder="1" applyAlignment="1">
      <alignment horizontal="left" vertical="center" wrapText="1"/>
    </xf>
    <xf numFmtId="164" fontId="58" fillId="0" borderId="13" xfId="0" applyFont="1" applyBorder="1" applyAlignment="1">
      <alignment horizontal="left"/>
    </xf>
    <xf numFmtId="164" fontId="38" fillId="0" borderId="22" xfId="0" applyFont="1" applyBorder="1" applyAlignment="1">
      <alignment horizontal="left"/>
    </xf>
    <xf numFmtId="166" fontId="38" fillId="0" borderId="23" xfId="0" applyNumberFormat="1" applyFont="1" applyBorder="1" applyAlignment="1">
      <alignment/>
    </xf>
    <xf numFmtId="166" fontId="38" fillId="0" borderId="56" xfId="0" applyNumberFormat="1" applyFont="1" applyBorder="1" applyAlignment="1">
      <alignment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ál_2011 ktv. táblák" xfId="56"/>
    <cellStyle name="Normál_9702KV1_2011 ktv. táblák" xfId="57"/>
    <cellStyle name="Normál_Beruh.felú-átadott-átvett" xfId="58"/>
    <cellStyle name="Normál_Beruh.felú-átadott-átvett_Háromnegyedéves táblák-2-Teljesítés kötvényes tábla" xfId="59"/>
    <cellStyle name="Normál_KTGVET98" xfId="60"/>
    <cellStyle name="Normál_Munka1" xfId="61"/>
    <cellStyle name="Note" xfId="62"/>
    <cellStyle name="Outpu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Barbara\Exceleim\H&#225;romnegyed&#233;ves%20t&#225;bl&#225;k-2-Teljes&#237;t&#233;s%20k&#246;tv&#233;nyes%20t&#225;b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omborimonika\Asztal\Int&#233;zm&#233;nyi%20el&#337;ir&#225;nyzat%20t&#225;bla%20IV%20n&#233;v%20telj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 sz. melléklet"/>
      <sheetName val="5. sz. melléklet"/>
      <sheetName val="6. sz. melléklet"/>
      <sheetName val="7. sz. melléklet"/>
      <sheetName val="8. sz. melléklet"/>
      <sheetName val="10. sz. melléklet"/>
      <sheetName val="11. sz. melléklet"/>
      <sheetName val="12. sz. melléklet"/>
      <sheetName val="13. sz. melléklet"/>
      <sheetName val="Pályázatok 2011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edeti EFt"/>
      <sheetName val="Eredeti EzerFt"/>
      <sheetName val="Eredeti Ft"/>
    </sheetNames>
    <sheetDataSet>
      <sheetData sheetId="2">
        <row r="4">
          <cell r="A4" t="str">
            <v>Fürdő utcai Óvoda</v>
          </cell>
          <cell r="B4" t="str">
            <v>Eredeti</v>
          </cell>
          <cell r="C4">
            <v>6203182.3</v>
          </cell>
          <cell r="D4">
            <v>4470400</v>
          </cell>
          <cell r="E4">
            <v>1550795.575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O4">
            <v>37168720.825</v>
          </cell>
          <cell r="P4">
            <v>9865566.807750002</v>
          </cell>
          <cell r="Q4">
            <v>12932760.5</v>
          </cell>
          <cell r="R4">
            <v>5630577.5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7">
          <cell r="A7" t="str">
            <v>Kálvária utcai Óvoda</v>
          </cell>
          <cell r="B7" t="str">
            <v>Eredeti</v>
          </cell>
          <cell r="C7">
            <v>3058100</v>
          </cell>
          <cell r="D7">
            <v>2486900</v>
          </cell>
          <cell r="E7">
            <v>764525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O7">
            <v>25374969.643</v>
          </cell>
          <cell r="P7">
            <v>6780781.518750001</v>
          </cell>
          <cell r="Q7">
            <v>9555722.5625</v>
          </cell>
          <cell r="R7">
            <v>4647871.25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10">
          <cell r="A10" t="str">
            <v>Szivárvány Óvoda</v>
          </cell>
          <cell r="B10" t="str">
            <v>Eredeti</v>
          </cell>
          <cell r="C10">
            <v>2207800</v>
          </cell>
          <cell r="D10">
            <v>1922200</v>
          </cell>
          <cell r="E10">
            <v>551950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O10">
            <v>13269495.1</v>
          </cell>
          <cell r="P10">
            <v>3506993.685</v>
          </cell>
          <cell r="Q10">
            <v>6532738.9375</v>
          </cell>
          <cell r="R10">
            <v>2716225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3">
          <cell r="B13" t="str">
            <v>Eredeti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6">
          <cell r="A16" t="str">
            <v>Geszti Óvoda</v>
          </cell>
          <cell r="B16" t="str">
            <v>Eredeti</v>
          </cell>
          <cell r="C16">
            <v>4599400</v>
          </cell>
          <cell r="D16">
            <v>3905800</v>
          </cell>
          <cell r="E16">
            <v>1149850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O16">
            <v>29349126.125</v>
          </cell>
          <cell r="P16">
            <v>7800466.488749999</v>
          </cell>
          <cell r="Q16">
            <v>10285446.375</v>
          </cell>
          <cell r="R16">
            <v>4576740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9">
          <cell r="A19" t="str">
            <v>Bartók B. utcai Óvoda</v>
          </cell>
          <cell r="B19" t="str">
            <v>Eredeti</v>
          </cell>
          <cell r="C19">
            <v>5005029.25</v>
          </cell>
          <cell r="E19">
            <v>1251257.3125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O19">
            <v>38893309.275</v>
          </cell>
          <cell r="P19">
            <v>10316260.703250002</v>
          </cell>
          <cell r="Q19">
            <v>16785352.3125</v>
          </cell>
          <cell r="R19">
            <v>5976402.5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2">
          <cell r="A22" t="str">
            <v>Kertvárosi Óvoda</v>
          </cell>
          <cell r="B22" t="str">
            <v>Eredeti</v>
          </cell>
          <cell r="C22">
            <v>5648988.4</v>
          </cell>
          <cell r="D22">
            <v>2487100</v>
          </cell>
          <cell r="E22">
            <v>1412247.1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O22">
            <v>25873587.625</v>
          </cell>
          <cell r="P22">
            <v>6894780.108750001</v>
          </cell>
          <cell r="Q22">
            <v>10835131</v>
          </cell>
          <cell r="R22">
            <v>3102847.5</v>
          </cell>
          <cell r="S22">
            <v>0</v>
          </cell>
          <cell r="T22">
            <v>0</v>
          </cell>
          <cell r="U22">
            <v>0</v>
          </cell>
          <cell r="V22">
            <v>4500000</v>
          </cell>
        </row>
        <row r="25">
          <cell r="A25" t="str">
            <v>Kincseskert Óvoda</v>
          </cell>
          <cell r="B25" t="str">
            <v>Eredeti</v>
          </cell>
          <cell r="C25">
            <v>4186500</v>
          </cell>
          <cell r="D25">
            <v>3615300</v>
          </cell>
          <cell r="E25">
            <v>1046625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O25">
            <v>27157294.45</v>
          </cell>
          <cell r="P25">
            <v>7242018.705</v>
          </cell>
          <cell r="Q25">
            <v>10585796.175999999</v>
          </cell>
          <cell r="R25">
            <v>4724602.5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8">
          <cell r="A28" t="str">
            <v>Bergengócia Óvoda</v>
          </cell>
          <cell r="B28" t="str">
            <v>Eredeti</v>
          </cell>
          <cell r="C28">
            <v>1002500</v>
          </cell>
          <cell r="D28">
            <v>839300</v>
          </cell>
          <cell r="E28">
            <v>250625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O28">
            <v>7192910.5</v>
          </cell>
          <cell r="P28">
            <v>1936415.8350000002</v>
          </cell>
          <cell r="Q28">
            <v>2956720.5</v>
          </cell>
          <cell r="R28">
            <v>1040071.25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31">
          <cell r="A31" t="str">
            <v>Bölcsöde</v>
          </cell>
          <cell r="B31" t="str">
            <v>Eredeti</v>
          </cell>
          <cell r="C31">
            <v>4676780.05625</v>
          </cell>
          <cell r="D31">
            <v>3295100</v>
          </cell>
          <cell r="E31">
            <v>1169195.0140625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O31">
            <v>37986587.94</v>
          </cell>
          <cell r="P31">
            <v>10028459.3238</v>
          </cell>
          <cell r="Q31">
            <v>19990482.936699998</v>
          </cell>
          <cell r="R31">
            <v>3917115.9999999995</v>
          </cell>
          <cell r="S31">
            <v>0</v>
          </cell>
          <cell r="T31">
            <v>0</v>
          </cell>
          <cell r="U31">
            <v>0</v>
          </cell>
          <cell r="V31">
            <v>5000000</v>
          </cell>
        </row>
        <row r="34">
          <cell r="A34" t="str">
            <v>Vaszary J. Általános Iskola</v>
          </cell>
          <cell r="B34" t="str">
            <v>Eredeti</v>
          </cell>
          <cell r="C34">
            <v>15919009.708737865</v>
          </cell>
          <cell r="D34">
            <v>12826009.708737865</v>
          </cell>
          <cell r="E34">
            <v>3354002.4271844663</v>
          </cell>
          <cell r="F34">
            <v>4200000</v>
          </cell>
          <cell r="G34">
            <v>1500000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O34">
            <v>159000003.89499998</v>
          </cell>
          <cell r="P34">
            <v>42523867.262250006</v>
          </cell>
          <cell r="Q34">
            <v>68585290.01551999</v>
          </cell>
          <cell r="R34">
            <v>31892675.728</v>
          </cell>
          <cell r="S34">
            <v>4200000</v>
          </cell>
          <cell r="T34">
            <v>4200000</v>
          </cell>
          <cell r="U34">
            <v>0</v>
          </cell>
          <cell r="V34">
            <v>2300000</v>
          </cell>
        </row>
        <row r="37">
          <cell r="A37" t="str">
            <v>Vaszary - Logopédiai Intézet</v>
          </cell>
          <cell r="B37" t="str">
            <v>Eredeti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5494000</v>
          </cell>
          <cell r="J37">
            <v>0</v>
          </cell>
          <cell r="K37">
            <v>0</v>
          </cell>
          <cell r="O37">
            <v>21809535.400000002</v>
          </cell>
          <cell r="P37">
            <v>5773895.4059999995</v>
          </cell>
          <cell r="Q37">
            <v>2535746.38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40">
          <cell r="A40" t="str">
            <v>Vaszary-Jázmin Tagint.</v>
          </cell>
          <cell r="B40" t="str">
            <v>Eredeti</v>
          </cell>
          <cell r="C40">
            <v>8552408.737864077</v>
          </cell>
          <cell r="D40">
            <v>7802408.737864077</v>
          </cell>
          <cell r="E40">
            <v>2090602.1844660193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O40">
            <v>43110489.5</v>
          </cell>
          <cell r="P40">
            <v>11589442.065000001</v>
          </cell>
          <cell r="Q40">
            <v>27695622.98</v>
          </cell>
          <cell r="R40">
            <v>17839731.584</v>
          </cell>
          <cell r="S40">
            <v>1020000</v>
          </cell>
          <cell r="T40">
            <v>0</v>
          </cell>
          <cell r="U40">
            <v>0</v>
          </cell>
          <cell r="V40">
            <v>0</v>
          </cell>
        </row>
        <row r="43">
          <cell r="A43" t="str">
            <v>Vaszary - Tardosi Tagint.</v>
          </cell>
          <cell r="B43" t="str">
            <v>Eredeti</v>
          </cell>
          <cell r="C43">
            <v>2009968</v>
          </cell>
          <cell r="D43">
            <v>1312000</v>
          </cell>
          <cell r="E43">
            <v>502492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O43">
            <v>34649771.95</v>
          </cell>
          <cell r="P43">
            <v>9162228.3165</v>
          </cell>
          <cell r="Q43">
            <v>12402383.5</v>
          </cell>
          <cell r="R43">
            <v>4511800</v>
          </cell>
          <cell r="S43">
            <v>660000</v>
          </cell>
          <cell r="T43">
            <v>0</v>
          </cell>
          <cell r="U43">
            <v>0</v>
          </cell>
          <cell r="V43">
            <v>0</v>
          </cell>
        </row>
        <row r="46">
          <cell r="A46" t="str">
            <v>Vaszary összesen</v>
          </cell>
          <cell r="B46" t="str">
            <v>Eredeti</v>
          </cell>
        </row>
        <row r="49">
          <cell r="A49" t="str">
            <v>Kőkúti Általános Iskola</v>
          </cell>
          <cell r="B49" t="str">
            <v>Eredeti</v>
          </cell>
          <cell r="C49">
            <v>24703922.330097087</v>
          </cell>
          <cell r="D49">
            <v>17633922.330097087</v>
          </cell>
          <cell r="E49">
            <v>6008480.582524272</v>
          </cell>
          <cell r="F49">
            <v>7900000</v>
          </cell>
          <cell r="G49">
            <v>1679000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O49">
            <v>147553152.60000002</v>
          </cell>
          <cell r="P49">
            <v>39584423.95200001</v>
          </cell>
          <cell r="Q49">
            <v>115245604.61216</v>
          </cell>
          <cell r="R49">
            <v>39023581.49599999</v>
          </cell>
          <cell r="S49">
            <v>3000000</v>
          </cell>
          <cell r="T49">
            <v>7920000</v>
          </cell>
          <cell r="U49">
            <v>0</v>
          </cell>
          <cell r="V49">
            <v>4000000</v>
          </cell>
        </row>
        <row r="52">
          <cell r="A52" t="str">
            <v>Kőkúti Általános Iskola - Fazekas U. Tagintézmény</v>
          </cell>
          <cell r="B52" t="str">
            <v>Eredeti</v>
          </cell>
          <cell r="C52">
            <v>4941916.019417476</v>
          </cell>
          <cell r="D52">
            <v>4211916.019417476</v>
          </cell>
          <cell r="E52">
            <v>1172979.004854369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O52">
            <v>50863195.765</v>
          </cell>
          <cell r="P52">
            <v>13605395.37075</v>
          </cell>
          <cell r="Q52">
            <v>27721583.6825</v>
          </cell>
          <cell r="R52">
            <v>13925136.095999999</v>
          </cell>
          <cell r="S52">
            <v>1320000</v>
          </cell>
          <cell r="T52">
            <v>0</v>
          </cell>
          <cell r="U52">
            <v>0</v>
          </cell>
          <cell r="V52">
            <v>0</v>
          </cell>
        </row>
        <row r="55">
          <cell r="A55" t="str">
            <v>Kőkúti összesen</v>
          </cell>
          <cell r="B55" t="str">
            <v>Eredeti</v>
          </cell>
        </row>
        <row r="58">
          <cell r="A58" t="str">
            <v>Zeneiskola</v>
          </cell>
          <cell r="B58" t="str">
            <v>Eredeti</v>
          </cell>
          <cell r="C58">
            <v>4740000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O58">
            <v>52174224.41500001</v>
          </cell>
          <cell r="P58">
            <v>13797734.75505</v>
          </cell>
          <cell r="Q58">
            <v>6750817.5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61">
          <cell r="A61" t="str">
            <v>Könyvtár</v>
          </cell>
          <cell r="B61" t="str">
            <v>Eredeti</v>
          </cell>
          <cell r="C61">
            <v>1230000</v>
          </cell>
          <cell r="E61">
            <v>307500</v>
          </cell>
          <cell r="F61">
            <v>22000000</v>
          </cell>
          <cell r="G61">
            <v>5876000</v>
          </cell>
          <cell r="H61">
            <v>0</v>
          </cell>
          <cell r="I61">
            <v>9000000</v>
          </cell>
          <cell r="J61">
            <v>0</v>
          </cell>
          <cell r="K61">
            <v>0</v>
          </cell>
          <cell r="O61">
            <v>24661186.88875</v>
          </cell>
          <cell r="P61">
            <v>6580632.155962502</v>
          </cell>
          <cell r="Q61">
            <v>45046153.90488</v>
          </cell>
          <cell r="S61">
            <v>0</v>
          </cell>
          <cell r="T61">
            <v>2313000</v>
          </cell>
          <cell r="U61">
            <v>0</v>
          </cell>
          <cell r="V61">
            <v>0</v>
          </cell>
        </row>
        <row r="64">
          <cell r="A64" t="str">
            <v>SZAI Jelzőrendszeres házi segítségnyújtás</v>
          </cell>
          <cell r="B64" t="str">
            <v>Eredeti</v>
          </cell>
          <cell r="C64">
            <v>480000</v>
          </cell>
          <cell r="E64">
            <v>120000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O64">
            <v>2110000</v>
          </cell>
          <cell r="P64">
            <v>569700</v>
          </cell>
          <cell r="Q64">
            <v>462171.25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7">
          <cell r="A67" t="str">
            <v>SZAI Támogató szolgálat</v>
          </cell>
          <cell r="B67" t="str">
            <v>Eredeti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O67">
            <v>9807147.1</v>
          </cell>
          <cell r="P67">
            <v>2561881.473</v>
          </cell>
          <cell r="Q67">
            <v>4514358.75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70">
          <cell r="A70" t="str">
            <v>SZAI Közösségi</v>
          </cell>
          <cell r="B70" t="str">
            <v>Eredeti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O70">
            <v>4956606.5</v>
          </cell>
          <cell r="P70">
            <v>1310668.506</v>
          </cell>
          <cell r="Q70">
            <v>1947202.5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3">
          <cell r="A73" t="str">
            <v>SZAI nappali, családsegítő és gyermekjóléti, szociális étkezés, éjjeli menedékhely, házigondozás</v>
          </cell>
          <cell r="B73" t="str">
            <v>Eredeti</v>
          </cell>
          <cell r="C73">
            <v>11471650</v>
          </cell>
          <cell r="E73">
            <v>81600</v>
          </cell>
          <cell r="F73">
            <v>0</v>
          </cell>
          <cell r="G73">
            <v>0</v>
          </cell>
          <cell r="H73">
            <v>0</v>
          </cell>
          <cell r="I73">
            <v>21996000</v>
          </cell>
          <cell r="J73">
            <v>0</v>
          </cell>
          <cell r="K73">
            <v>0</v>
          </cell>
          <cell r="O73">
            <v>80758253.13000001</v>
          </cell>
          <cell r="P73">
            <v>20852150.2821</v>
          </cell>
          <cell r="Q73">
            <v>26123706.5625</v>
          </cell>
          <cell r="R73">
            <v>9895950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6">
          <cell r="A76" t="str">
            <v>Szociális Alapellátó Intézmény</v>
          </cell>
          <cell r="B76" t="str">
            <v>Eredeti</v>
          </cell>
        </row>
        <row r="79">
          <cell r="A79" t="str">
            <v>Intézmények Gazdasági Hivatala</v>
          </cell>
          <cell r="B79" t="str">
            <v>Eredeti</v>
          </cell>
          <cell r="C79">
            <v>666468</v>
          </cell>
          <cell r="E79">
            <v>5730617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17856719.42</v>
          </cell>
          <cell r="P79">
            <v>4759640.0658</v>
          </cell>
          <cell r="Q79">
            <v>7863040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2">
          <cell r="A82" t="str">
            <v>Kvi. alcímek és szakf. Összesen:</v>
          </cell>
          <cell r="B82" t="str">
            <v>Eredeti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zoomScale="75" zoomScaleNormal="75" zoomScaleSheetLayoutView="75" workbookViewId="0" topLeftCell="A1">
      <selection activeCell="B8" sqref="B8"/>
    </sheetView>
  </sheetViews>
  <sheetFormatPr defaultColWidth="9.00390625" defaultRowHeight="12.75" customHeight="1"/>
  <cols>
    <col min="1" max="1" width="6.125" style="1" customWidth="1"/>
    <col min="2" max="2" width="62.75390625" style="1" customWidth="1"/>
    <col min="3" max="3" width="0" style="1" hidden="1" customWidth="1"/>
    <col min="4" max="7" width="12.875" style="1" customWidth="1"/>
    <col min="8" max="8" width="6.125" style="1" customWidth="1"/>
    <col min="9" max="9" width="62.75390625" style="2" customWidth="1"/>
    <col min="10" max="10" width="12.875" style="1" customWidth="1"/>
    <col min="11" max="13" width="12.875" style="3" customWidth="1"/>
    <col min="14" max="14" width="12.875" style="1" customWidth="1"/>
    <col min="15" max="16384" width="9.125" style="1" customWidth="1"/>
  </cols>
  <sheetData>
    <row r="1" spans="1:14" s="5" customFormat="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13" s="5" customFormat="1" ht="12.75" customHeight="1">
      <c r="C2" s="6"/>
      <c r="D2" s="6"/>
      <c r="E2" s="6"/>
      <c r="F2" s="6"/>
      <c r="G2" s="6"/>
      <c r="H2" s="6"/>
      <c r="I2" s="7"/>
      <c r="J2" s="6"/>
      <c r="K2" s="6"/>
      <c r="L2" s="6"/>
      <c r="M2" s="6"/>
    </row>
    <row r="3" spans="1:14" s="5" customFormat="1" ht="13.5" customHeight="1">
      <c r="A3" s="8" t="s">
        <v>1</v>
      </c>
      <c r="B3" s="8"/>
      <c r="C3" s="8"/>
      <c r="D3" s="8"/>
      <c r="E3" s="8"/>
      <c r="F3" s="9"/>
      <c r="G3" s="9"/>
      <c r="H3" s="10" t="s">
        <v>2</v>
      </c>
      <c r="I3" s="10"/>
      <c r="J3" s="10"/>
      <c r="K3" s="10"/>
      <c r="L3" s="10"/>
      <c r="M3" s="10"/>
      <c r="N3" s="4"/>
    </row>
    <row r="4" spans="1:14" s="16" customFormat="1" ht="27.75" customHeight="1">
      <c r="A4" s="11" t="s">
        <v>3</v>
      </c>
      <c r="B4" s="11"/>
      <c r="C4" s="12"/>
      <c r="D4" s="12" t="s">
        <v>4</v>
      </c>
      <c r="E4" s="12" t="s">
        <v>5</v>
      </c>
      <c r="F4" s="12" t="s">
        <v>6</v>
      </c>
      <c r="G4" s="12" t="s">
        <v>7</v>
      </c>
      <c r="H4" s="12" t="s">
        <v>3</v>
      </c>
      <c r="I4" s="12"/>
      <c r="J4" s="12" t="s">
        <v>8</v>
      </c>
      <c r="K4" s="13" t="s">
        <v>5</v>
      </c>
      <c r="L4" s="13" t="s">
        <v>6</v>
      </c>
      <c r="M4" s="14" t="s">
        <v>7</v>
      </c>
      <c r="N4" s="15"/>
    </row>
    <row r="5" spans="1:14" s="5" customFormat="1" ht="13.5" customHeight="1">
      <c r="A5" s="17" t="s">
        <v>9</v>
      </c>
      <c r="B5" s="18"/>
      <c r="C5" s="18"/>
      <c r="D5" s="19">
        <f>SUM(D6:D9)</f>
        <v>228452</v>
      </c>
      <c r="E5" s="19">
        <f>SUM(E6+E7+E8)</f>
        <v>363140</v>
      </c>
      <c r="F5" s="20">
        <f>SUM(F6:F8)</f>
        <v>365583</v>
      </c>
      <c r="G5" s="21">
        <f>F5/E5*100</f>
        <v>100.67274329459713</v>
      </c>
      <c r="H5" s="22" t="s">
        <v>10</v>
      </c>
      <c r="I5" s="23"/>
      <c r="J5" s="24">
        <v>1757298</v>
      </c>
      <c r="K5" s="19">
        <v>1766865</v>
      </c>
      <c r="L5" s="19">
        <v>1719781</v>
      </c>
      <c r="M5" s="25">
        <f>L5/K5*100</f>
        <v>97.33516708973238</v>
      </c>
      <c r="N5" s="26"/>
    </row>
    <row r="6" spans="1:14" s="5" customFormat="1" ht="12.75" customHeight="1">
      <c r="A6" s="27"/>
      <c r="B6" s="28" t="s">
        <v>11</v>
      </c>
      <c r="C6" s="28"/>
      <c r="D6" s="29">
        <f>81733</f>
        <v>81733</v>
      </c>
      <c r="E6" s="29">
        <v>194264</v>
      </c>
      <c r="F6" s="30">
        <v>196348</v>
      </c>
      <c r="G6" s="21">
        <f>F6/E6*100</f>
        <v>101.07276695630689</v>
      </c>
      <c r="H6" s="31"/>
      <c r="I6" s="32"/>
      <c r="J6" s="33"/>
      <c r="K6" s="29"/>
      <c r="L6" s="29"/>
      <c r="M6" s="25"/>
      <c r="N6" s="6"/>
    </row>
    <row r="7" spans="1:14" s="5" customFormat="1" ht="12.75" customHeight="1">
      <c r="A7" s="27"/>
      <c r="B7" s="34" t="s">
        <v>12</v>
      </c>
      <c r="C7" s="28"/>
      <c r="D7" s="29">
        <v>139819</v>
      </c>
      <c r="E7" s="29">
        <v>156408</v>
      </c>
      <c r="F7" s="30">
        <v>156766</v>
      </c>
      <c r="G7" s="21">
        <f>F7/E7*100</f>
        <v>100.22888854790035</v>
      </c>
      <c r="H7" s="31" t="s">
        <v>13</v>
      </c>
      <c r="I7" s="28"/>
      <c r="J7" s="35">
        <v>485937</v>
      </c>
      <c r="K7" s="36">
        <v>488390</v>
      </c>
      <c r="L7" s="36">
        <v>460822</v>
      </c>
      <c r="M7" s="25">
        <f>L7/K7*100</f>
        <v>94.35533078072852</v>
      </c>
      <c r="N7" s="26"/>
    </row>
    <row r="8" spans="1:14" s="5" customFormat="1" ht="12.75" customHeight="1">
      <c r="A8" s="27"/>
      <c r="B8" s="28" t="s">
        <v>14</v>
      </c>
      <c r="C8" s="28"/>
      <c r="D8" s="29">
        <v>6900</v>
      </c>
      <c r="E8" s="29">
        <v>12468</v>
      </c>
      <c r="F8" s="30">
        <v>12469</v>
      </c>
      <c r="G8" s="21">
        <f>F8/E8*100</f>
        <v>100.00802053256336</v>
      </c>
      <c r="H8" s="31"/>
      <c r="I8" s="32"/>
      <c r="J8" s="33"/>
      <c r="K8" s="29"/>
      <c r="L8" s="29"/>
      <c r="M8" s="25"/>
      <c r="N8" s="6"/>
    </row>
    <row r="9" spans="1:14" s="5" customFormat="1" ht="12.75" customHeight="1">
      <c r="A9" s="27"/>
      <c r="B9" s="28"/>
      <c r="C9" s="28"/>
      <c r="D9" s="29"/>
      <c r="E9" s="29"/>
      <c r="F9" s="30"/>
      <c r="G9" s="21"/>
      <c r="H9" s="31" t="s">
        <v>15</v>
      </c>
      <c r="I9" s="28"/>
      <c r="J9" s="35">
        <f>SUM(J10:J11)</f>
        <v>1337064</v>
      </c>
      <c r="K9" s="35">
        <f>SUM(K10+K11)</f>
        <v>1680939</v>
      </c>
      <c r="L9" s="35">
        <f>SUM(L10:L11)</f>
        <v>1555044</v>
      </c>
      <c r="M9" s="25">
        <f>L9/K9*100</f>
        <v>92.5104361312338</v>
      </c>
      <c r="N9" s="37"/>
    </row>
    <row r="10" spans="1:14" s="5" customFormat="1" ht="12.75" customHeight="1">
      <c r="A10" s="38" t="s">
        <v>16</v>
      </c>
      <c r="B10" s="32"/>
      <c r="C10" s="36" t="s">
        <v>17</v>
      </c>
      <c r="D10" s="36">
        <f>SUM(D11:D16)</f>
        <v>1949303</v>
      </c>
      <c r="E10" s="36">
        <f>SUM(E11:E16)</f>
        <v>1960480</v>
      </c>
      <c r="F10" s="39">
        <f>SUM(F11:F16)</f>
        <v>1966393</v>
      </c>
      <c r="G10" s="21">
        <f aca="true" t="shared" si="0" ref="G10:G16">F10/E10*100</f>
        <v>100.30160980984249</v>
      </c>
      <c r="H10" s="40"/>
      <c r="I10" s="28" t="s">
        <v>18</v>
      </c>
      <c r="J10" s="33">
        <v>1272890</v>
      </c>
      <c r="K10" s="29">
        <v>1627190</v>
      </c>
      <c r="L10" s="29">
        <v>1503822</v>
      </c>
      <c r="M10" s="25">
        <f>L10/K10*100</f>
        <v>92.4183408206786</v>
      </c>
      <c r="N10" s="6"/>
    </row>
    <row r="11" spans="1:14" s="5" customFormat="1" ht="12.75" customHeight="1">
      <c r="A11" s="41"/>
      <c r="B11" s="42" t="s">
        <v>19</v>
      </c>
      <c r="C11" s="29" t="s">
        <v>20</v>
      </c>
      <c r="D11" s="29">
        <f>195000+70000+16000+890000+12000+3500</f>
        <v>1186500</v>
      </c>
      <c r="E11" s="29">
        <v>1196647</v>
      </c>
      <c r="F11" s="30">
        <v>1184612</v>
      </c>
      <c r="G11" s="21">
        <f t="shared" si="0"/>
        <v>98.99427316493502</v>
      </c>
      <c r="H11" s="40"/>
      <c r="I11" s="28" t="s">
        <v>21</v>
      </c>
      <c r="J11" s="29">
        <v>64174</v>
      </c>
      <c r="K11" s="29">
        <v>53749</v>
      </c>
      <c r="L11" s="29">
        <v>51222</v>
      </c>
      <c r="M11" s="25">
        <f>L11/K11*100</f>
        <v>95.298517181715</v>
      </c>
      <c r="N11" s="6"/>
    </row>
    <row r="12" spans="1:14" s="5" customFormat="1" ht="25.5" customHeight="1">
      <c r="A12" s="43"/>
      <c r="B12" s="34" t="s">
        <v>22</v>
      </c>
      <c r="C12" s="28"/>
      <c r="D12" s="29">
        <f>404939+260000+300</f>
        <v>665239</v>
      </c>
      <c r="E12" s="29">
        <v>665856</v>
      </c>
      <c r="F12" s="30">
        <v>679477</v>
      </c>
      <c r="G12" s="21">
        <f t="shared" si="0"/>
        <v>102.04563749519416</v>
      </c>
      <c r="H12" s="40"/>
      <c r="I12" s="28"/>
      <c r="J12" s="29"/>
      <c r="K12" s="29"/>
      <c r="L12" s="29"/>
      <c r="M12" s="25"/>
      <c r="N12" s="6"/>
    </row>
    <row r="13" spans="1:14" s="5" customFormat="1" ht="14.25" customHeight="1">
      <c r="A13" s="43"/>
      <c r="B13" s="44" t="s">
        <v>23</v>
      </c>
      <c r="C13" s="28"/>
      <c r="D13" s="29">
        <f>3400</f>
        <v>3400</v>
      </c>
      <c r="E13" s="29">
        <v>3400</v>
      </c>
      <c r="F13" s="30">
        <v>8443</v>
      </c>
      <c r="G13" s="21">
        <f t="shared" si="0"/>
        <v>248.32352941176472</v>
      </c>
      <c r="H13" s="31" t="s">
        <v>24</v>
      </c>
      <c r="I13" s="32"/>
      <c r="J13" s="35">
        <f>SUM(J14:J17)</f>
        <v>490171</v>
      </c>
      <c r="K13" s="35">
        <f>SUM(K14:K17)</f>
        <v>528087</v>
      </c>
      <c r="L13" s="35">
        <f>SUM(L14:L17)</f>
        <v>507435</v>
      </c>
      <c r="M13" s="25">
        <f>L13/K13*100</f>
        <v>96.08928074351385</v>
      </c>
      <c r="N13" s="37"/>
    </row>
    <row r="14" spans="1:14" s="5" customFormat="1" ht="12.75" customHeight="1">
      <c r="A14" s="45"/>
      <c r="B14" s="44" t="s">
        <v>25</v>
      </c>
      <c r="C14" s="28"/>
      <c r="D14" s="29">
        <v>3500</v>
      </c>
      <c r="E14" s="29">
        <v>3581</v>
      </c>
      <c r="F14" s="30">
        <v>2862</v>
      </c>
      <c r="G14" s="21">
        <f t="shared" si="0"/>
        <v>79.92180955040492</v>
      </c>
      <c r="H14" s="40"/>
      <c r="I14" s="28" t="s">
        <v>26</v>
      </c>
      <c r="J14" s="33">
        <v>326856</v>
      </c>
      <c r="K14" s="29">
        <v>348772</v>
      </c>
      <c r="L14" s="29">
        <v>329339</v>
      </c>
      <c r="M14" s="25">
        <f>L14/K14*100</f>
        <v>94.42816510499696</v>
      </c>
      <c r="N14" s="6"/>
    </row>
    <row r="15" spans="1:14" s="5" customFormat="1" ht="12.75" customHeight="1">
      <c r="A15" s="27"/>
      <c r="B15" s="28" t="s">
        <v>27</v>
      </c>
      <c r="C15" s="28"/>
      <c r="D15" s="29">
        <v>34124</v>
      </c>
      <c r="E15" s="29">
        <v>36016</v>
      </c>
      <c r="F15" s="30">
        <v>36017</v>
      </c>
      <c r="G15" s="21">
        <f t="shared" si="0"/>
        <v>100.00277654375833</v>
      </c>
      <c r="H15" s="31"/>
      <c r="I15" s="28" t="s">
        <v>28</v>
      </c>
      <c r="J15" s="33">
        <v>153115</v>
      </c>
      <c r="K15" s="29">
        <v>171275</v>
      </c>
      <c r="L15" s="29">
        <v>161951</v>
      </c>
      <c r="M15" s="25">
        <f>L15/K15*100</f>
        <v>94.55612319369435</v>
      </c>
      <c r="N15" s="6"/>
    </row>
    <row r="16" spans="1:14" s="5" customFormat="1" ht="12.75" customHeight="1">
      <c r="A16" s="27"/>
      <c r="B16" s="28" t="s">
        <v>29</v>
      </c>
      <c r="C16" s="28"/>
      <c r="D16" s="29">
        <v>56540</v>
      </c>
      <c r="E16" s="29">
        <v>54980</v>
      </c>
      <c r="F16" s="30">
        <v>54982</v>
      </c>
      <c r="G16" s="21">
        <f t="shared" si="0"/>
        <v>100.00363768643143</v>
      </c>
      <c r="H16" s="31"/>
      <c r="I16" s="28" t="s">
        <v>30</v>
      </c>
      <c r="J16" s="33">
        <v>10200</v>
      </c>
      <c r="K16" s="29">
        <v>8040</v>
      </c>
      <c r="L16" s="29">
        <v>8040</v>
      </c>
      <c r="M16" s="25">
        <f>L16/K16*100</f>
        <v>100</v>
      </c>
      <c r="N16" s="6"/>
    </row>
    <row r="17" spans="1:14" s="5" customFormat="1" ht="12.75" customHeight="1">
      <c r="A17" s="27"/>
      <c r="B17" s="28"/>
      <c r="C17" s="28"/>
      <c r="D17" s="29"/>
      <c r="E17" s="29"/>
      <c r="F17" s="30"/>
      <c r="G17" s="21"/>
      <c r="H17" s="31"/>
      <c r="I17" s="28" t="s">
        <v>31</v>
      </c>
      <c r="J17" s="33"/>
      <c r="K17" s="29"/>
      <c r="L17" s="29">
        <v>8105</v>
      </c>
      <c r="M17" s="25"/>
      <c r="N17" s="6"/>
    </row>
    <row r="18" spans="1:14" s="5" customFormat="1" ht="12.75" customHeight="1">
      <c r="A18" s="43" t="s">
        <v>32</v>
      </c>
      <c r="B18" s="46"/>
      <c r="C18" s="36"/>
      <c r="D18" s="36">
        <f>SUM(D19,D20,D23,D24)</f>
        <v>982909</v>
      </c>
      <c r="E18" s="36">
        <f>SUM(E19,E20,E23,E24)</f>
        <v>999223</v>
      </c>
      <c r="F18" s="39">
        <v>999223</v>
      </c>
      <c r="G18" s="21">
        <f aca="true" t="shared" si="1" ref="G18:G23">F18/E18*100</f>
        <v>100</v>
      </c>
      <c r="H18" s="31"/>
      <c r="I18" s="32"/>
      <c r="J18" s="35"/>
      <c r="K18" s="29"/>
      <c r="L18" s="29"/>
      <c r="M18" s="25"/>
      <c r="N18" s="6"/>
    </row>
    <row r="19" spans="1:14" s="5" customFormat="1" ht="12.75" customHeight="1">
      <c r="A19" s="47"/>
      <c r="B19" s="48" t="s">
        <v>33</v>
      </c>
      <c r="C19" s="36"/>
      <c r="D19" s="29">
        <v>867102</v>
      </c>
      <c r="E19" s="29">
        <v>859859</v>
      </c>
      <c r="F19" s="30">
        <v>859859</v>
      </c>
      <c r="G19" s="21">
        <f t="shared" si="1"/>
        <v>100</v>
      </c>
      <c r="H19" s="31" t="s">
        <v>34</v>
      </c>
      <c r="I19" s="32"/>
      <c r="J19" s="35">
        <v>2518644</v>
      </c>
      <c r="K19" s="36">
        <v>916818</v>
      </c>
      <c r="L19" s="36">
        <v>577489</v>
      </c>
      <c r="M19" s="25">
        <f>L19/K19*100</f>
        <v>62.988401187585765</v>
      </c>
      <c r="N19" s="26"/>
    </row>
    <row r="20" spans="1:14" s="5" customFormat="1" ht="12.75" customHeight="1">
      <c r="A20" s="27"/>
      <c r="B20" s="29" t="s">
        <v>35</v>
      </c>
      <c r="C20" s="29"/>
      <c r="D20" s="29">
        <f>SUM(D21:D22)</f>
        <v>115807</v>
      </c>
      <c r="E20" s="29">
        <f>SUM(E21:E22)</f>
        <v>93694</v>
      </c>
      <c r="F20" s="30">
        <v>93694</v>
      </c>
      <c r="G20" s="21">
        <f t="shared" si="1"/>
        <v>100</v>
      </c>
      <c r="H20" s="31"/>
      <c r="I20" s="32"/>
      <c r="J20" s="35"/>
      <c r="K20" s="29"/>
      <c r="L20" s="29"/>
      <c r="M20" s="25"/>
      <c r="N20" s="6"/>
    </row>
    <row r="21" spans="1:14" s="5" customFormat="1" ht="12.75" customHeight="1">
      <c r="A21" s="27"/>
      <c r="B21" s="49" t="s">
        <v>36</v>
      </c>
      <c r="C21" s="49"/>
      <c r="D21" s="49">
        <v>103883</v>
      </c>
      <c r="E21" s="49">
        <v>81802</v>
      </c>
      <c r="F21" s="50">
        <v>81802</v>
      </c>
      <c r="G21" s="21">
        <f t="shared" si="1"/>
        <v>100</v>
      </c>
      <c r="H21" s="31" t="s">
        <v>37</v>
      </c>
      <c r="I21" s="32"/>
      <c r="J21" s="35">
        <v>117796</v>
      </c>
      <c r="K21" s="36">
        <v>108286</v>
      </c>
      <c r="L21" s="36">
        <v>62911</v>
      </c>
      <c r="M21" s="25">
        <f>L21/K21*100</f>
        <v>58.0970762610125</v>
      </c>
      <c r="N21" s="26"/>
    </row>
    <row r="22" spans="1:14" s="5" customFormat="1" ht="12.75" customHeight="1">
      <c r="A22" s="27"/>
      <c r="B22" s="49" t="s">
        <v>38</v>
      </c>
      <c r="C22" s="49"/>
      <c r="D22" s="49">
        <v>11924</v>
      </c>
      <c r="E22" s="49">
        <v>11892</v>
      </c>
      <c r="F22" s="50">
        <v>11892</v>
      </c>
      <c r="G22" s="21">
        <f t="shared" si="1"/>
        <v>100</v>
      </c>
      <c r="H22" s="31"/>
      <c r="I22" s="32"/>
      <c r="J22" s="35"/>
      <c r="K22" s="29"/>
      <c r="L22" s="29"/>
      <c r="M22" s="25"/>
      <c r="N22" s="6"/>
    </row>
    <row r="23" spans="1:14" s="5" customFormat="1" ht="12.75" customHeight="1">
      <c r="A23" s="47"/>
      <c r="B23" s="48" t="s">
        <v>39</v>
      </c>
      <c r="C23" s="36"/>
      <c r="D23" s="29"/>
      <c r="E23" s="29">
        <v>45670</v>
      </c>
      <c r="F23" s="30">
        <v>45670</v>
      </c>
      <c r="G23" s="21">
        <f t="shared" si="1"/>
        <v>100</v>
      </c>
      <c r="H23" s="51" t="s">
        <v>40</v>
      </c>
      <c r="I23" s="51"/>
      <c r="J23" s="35">
        <v>303871</v>
      </c>
      <c r="K23" s="36">
        <v>242979</v>
      </c>
      <c r="L23" s="36">
        <v>121722</v>
      </c>
      <c r="M23" s="25">
        <f>L23/K23*100</f>
        <v>50.09568728161693</v>
      </c>
      <c r="N23" s="26"/>
    </row>
    <row r="24" spans="1:14" s="5" customFormat="1" ht="12.75" customHeight="1">
      <c r="A24" s="27"/>
      <c r="B24" s="28" t="s">
        <v>41</v>
      </c>
      <c r="C24" s="32"/>
      <c r="D24" s="29"/>
      <c r="E24" s="29"/>
      <c r="F24" s="30"/>
      <c r="G24" s="21"/>
      <c r="H24" s="40"/>
      <c r="I24" s="28"/>
      <c r="J24" s="28"/>
      <c r="K24" s="29"/>
      <c r="L24" s="29"/>
      <c r="M24" s="25"/>
      <c r="N24" s="6"/>
    </row>
    <row r="25" spans="1:14" s="5" customFormat="1" ht="13.5" customHeight="1">
      <c r="A25" s="52"/>
      <c r="B25" s="53"/>
      <c r="C25" s="32"/>
      <c r="D25" s="29"/>
      <c r="E25" s="29"/>
      <c r="F25" s="30"/>
      <c r="G25" s="21"/>
      <c r="H25" s="31" t="s">
        <v>42</v>
      </c>
      <c r="I25" s="28"/>
      <c r="J25" s="36">
        <f>SUM(J26,J27)</f>
        <v>150986</v>
      </c>
      <c r="K25" s="36">
        <f>SUM(K26,K27)</f>
        <v>94652</v>
      </c>
      <c r="L25" s="36">
        <v>0</v>
      </c>
      <c r="M25" s="25">
        <f>L25/K25*100</f>
        <v>0</v>
      </c>
      <c r="N25" s="26"/>
    </row>
    <row r="26" spans="1:14" s="5" customFormat="1" ht="17.25" customHeight="1">
      <c r="A26" s="54" t="s">
        <v>43</v>
      </c>
      <c r="B26" s="55"/>
      <c r="C26" s="32"/>
      <c r="D26" s="36">
        <f>SUM(D27:D29)</f>
        <v>941908</v>
      </c>
      <c r="E26" s="36">
        <f>SUM(E27+E28+E29)</f>
        <v>1026789</v>
      </c>
      <c r="F26" s="39">
        <f>SUM(F27:F30)</f>
        <v>1003338</v>
      </c>
      <c r="G26" s="21">
        <f>F26/E26*100</f>
        <v>97.71608383027088</v>
      </c>
      <c r="H26" s="40"/>
      <c r="I26" s="28" t="s">
        <v>44</v>
      </c>
      <c r="J26" s="29">
        <v>11000</v>
      </c>
      <c r="K26" s="29">
        <v>0</v>
      </c>
      <c r="L26" s="29"/>
      <c r="M26" s="25"/>
      <c r="N26" s="6"/>
    </row>
    <row r="27" spans="1:14" s="5" customFormat="1" ht="12.75" customHeight="1">
      <c r="A27" s="54"/>
      <c r="B27" s="53" t="s">
        <v>45</v>
      </c>
      <c r="C27" s="32"/>
      <c r="D27" s="29">
        <v>184393</v>
      </c>
      <c r="E27" s="29">
        <v>193681</v>
      </c>
      <c r="F27" s="30">
        <v>170364</v>
      </c>
      <c r="G27" s="21">
        <f>F27/E27*100</f>
        <v>87.96113196441571</v>
      </c>
      <c r="H27" s="40"/>
      <c r="I27" s="28" t="s">
        <v>46</v>
      </c>
      <c r="J27" s="29">
        <f>SUM(J28:J32)</f>
        <v>139986</v>
      </c>
      <c r="K27" s="29">
        <f>SUM(K28:K34)</f>
        <v>94652</v>
      </c>
      <c r="L27" s="29"/>
      <c r="M27" s="25">
        <f>L27/K27*100</f>
        <v>0</v>
      </c>
      <c r="N27" s="6"/>
    </row>
    <row r="28" spans="1:14" s="5" customFormat="1" ht="15.75" customHeight="1">
      <c r="A28" s="27"/>
      <c r="B28" s="28" t="s">
        <v>47</v>
      </c>
      <c r="C28" s="28"/>
      <c r="D28" s="29">
        <v>727613</v>
      </c>
      <c r="E28" s="29">
        <v>793971</v>
      </c>
      <c r="F28" s="30">
        <v>793971</v>
      </c>
      <c r="G28" s="21">
        <f>F28/E28*100</f>
        <v>100</v>
      </c>
      <c r="H28" s="40"/>
      <c r="I28" s="56" t="s">
        <v>48</v>
      </c>
      <c r="J28" s="57">
        <v>4800</v>
      </c>
      <c r="K28" s="49">
        <v>4800</v>
      </c>
      <c r="L28" s="49"/>
      <c r="M28" s="25">
        <f>L28/K28*100</f>
        <v>0</v>
      </c>
      <c r="N28" s="58"/>
    </row>
    <row r="29" spans="1:14" s="5" customFormat="1" ht="14.25" customHeight="1">
      <c r="A29" s="43"/>
      <c r="B29" s="44" t="s">
        <v>49</v>
      </c>
      <c r="C29" s="32"/>
      <c r="D29" s="29">
        <v>29902</v>
      </c>
      <c r="E29" s="29">
        <v>39137</v>
      </c>
      <c r="F29" s="30">
        <v>30898</v>
      </c>
      <c r="G29" s="21">
        <f>F29/E29*100</f>
        <v>78.94830978358075</v>
      </c>
      <c r="H29" s="40"/>
      <c r="I29" s="56" t="s">
        <v>50</v>
      </c>
      <c r="J29" s="57">
        <v>8000</v>
      </c>
      <c r="K29" s="49"/>
      <c r="L29" s="49"/>
      <c r="M29" s="25"/>
      <c r="N29" s="58"/>
    </row>
    <row r="30" spans="1:14" s="5" customFormat="1" ht="12.75" customHeight="1">
      <c r="A30" s="27"/>
      <c r="B30" s="28" t="s">
        <v>51</v>
      </c>
      <c r="C30" s="28"/>
      <c r="D30" s="28"/>
      <c r="E30" s="28"/>
      <c r="F30" s="30">
        <v>8105</v>
      </c>
      <c r="G30" s="21"/>
      <c r="H30" s="40"/>
      <c r="I30" s="56" t="s">
        <v>52</v>
      </c>
      <c r="J30" s="57">
        <v>600</v>
      </c>
      <c r="K30" s="49"/>
      <c r="L30" s="49"/>
      <c r="M30" s="25"/>
      <c r="N30" s="58"/>
    </row>
    <row r="31" spans="1:14" s="5" customFormat="1" ht="12.75" customHeight="1">
      <c r="A31" s="27"/>
      <c r="B31" s="28"/>
      <c r="C31" s="28"/>
      <c r="D31" s="28"/>
      <c r="E31" s="28"/>
      <c r="F31" s="40"/>
      <c r="G31" s="21"/>
      <c r="H31" s="40"/>
      <c r="I31" s="56" t="s">
        <v>53</v>
      </c>
      <c r="J31" s="57">
        <v>1200</v>
      </c>
      <c r="K31" s="49">
        <v>1200</v>
      </c>
      <c r="L31" s="49"/>
      <c r="M31" s="25">
        <f>L31/K31*100</f>
        <v>0</v>
      </c>
      <c r="N31" s="58"/>
    </row>
    <row r="32" spans="1:14" s="5" customFormat="1" ht="12.75" customHeight="1">
      <c r="A32" s="43" t="s">
        <v>54</v>
      </c>
      <c r="B32" s="32"/>
      <c r="C32" s="36"/>
      <c r="D32" s="36">
        <f>SUM(D33:D40)</f>
        <v>503910</v>
      </c>
      <c r="E32" s="36">
        <f>SUM(E33:E40)</f>
        <v>464061</v>
      </c>
      <c r="F32" s="39">
        <f>SUM(F33:F41)</f>
        <v>89784</v>
      </c>
      <c r="G32" s="21">
        <f>F32/E32*100</f>
        <v>19.347456476626995</v>
      </c>
      <c r="H32" s="40"/>
      <c r="I32" s="56" t="s">
        <v>55</v>
      </c>
      <c r="J32" s="57">
        <f>150940-15867-21693-9231+18093+6192-8960-2873+6560+2225</f>
        <v>125386</v>
      </c>
      <c r="K32" s="49">
        <v>53273</v>
      </c>
      <c r="L32" s="49"/>
      <c r="M32" s="25">
        <f>L32/K32*100</f>
        <v>0</v>
      </c>
      <c r="N32" s="58"/>
    </row>
    <row r="33" spans="1:14" s="5" customFormat="1" ht="12.75" customHeight="1">
      <c r="A33" s="27"/>
      <c r="B33" s="28" t="s">
        <v>56</v>
      </c>
      <c r="C33" s="29"/>
      <c r="D33" s="29">
        <v>0</v>
      </c>
      <c r="E33" s="29">
        <v>1851</v>
      </c>
      <c r="F33" s="30">
        <v>1851</v>
      </c>
      <c r="G33" s="21">
        <f>F33/E33*100</f>
        <v>100</v>
      </c>
      <c r="H33" s="40"/>
      <c r="I33" s="56" t="s">
        <v>57</v>
      </c>
      <c r="J33" s="57"/>
      <c r="K33" s="49">
        <v>35157</v>
      </c>
      <c r="L33" s="49"/>
      <c r="M33" s="25">
        <f>L33/K33*100</f>
        <v>0</v>
      </c>
      <c r="N33" s="58"/>
    </row>
    <row r="34" spans="1:14" s="5" customFormat="1" ht="12.75" customHeight="1">
      <c r="A34" s="27"/>
      <c r="B34" s="44" t="s">
        <v>58</v>
      </c>
      <c r="C34" s="32"/>
      <c r="D34" s="29">
        <v>116636</v>
      </c>
      <c r="E34" s="29">
        <v>100336</v>
      </c>
      <c r="F34" s="30">
        <v>27925</v>
      </c>
      <c r="G34" s="21">
        <f>F34/E34*100</f>
        <v>27.83148620634667</v>
      </c>
      <c r="H34" s="40"/>
      <c r="I34" s="56" t="s">
        <v>59</v>
      </c>
      <c r="J34" s="57"/>
      <c r="K34" s="49">
        <v>222</v>
      </c>
      <c r="L34" s="49"/>
      <c r="M34" s="25">
        <f>L34/K34*100</f>
        <v>0</v>
      </c>
      <c r="N34" s="58"/>
    </row>
    <row r="35" spans="1:14" s="5" customFormat="1" ht="12.75" customHeight="1">
      <c r="A35" s="27"/>
      <c r="B35" s="44" t="s">
        <v>60</v>
      </c>
      <c r="C35" s="32"/>
      <c r="D35" s="29"/>
      <c r="E35" s="29"/>
      <c r="F35" s="30"/>
      <c r="G35" s="21"/>
      <c r="H35" s="40"/>
      <c r="I35" s="56"/>
      <c r="J35" s="57"/>
      <c r="K35" s="29"/>
      <c r="L35" s="29"/>
      <c r="M35" s="25"/>
      <c r="N35" s="6"/>
    </row>
    <row r="36" spans="1:14" s="5" customFormat="1" ht="12.75" customHeight="1">
      <c r="A36" s="27"/>
      <c r="B36" s="59" t="s">
        <v>61</v>
      </c>
      <c r="C36" s="29"/>
      <c r="D36" s="29">
        <v>109200</v>
      </c>
      <c r="E36" s="29">
        <v>109200</v>
      </c>
      <c r="F36" s="30">
        <v>0</v>
      </c>
      <c r="G36" s="21">
        <f>F36/E36*100</f>
        <v>0</v>
      </c>
      <c r="H36" s="60" t="s">
        <v>62</v>
      </c>
      <c r="I36" s="60"/>
      <c r="J36" s="32">
        <v>0</v>
      </c>
      <c r="K36" s="36">
        <v>0</v>
      </c>
      <c r="L36" s="36">
        <v>0</v>
      </c>
      <c r="M36" s="25"/>
      <c r="N36" s="26"/>
    </row>
    <row r="37" spans="1:14" s="5" customFormat="1" ht="12.75" customHeight="1">
      <c r="A37" s="27"/>
      <c r="B37" s="44" t="s">
        <v>63</v>
      </c>
      <c r="C37" s="29"/>
      <c r="D37" s="29">
        <v>15484</v>
      </c>
      <c r="E37" s="29">
        <v>21484</v>
      </c>
      <c r="F37" s="30">
        <v>21484</v>
      </c>
      <c r="G37" s="21">
        <f>F37/E37*100</f>
        <v>100</v>
      </c>
      <c r="H37" s="40"/>
      <c r="I37" s="28"/>
      <c r="J37" s="28"/>
      <c r="K37" s="29"/>
      <c r="L37" s="29"/>
      <c r="M37" s="25"/>
      <c r="N37" s="6"/>
    </row>
    <row r="38" spans="1:14" s="5" customFormat="1" ht="12.75" customHeight="1">
      <c r="A38" s="45"/>
      <c r="B38" s="28" t="s">
        <v>64</v>
      </c>
      <c r="C38" s="28"/>
      <c r="D38" s="29">
        <v>38590</v>
      </c>
      <c r="E38" s="29">
        <v>17190</v>
      </c>
      <c r="F38" s="30">
        <v>10862</v>
      </c>
      <c r="G38" s="21">
        <f>F38/E38*100</f>
        <v>63.18789994182664</v>
      </c>
      <c r="H38" s="31" t="s">
        <v>65</v>
      </c>
      <c r="I38" s="56"/>
      <c r="J38" s="35">
        <f>SUM(J39:J44)</f>
        <v>380285</v>
      </c>
      <c r="K38" s="35">
        <f>SUM(K39:K44)</f>
        <v>62323</v>
      </c>
      <c r="L38" s="35">
        <v>0</v>
      </c>
      <c r="M38" s="25">
        <f>L38/K38*100</f>
        <v>0</v>
      </c>
      <c r="N38" s="37"/>
    </row>
    <row r="39" spans="1:14" s="5" customFormat="1" ht="12.75" customHeight="1">
      <c r="A39" s="27"/>
      <c r="B39" s="28" t="s">
        <v>66</v>
      </c>
      <c r="C39" s="29"/>
      <c r="D39" s="29">
        <v>196000</v>
      </c>
      <c r="E39" s="29">
        <v>196000</v>
      </c>
      <c r="F39" s="30">
        <v>0</v>
      </c>
      <c r="G39" s="21">
        <f>F39/E39*100</f>
        <v>0</v>
      </c>
      <c r="H39" s="40"/>
      <c r="I39" s="28" t="s">
        <v>67</v>
      </c>
      <c r="J39" s="29">
        <v>2000</v>
      </c>
      <c r="K39" s="29">
        <v>2000</v>
      </c>
      <c r="L39" s="29"/>
      <c r="M39" s="25">
        <f>L39/K39*100</f>
        <v>0</v>
      </c>
      <c r="N39" s="6"/>
    </row>
    <row r="40" spans="1:14" s="5" customFormat="1" ht="14.25" customHeight="1">
      <c r="A40" s="38"/>
      <c r="B40" s="61" t="s">
        <v>68</v>
      </c>
      <c r="C40" s="29"/>
      <c r="D40" s="29">
        <v>28000</v>
      </c>
      <c r="E40" s="29">
        <v>18000</v>
      </c>
      <c r="F40" s="30">
        <v>24817</v>
      </c>
      <c r="G40" s="21">
        <f>F40/E40*100</f>
        <v>137.8722222222222</v>
      </c>
      <c r="H40" s="40"/>
      <c r="I40" s="28" t="s">
        <v>69</v>
      </c>
      <c r="J40" s="29">
        <v>12000</v>
      </c>
      <c r="K40" s="29"/>
      <c r="L40" s="29"/>
      <c r="M40" s="25"/>
      <c r="N40" s="6"/>
    </row>
    <row r="41" spans="1:14" s="5" customFormat="1" ht="12.75" customHeight="1">
      <c r="A41" s="54"/>
      <c r="B41" s="28" t="s">
        <v>70</v>
      </c>
      <c r="C41" s="28"/>
      <c r="D41" s="28"/>
      <c r="E41" s="28"/>
      <c r="F41" s="30">
        <v>2845</v>
      </c>
      <c r="G41" s="21"/>
      <c r="H41" s="40"/>
      <c r="I41" s="28" t="s">
        <v>71</v>
      </c>
      <c r="J41" s="29">
        <v>3000</v>
      </c>
      <c r="K41" s="29"/>
      <c r="L41" s="29"/>
      <c r="M41" s="25"/>
      <c r="N41" s="6"/>
    </row>
    <row r="42" spans="1:14" s="5" customFormat="1" ht="12.75" customHeight="1">
      <c r="A42" s="54" t="s">
        <v>72</v>
      </c>
      <c r="B42" s="55"/>
      <c r="C42" s="29"/>
      <c r="D42" s="36">
        <f>SUM(D43,D44,D48)</f>
        <v>1351178</v>
      </c>
      <c r="E42" s="36">
        <f>SUM(E43,E44,E48)</f>
        <v>310740</v>
      </c>
      <c r="F42" s="39">
        <f>SUM(F43:F44)</f>
        <v>298139</v>
      </c>
      <c r="G42" s="21">
        <f>F42/E42*100</f>
        <v>95.94484134646328</v>
      </c>
      <c r="H42" s="40"/>
      <c r="I42" s="28" t="s">
        <v>73</v>
      </c>
      <c r="J42" s="29">
        <v>5000</v>
      </c>
      <c r="K42" s="29">
        <v>5000</v>
      </c>
      <c r="L42" s="29"/>
      <c r="M42" s="25">
        <f>L42/K42*100</f>
        <v>0</v>
      </c>
      <c r="N42" s="6"/>
    </row>
    <row r="43" spans="1:14" s="5" customFormat="1" ht="12.75" customHeight="1">
      <c r="A43" s="38"/>
      <c r="B43" s="28" t="s">
        <v>74</v>
      </c>
      <c r="C43" s="29"/>
      <c r="D43" s="29">
        <v>0</v>
      </c>
      <c r="E43" s="29">
        <v>304</v>
      </c>
      <c r="F43" s="30">
        <v>304</v>
      </c>
      <c r="G43" s="21">
        <f>F43/E43*100</f>
        <v>100</v>
      </c>
      <c r="H43" s="40"/>
      <c r="I43" s="28" t="s">
        <v>75</v>
      </c>
      <c r="J43" s="29">
        <f>335562+10021</f>
        <v>345583</v>
      </c>
      <c r="K43" s="29">
        <v>50622</v>
      </c>
      <c r="L43" s="29"/>
      <c r="M43" s="25">
        <f>L43/K43*100</f>
        <v>0</v>
      </c>
      <c r="N43" s="6"/>
    </row>
    <row r="44" spans="1:14" s="5" customFormat="1" ht="12.75" customHeight="1">
      <c r="A44" s="45"/>
      <c r="B44" s="44" t="s">
        <v>76</v>
      </c>
      <c r="C44" s="29"/>
      <c r="D44" s="29">
        <f>SUM(D45:D47)</f>
        <v>1351178</v>
      </c>
      <c r="E44" s="29">
        <v>310436</v>
      </c>
      <c r="F44" s="30">
        <v>297835</v>
      </c>
      <c r="G44" s="21">
        <f>F44/E44*100</f>
        <v>95.94087025989253</v>
      </c>
      <c r="H44" s="40"/>
      <c r="I44" s="28" t="s">
        <v>77</v>
      </c>
      <c r="J44" s="29">
        <v>12702</v>
      </c>
      <c r="K44" s="29">
        <v>4701</v>
      </c>
      <c r="L44" s="29"/>
      <c r="M44" s="25">
        <f>L44/K44*100</f>
        <v>0</v>
      </c>
      <c r="N44" s="6"/>
    </row>
    <row r="45" spans="1:14" s="5" customFormat="1" ht="12" customHeight="1">
      <c r="A45" s="45"/>
      <c r="B45" s="62" t="s">
        <v>78</v>
      </c>
      <c r="C45" s="32"/>
      <c r="D45" s="29">
        <v>1346313</v>
      </c>
      <c r="E45" s="29">
        <v>305036</v>
      </c>
      <c r="F45" s="30">
        <v>291524</v>
      </c>
      <c r="G45" s="21">
        <f>F45/E45*100</f>
        <v>95.57035890845671</v>
      </c>
      <c r="H45" s="40"/>
      <c r="I45" s="28"/>
      <c r="J45" s="28"/>
      <c r="K45" s="29"/>
      <c r="L45" s="29"/>
      <c r="M45" s="25"/>
      <c r="N45" s="6"/>
    </row>
    <row r="46" spans="1:14" s="5" customFormat="1" ht="12.75" customHeight="1">
      <c r="A46" s="45"/>
      <c r="B46" s="62" t="s">
        <v>79</v>
      </c>
      <c r="C46" s="32"/>
      <c r="D46" s="29"/>
      <c r="E46" s="29"/>
      <c r="F46" s="30"/>
      <c r="G46" s="21"/>
      <c r="H46" s="40"/>
      <c r="I46" s="28"/>
      <c r="J46" s="28"/>
      <c r="K46" s="29"/>
      <c r="L46" s="29"/>
      <c r="M46" s="25"/>
      <c r="N46" s="6"/>
    </row>
    <row r="47" spans="1:14" s="5" customFormat="1" ht="12.75" customHeight="1">
      <c r="A47" s="45"/>
      <c r="B47" s="62" t="s">
        <v>80</v>
      </c>
      <c r="C47" s="28"/>
      <c r="D47" s="29">
        <v>4865</v>
      </c>
      <c r="E47" s="29">
        <v>5400</v>
      </c>
      <c r="F47" s="30">
        <v>6311</v>
      </c>
      <c r="G47" s="21">
        <f>F47/E47*100</f>
        <v>116.87037037037038</v>
      </c>
      <c r="H47" s="31" t="s">
        <v>81</v>
      </c>
      <c r="I47" s="28"/>
      <c r="J47" s="36">
        <v>1963</v>
      </c>
      <c r="K47" s="36">
        <v>25238</v>
      </c>
      <c r="L47" s="36">
        <v>3142</v>
      </c>
      <c r="M47" s="25">
        <f>L47/K47*100</f>
        <v>12.449480941437514</v>
      </c>
      <c r="N47" s="26"/>
    </row>
    <row r="48" spans="1:14" s="5" customFormat="1" ht="12.75" customHeight="1">
      <c r="A48" s="45"/>
      <c r="B48" s="44"/>
      <c r="C48" s="56"/>
      <c r="D48" s="29"/>
      <c r="E48" s="29"/>
      <c r="F48" s="30"/>
      <c r="G48" s="21"/>
      <c r="H48" s="40"/>
      <c r="I48" s="28"/>
      <c r="J48" s="28"/>
      <c r="K48" s="29"/>
      <c r="L48" s="29"/>
      <c r="M48" s="25"/>
      <c r="N48" s="6"/>
    </row>
    <row r="49" spans="1:14" s="5" customFormat="1" ht="12.75" customHeight="1">
      <c r="A49" s="43" t="s">
        <v>82</v>
      </c>
      <c r="B49" s="44"/>
      <c r="C49" s="56"/>
      <c r="D49" s="36">
        <f>100633+7500</f>
        <v>108133</v>
      </c>
      <c r="E49" s="36">
        <v>172013</v>
      </c>
      <c r="F49" s="39">
        <v>172481</v>
      </c>
      <c r="G49" s="21">
        <f>F49/E49*100</f>
        <v>100.27207245963967</v>
      </c>
      <c r="H49" s="31" t="s">
        <v>83</v>
      </c>
      <c r="I49" s="28"/>
      <c r="J49" s="35">
        <f>SUM(J50,J52,J51,J53)</f>
        <v>103333</v>
      </c>
      <c r="K49" s="35">
        <f>SUM(K50,K52,K51,K53)</f>
        <v>285784</v>
      </c>
      <c r="L49" s="35">
        <f>SUM(L50:L52)</f>
        <v>271384</v>
      </c>
      <c r="M49" s="25">
        <f>L49/K49*100</f>
        <v>94.96122946001175</v>
      </c>
      <c r="N49" s="37"/>
    </row>
    <row r="50" spans="1:14" s="5" customFormat="1" ht="12.75" customHeight="1">
      <c r="A50" s="27"/>
      <c r="B50" s="28"/>
      <c r="C50" s="28"/>
      <c r="D50" s="28"/>
      <c r="E50" s="28"/>
      <c r="F50" s="40"/>
      <c r="G50" s="21"/>
      <c r="H50" s="40"/>
      <c r="I50" s="28" t="s">
        <v>84</v>
      </c>
      <c r="J50" s="29">
        <v>6800</v>
      </c>
      <c r="K50" s="29">
        <v>2300</v>
      </c>
      <c r="L50" s="29">
        <v>900</v>
      </c>
      <c r="M50" s="25">
        <f>L50/K50*100</f>
        <v>39.130434782608695</v>
      </c>
      <c r="N50" s="6"/>
    </row>
    <row r="51" spans="1:14" s="5" customFormat="1" ht="12.75" customHeight="1">
      <c r="A51" s="38" t="s">
        <v>85</v>
      </c>
      <c r="B51" s="28"/>
      <c r="C51" s="28"/>
      <c r="D51" s="28"/>
      <c r="E51" s="36"/>
      <c r="F51" s="39">
        <v>35160</v>
      </c>
      <c r="G51" s="21"/>
      <c r="H51" s="40"/>
      <c r="I51" s="28" t="s">
        <v>86</v>
      </c>
      <c r="J51" s="29">
        <v>74600</v>
      </c>
      <c r="K51" s="29">
        <v>279051</v>
      </c>
      <c r="L51" s="29">
        <v>266051</v>
      </c>
      <c r="M51" s="25">
        <f>L51/K51*100</f>
        <v>95.34135337268098</v>
      </c>
      <c r="N51" s="6"/>
    </row>
    <row r="52" spans="1:14" s="5" customFormat="1" ht="12.75" customHeight="1">
      <c r="A52" s="27"/>
      <c r="B52" s="28"/>
      <c r="C52" s="28"/>
      <c r="D52" s="28"/>
      <c r="E52" s="28"/>
      <c r="F52" s="40"/>
      <c r="G52" s="21"/>
      <c r="H52" s="31"/>
      <c r="I52" s="28" t="s">
        <v>87</v>
      </c>
      <c r="J52" s="29">
        <v>14433</v>
      </c>
      <c r="K52" s="29">
        <v>4433</v>
      </c>
      <c r="L52" s="29">
        <v>4433</v>
      </c>
      <c r="M52" s="25">
        <f>L52/K52*100</f>
        <v>100</v>
      </c>
      <c r="N52" s="6"/>
    </row>
    <row r="53" spans="1:14" s="5" customFormat="1" ht="12.75" customHeight="1">
      <c r="A53" s="27"/>
      <c r="B53" s="28"/>
      <c r="C53" s="28"/>
      <c r="D53" s="28"/>
      <c r="E53" s="28"/>
      <c r="F53" s="40"/>
      <c r="G53" s="21"/>
      <c r="H53" s="40"/>
      <c r="I53" s="28" t="s">
        <v>88</v>
      </c>
      <c r="J53" s="29">
        <v>7500</v>
      </c>
      <c r="K53" s="29"/>
      <c r="L53" s="29"/>
      <c r="M53" s="25"/>
      <c r="N53" s="6"/>
    </row>
    <row r="54" spans="1:14" s="5" customFormat="1" ht="12.75" customHeight="1">
      <c r="A54" s="63" t="s">
        <v>89</v>
      </c>
      <c r="B54" s="64"/>
      <c r="C54" s="65"/>
      <c r="D54" s="66">
        <f>SUM(D5,D10,D18,D26,D32,D42,D49)</f>
        <v>6065793</v>
      </c>
      <c r="E54" s="66">
        <f>SUM(E5,E10,E18,E26,E32,E42,E49)</f>
        <v>5296446</v>
      </c>
      <c r="F54" s="67">
        <v>4930101</v>
      </c>
      <c r="G54" s="21">
        <f>F54/E54*100</f>
        <v>93.08319201215306</v>
      </c>
      <c r="H54" s="31"/>
      <c r="I54" s="32"/>
      <c r="J54" s="36"/>
      <c r="K54" s="29"/>
      <c r="L54" s="29"/>
      <c r="M54" s="25"/>
      <c r="N54" s="6"/>
    </row>
    <row r="55" spans="1:14" s="5" customFormat="1" ht="12.75" customHeight="1">
      <c r="A55" s="63"/>
      <c r="B55" s="64"/>
      <c r="C55" s="65"/>
      <c r="D55" s="66"/>
      <c r="E55" s="66"/>
      <c r="F55" s="67"/>
      <c r="G55" s="21"/>
      <c r="H55" s="68" t="s">
        <v>90</v>
      </c>
      <c r="I55" s="69"/>
      <c r="J55" s="70">
        <f>SUM(J5,J7,J9,J13,J19,J21,J23,J25,J38,J47,J49)</f>
        <v>7647348</v>
      </c>
      <c r="K55" s="70">
        <f>SUM(K5+K7+K9+K13+K19+K21+K23+K25+K36+K38+K47+K49)</f>
        <v>6200361</v>
      </c>
      <c r="L55" s="70">
        <v>5279730</v>
      </c>
      <c r="M55" s="25">
        <f>L55/K55*100</f>
        <v>85.15197744131349</v>
      </c>
      <c r="N55" s="71"/>
    </row>
    <row r="56" spans="1:14" s="5" customFormat="1" ht="12.75" customHeight="1">
      <c r="A56" s="63"/>
      <c r="B56" s="64"/>
      <c r="C56" s="65"/>
      <c r="D56" s="66"/>
      <c r="E56" s="66"/>
      <c r="F56" s="67"/>
      <c r="G56" s="21"/>
      <c r="H56" s="68"/>
      <c r="I56" s="69"/>
      <c r="J56" s="70"/>
      <c r="K56" s="70"/>
      <c r="L56" s="70"/>
      <c r="M56" s="25"/>
      <c r="N56" s="71"/>
    </row>
    <row r="57" spans="1:14" s="5" customFormat="1" ht="12.75" customHeight="1">
      <c r="A57" s="63"/>
      <c r="B57" s="64"/>
      <c r="C57" s="65"/>
      <c r="D57" s="66"/>
      <c r="E57" s="66"/>
      <c r="F57" s="67"/>
      <c r="G57" s="21"/>
      <c r="H57" s="40" t="s">
        <v>91</v>
      </c>
      <c r="I57" s="28"/>
      <c r="J57" s="28"/>
      <c r="K57" s="29"/>
      <c r="L57" s="29">
        <v>-120223</v>
      </c>
      <c r="M57" s="25"/>
      <c r="N57" s="6"/>
    </row>
    <row r="58" spans="1:14" s="5" customFormat="1" ht="12.75" customHeight="1">
      <c r="A58" s="54" t="s">
        <v>92</v>
      </c>
      <c r="B58" s="54"/>
      <c r="C58" s="32"/>
      <c r="D58" s="36"/>
      <c r="E58" s="36"/>
      <c r="F58" s="39"/>
      <c r="G58" s="21"/>
      <c r="H58" s="40" t="s">
        <v>93</v>
      </c>
      <c r="I58" s="32"/>
      <c r="J58" s="29">
        <v>20377</v>
      </c>
      <c r="K58" s="29">
        <v>22127</v>
      </c>
      <c r="L58" s="29">
        <v>21467</v>
      </c>
      <c r="M58" s="25">
        <f>L58/K58*100</f>
        <v>97.01721878248294</v>
      </c>
      <c r="N58" s="6"/>
    </row>
    <row r="59" spans="1:14" s="5" customFormat="1" ht="12.75" customHeight="1">
      <c r="A59" s="52" t="s">
        <v>94</v>
      </c>
      <c r="B59" s="52"/>
      <c r="C59" s="28"/>
      <c r="D59" s="29"/>
      <c r="E59" s="29"/>
      <c r="F59" s="30"/>
      <c r="G59" s="21"/>
      <c r="H59" s="31" t="s">
        <v>95</v>
      </c>
      <c r="I59" s="28"/>
      <c r="J59" s="35">
        <f>SUM(J57:J58)</f>
        <v>20377</v>
      </c>
      <c r="K59" s="35">
        <f>SUM(K57:K58)</f>
        <v>22127</v>
      </c>
      <c r="L59" s="35">
        <v>-98756</v>
      </c>
      <c r="M59" s="25">
        <f>L59/K59*100</f>
        <v>-446.314457450174</v>
      </c>
      <c r="N59" s="37"/>
    </row>
    <row r="60" spans="1:14" s="5" customFormat="1" ht="12.75" customHeight="1">
      <c r="A60" s="27" t="s">
        <v>96</v>
      </c>
      <c r="B60" s="28"/>
      <c r="C60" s="28"/>
      <c r="D60" s="29">
        <v>601932</v>
      </c>
      <c r="E60" s="29">
        <v>926042</v>
      </c>
      <c r="F60" s="30">
        <v>934150</v>
      </c>
      <c r="G60" s="21">
        <f>F60/E60*100</f>
        <v>100.87555424052042</v>
      </c>
      <c r="H60" s="72"/>
      <c r="I60" s="73"/>
      <c r="J60" s="28"/>
      <c r="K60" s="29"/>
      <c r="L60" s="29"/>
      <c r="M60" s="25"/>
      <c r="N60" s="6"/>
    </row>
    <row r="61" spans="1:14" s="5" customFormat="1" ht="12.75" customHeight="1">
      <c r="A61" s="74" t="s">
        <v>97</v>
      </c>
      <c r="B61" s="74"/>
      <c r="C61" s="29"/>
      <c r="D61" s="29">
        <v>1000000</v>
      </c>
      <c r="E61" s="29"/>
      <c r="F61" s="29"/>
      <c r="G61" s="21"/>
      <c r="H61" s="75" t="s">
        <v>98</v>
      </c>
      <c r="I61" s="28"/>
      <c r="J61" s="35">
        <f>SUM(J55,J59)</f>
        <v>7667725</v>
      </c>
      <c r="K61" s="35">
        <f>SUM(K55,K59)</f>
        <v>6222488</v>
      </c>
      <c r="L61" s="35">
        <v>5180974</v>
      </c>
      <c r="M61" s="25">
        <v>81.33</v>
      </c>
      <c r="N61" s="37"/>
    </row>
    <row r="62" spans="1:13" s="5" customFormat="1" ht="12.75" customHeight="1">
      <c r="A62" s="45" t="s">
        <v>99</v>
      </c>
      <c r="B62" s="45"/>
      <c r="C62" s="29"/>
      <c r="D62" s="36"/>
      <c r="E62" s="36"/>
      <c r="F62" s="29">
        <v>-866</v>
      </c>
      <c r="G62" s="21"/>
      <c r="H62" s="76" t="s">
        <v>100</v>
      </c>
      <c r="I62" s="76"/>
      <c r="M62" s="77"/>
    </row>
    <row r="63" spans="1:13" s="5" customFormat="1" ht="12.75" customHeight="1">
      <c r="A63" s="43" t="s">
        <v>101</v>
      </c>
      <c r="B63" s="43"/>
      <c r="C63" s="29"/>
      <c r="D63" s="36">
        <v>1601932</v>
      </c>
      <c r="E63" s="36">
        <v>926042</v>
      </c>
      <c r="F63" s="36">
        <f>SUM(F60:F62)</f>
        <v>933284</v>
      </c>
      <c r="G63" s="21">
        <f>F63/E63*100</f>
        <v>100.78203796372087</v>
      </c>
      <c r="H63" s="76" t="s">
        <v>102</v>
      </c>
      <c r="I63" s="78"/>
      <c r="J63" s="79">
        <v>764997</v>
      </c>
      <c r="K63" s="5" t="s">
        <v>103</v>
      </c>
      <c r="M63" s="80"/>
    </row>
    <row r="64" spans="1:13" s="5" customFormat="1" ht="12.75" customHeight="1">
      <c r="A64" s="45"/>
      <c r="B64" s="81"/>
      <c r="C64" s="29"/>
      <c r="D64" s="36"/>
      <c r="E64" s="36"/>
      <c r="F64" s="36"/>
      <c r="G64" s="21"/>
      <c r="H64" s="82" t="s">
        <v>104</v>
      </c>
      <c r="I64" s="82"/>
      <c r="J64" s="79">
        <v>5863385</v>
      </c>
      <c r="K64" s="5" t="s">
        <v>103</v>
      </c>
      <c r="M64" s="80"/>
    </row>
    <row r="65" spans="1:13" s="5" customFormat="1" ht="12.75" customHeight="1">
      <c r="A65" s="45"/>
      <c r="B65" s="81"/>
      <c r="C65" s="29"/>
      <c r="D65" s="36"/>
      <c r="E65" s="36"/>
      <c r="F65" s="36"/>
      <c r="G65" s="21"/>
      <c r="H65" s="82" t="s">
        <v>105</v>
      </c>
      <c r="I65" s="82"/>
      <c r="J65" s="79">
        <v>-5180974</v>
      </c>
      <c r="K65" s="5" t="s">
        <v>103</v>
      </c>
      <c r="M65" s="80"/>
    </row>
    <row r="66" spans="1:13" s="5" customFormat="1" ht="12.75" customHeight="1">
      <c r="A66" s="45"/>
      <c r="B66" s="81"/>
      <c r="C66" s="29"/>
      <c r="D66" s="36"/>
      <c r="E66" s="36"/>
      <c r="F66" s="36"/>
      <c r="G66" s="21"/>
      <c r="H66" s="82" t="s">
        <v>106</v>
      </c>
      <c r="I66" s="82"/>
      <c r="J66" s="79">
        <v>-934150</v>
      </c>
      <c r="K66" s="5" t="s">
        <v>103</v>
      </c>
      <c r="M66" s="80"/>
    </row>
    <row r="67" spans="1:13" s="5" customFormat="1" ht="12.75" customHeight="1">
      <c r="A67" s="83" t="s">
        <v>107</v>
      </c>
      <c r="B67" s="84"/>
      <c r="C67" s="85"/>
      <c r="D67" s="84">
        <f>SUM(D54,D63)</f>
        <v>7667725</v>
      </c>
      <c r="E67" s="84">
        <f>SUM(E54,E63)</f>
        <v>6222488</v>
      </c>
      <c r="F67" s="84">
        <f>SUM(F54,F63)</f>
        <v>5863385</v>
      </c>
      <c r="G67" s="86">
        <f>F67/E67*100</f>
        <v>94.22894829206581</v>
      </c>
      <c r="H67" s="87" t="s">
        <v>108</v>
      </c>
      <c r="I67" s="88"/>
      <c r="J67" s="89">
        <f>SUM(J63:J66)</f>
        <v>513258</v>
      </c>
      <c r="K67" s="90" t="s">
        <v>103</v>
      </c>
      <c r="L67" s="90"/>
      <c r="M67" s="91"/>
    </row>
  </sheetData>
  <sheetProtection selectLockedCells="1" selectUnlockedCells="1"/>
  <mergeCells count="12">
    <mergeCell ref="A1:M1"/>
    <mergeCell ref="A3:E3"/>
    <mergeCell ref="H3:M3"/>
    <mergeCell ref="A4:B4"/>
    <mergeCell ref="H4:I4"/>
    <mergeCell ref="H23:I23"/>
    <mergeCell ref="H36:I36"/>
    <mergeCell ref="A58:B58"/>
    <mergeCell ref="A59:B59"/>
    <mergeCell ref="A61:B61"/>
    <mergeCell ref="A62:B62"/>
    <mergeCell ref="A63:B63"/>
  </mergeCells>
  <printOptions horizontalCentered="1"/>
  <pageMargins left="0" right="0" top="0.5694444444444444" bottom="0.3902777777777778" header="0.4597222222222222" footer="0.5118055555555555"/>
  <pageSetup horizontalDpi="300" verticalDpi="300" orientation="landscape" paperSize="9" scale="58"/>
  <headerFooter alignWithMargins="0">
    <oddHeader>&amp;L&amp;8 1. melléklet a 15/2012(IV.27.) önkormányzati rendelethez</oddHeader>
  </headerFooter>
  <rowBreaks count="1" manualBreakCount="1"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D103"/>
  <sheetViews>
    <sheetView zoomScaleSheetLayoutView="100" workbookViewId="0" topLeftCell="A58">
      <selection activeCell="A72" sqref="A72"/>
    </sheetView>
  </sheetViews>
  <sheetFormatPr defaultColWidth="9.00390625" defaultRowHeight="12.75"/>
  <cols>
    <col min="1" max="1" width="76.375" style="534" customWidth="1"/>
    <col min="2" max="2" width="13.75390625" style="535" customWidth="1"/>
    <col min="3" max="3" width="13.875" style="534" customWidth="1"/>
    <col min="4" max="4" width="12.75390625" style="534" customWidth="1"/>
    <col min="5" max="16384" width="9.125" style="534" customWidth="1"/>
  </cols>
  <sheetData>
    <row r="2" spans="1:4" ht="15.75" customHeight="1">
      <c r="A2" s="536" t="s">
        <v>540</v>
      </c>
      <c r="B2" s="536"/>
      <c r="C2" s="536"/>
      <c r="D2" s="536"/>
    </row>
    <row r="3" spans="1:2" ht="15.75">
      <c r="A3" s="537"/>
      <c r="B3" s="538"/>
    </row>
    <row r="4" spans="1:4" ht="12.75">
      <c r="A4" s="539" t="s">
        <v>541</v>
      </c>
      <c r="B4" s="540" t="s">
        <v>8</v>
      </c>
      <c r="C4" s="541" t="s">
        <v>5</v>
      </c>
      <c r="D4" s="542" t="s">
        <v>6</v>
      </c>
    </row>
    <row r="5" spans="1:4" ht="12.75">
      <c r="A5" s="543" t="s">
        <v>542</v>
      </c>
      <c r="B5" s="544">
        <v>71200</v>
      </c>
      <c r="C5" s="544">
        <v>71200</v>
      </c>
      <c r="D5" s="545">
        <v>71200</v>
      </c>
    </row>
    <row r="6" spans="1:4" ht="25.5">
      <c r="A6" s="546" t="s">
        <v>543</v>
      </c>
      <c r="B6" s="544">
        <v>73550</v>
      </c>
      <c r="C6" s="544">
        <v>74850</v>
      </c>
      <c r="D6" s="545">
        <v>74850</v>
      </c>
    </row>
    <row r="7" spans="1:4" ht="12.75">
      <c r="A7" s="543" t="s">
        <v>544</v>
      </c>
      <c r="B7" s="544">
        <v>60500</v>
      </c>
      <c r="C7" s="544">
        <v>60500</v>
      </c>
      <c r="D7" s="545">
        <v>60500</v>
      </c>
    </row>
    <row r="8" spans="1:4" ht="12.75">
      <c r="A8" s="543" t="s">
        <v>545</v>
      </c>
      <c r="B8" s="544">
        <v>15000</v>
      </c>
      <c r="C8" s="544">
        <v>15000</v>
      </c>
      <c r="D8" s="545">
        <v>15000</v>
      </c>
    </row>
    <row r="9" spans="1:4" ht="12.75">
      <c r="A9" s="543" t="s">
        <v>546</v>
      </c>
      <c r="B9" s="544">
        <v>9600</v>
      </c>
      <c r="C9" s="544">
        <v>9600</v>
      </c>
      <c r="D9" s="545">
        <v>9600</v>
      </c>
    </row>
    <row r="10" spans="1:4" ht="12.75">
      <c r="A10" s="543" t="s">
        <v>547</v>
      </c>
      <c r="B10" s="544">
        <v>7000</v>
      </c>
      <c r="C10" s="544">
        <v>7000</v>
      </c>
      <c r="D10" s="545">
        <v>7000</v>
      </c>
    </row>
    <row r="11" spans="1:4" ht="12.75">
      <c r="A11" s="543" t="s">
        <v>548</v>
      </c>
      <c r="B11" s="544">
        <v>5500</v>
      </c>
      <c r="C11" s="544">
        <v>4500</v>
      </c>
      <c r="D11" s="547">
        <v>4250</v>
      </c>
    </row>
    <row r="12" spans="1:4" ht="12.75">
      <c r="A12" s="543" t="s">
        <v>549</v>
      </c>
      <c r="B12" s="544">
        <v>1000</v>
      </c>
      <c r="C12" s="544">
        <v>1000</v>
      </c>
      <c r="D12" s="547">
        <v>1000</v>
      </c>
    </row>
    <row r="13" spans="1:4" ht="12.75">
      <c r="A13" s="543" t="s">
        <v>550</v>
      </c>
      <c r="B13" s="544">
        <v>1000</v>
      </c>
      <c r="C13" s="544">
        <v>700</v>
      </c>
      <c r="D13" s="547">
        <v>700</v>
      </c>
    </row>
    <row r="14" spans="1:4" ht="12.75">
      <c r="A14" s="543" t="s">
        <v>551</v>
      </c>
      <c r="B14" s="544">
        <v>3000</v>
      </c>
      <c r="C14" s="544">
        <v>3800</v>
      </c>
      <c r="D14" s="547">
        <v>3800</v>
      </c>
    </row>
    <row r="15" spans="1:4" ht="12.75">
      <c r="A15" s="543" t="s">
        <v>552</v>
      </c>
      <c r="B15" s="544">
        <v>5000</v>
      </c>
      <c r="C15" s="544">
        <v>3650</v>
      </c>
      <c r="D15" s="547">
        <v>3650</v>
      </c>
    </row>
    <row r="16" spans="1:4" ht="12.75">
      <c r="A16" s="543" t="s">
        <v>553</v>
      </c>
      <c r="B16" s="544">
        <v>2000</v>
      </c>
      <c r="C16" s="544">
        <v>1680</v>
      </c>
      <c r="D16" s="547">
        <v>1380</v>
      </c>
    </row>
    <row r="17" spans="1:4" ht="12.75">
      <c r="A17" s="543" t="s">
        <v>554</v>
      </c>
      <c r="B17" s="544">
        <v>4000</v>
      </c>
      <c r="C17" s="544">
        <v>4000</v>
      </c>
      <c r="D17" s="547">
        <v>4000</v>
      </c>
    </row>
    <row r="18" spans="1:4" ht="12.75">
      <c r="A18" s="543" t="s">
        <v>555</v>
      </c>
      <c r="B18" s="544">
        <v>5000</v>
      </c>
      <c r="C18" s="544">
        <v>5000</v>
      </c>
      <c r="D18" s="547">
        <v>0</v>
      </c>
    </row>
    <row r="19" spans="1:4" ht="12.75">
      <c r="A19" s="543" t="s">
        <v>556</v>
      </c>
      <c r="B19" s="544">
        <v>800</v>
      </c>
      <c r="C19" s="544">
        <v>800</v>
      </c>
      <c r="D19" s="547">
        <v>800</v>
      </c>
    </row>
    <row r="20" spans="1:4" ht="12.75">
      <c r="A20" s="543" t="s">
        <v>557</v>
      </c>
      <c r="B20" s="544">
        <v>4000</v>
      </c>
      <c r="C20" s="544">
        <v>4000</v>
      </c>
      <c r="D20" s="547">
        <v>4000</v>
      </c>
    </row>
    <row r="21" spans="1:4" ht="12.75">
      <c r="A21" s="543" t="s">
        <v>558</v>
      </c>
      <c r="B21" s="544">
        <v>1000</v>
      </c>
      <c r="C21" s="544">
        <v>1000</v>
      </c>
      <c r="D21" s="547">
        <v>1000</v>
      </c>
    </row>
    <row r="22" spans="1:4" ht="12.75">
      <c r="A22" s="543" t="s">
        <v>559</v>
      </c>
      <c r="B22" s="544">
        <v>25000</v>
      </c>
      <c r="C22" s="544">
        <v>0</v>
      </c>
      <c r="D22" s="547">
        <v>0</v>
      </c>
    </row>
    <row r="23" spans="1:4" ht="14.25" customHeight="1">
      <c r="A23" s="543" t="s">
        <v>560</v>
      </c>
      <c r="B23" s="544">
        <v>5250</v>
      </c>
      <c r="C23" s="544">
        <v>5250</v>
      </c>
      <c r="D23" s="547">
        <v>5250</v>
      </c>
    </row>
    <row r="24" spans="1:4" ht="12.75">
      <c r="A24" s="543" t="s">
        <v>561</v>
      </c>
      <c r="B24" s="544">
        <v>131</v>
      </c>
      <c r="C24" s="544">
        <v>131</v>
      </c>
      <c r="D24" s="547">
        <v>132</v>
      </c>
    </row>
    <row r="25" spans="1:4" ht="12.75" customHeight="1">
      <c r="A25" s="543" t="s">
        <v>562</v>
      </c>
      <c r="B25" s="544">
        <v>3000</v>
      </c>
      <c r="C25" s="544">
        <v>3000</v>
      </c>
      <c r="D25" s="547">
        <v>1875</v>
      </c>
    </row>
    <row r="26" spans="1:4" ht="12.75">
      <c r="A26" s="543" t="s">
        <v>563</v>
      </c>
      <c r="B26" s="544">
        <v>4800</v>
      </c>
      <c r="C26" s="544">
        <v>24800</v>
      </c>
      <c r="D26" s="547">
        <v>16800</v>
      </c>
    </row>
    <row r="27" spans="1:4" ht="12.75">
      <c r="A27" s="543" t="s">
        <v>564</v>
      </c>
      <c r="B27" s="544">
        <v>800</v>
      </c>
      <c r="C27" s="544">
        <v>800</v>
      </c>
      <c r="D27" s="547">
        <v>350</v>
      </c>
    </row>
    <row r="28" spans="1:4" ht="12.75">
      <c r="A28" s="543" t="s">
        <v>565</v>
      </c>
      <c r="B28" s="544">
        <v>750</v>
      </c>
      <c r="C28" s="544">
        <v>750</v>
      </c>
      <c r="D28" s="547">
        <v>750</v>
      </c>
    </row>
    <row r="29" spans="1:4" ht="12.75">
      <c r="A29" s="543" t="s">
        <v>566</v>
      </c>
      <c r="B29" s="544">
        <v>7000</v>
      </c>
      <c r="C29" s="544">
        <v>7000</v>
      </c>
      <c r="D29" s="547">
        <v>7000</v>
      </c>
    </row>
    <row r="30" spans="1:4" ht="12.75">
      <c r="A30" s="543" t="s">
        <v>567</v>
      </c>
      <c r="B30" s="544">
        <v>800</v>
      </c>
      <c r="C30" s="544">
        <v>800</v>
      </c>
      <c r="D30" s="547">
        <v>800</v>
      </c>
    </row>
    <row r="31" spans="1:4" ht="12.75">
      <c r="A31" s="543" t="s">
        <v>568</v>
      </c>
      <c r="B31" s="544">
        <v>3000</v>
      </c>
      <c r="C31" s="544">
        <v>3000</v>
      </c>
      <c r="D31" s="547">
        <v>3000</v>
      </c>
    </row>
    <row r="32" spans="1:4" ht="12.75">
      <c r="A32" s="543" t="s">
        <v>569</v>
      </c>
      <c r="B32" s="544">
        <v>1500</v>
      </c>
      <c r="C32" s="544">
        <v>1500</v>
      </c>
      <c r="D32" s="547">
        <v>1500</v>
      </c>
    </row>
    <row r="33" spans="1:4" ht="12.75">
      <c r="A33" s="543" t="s">
        <v>570</v>
      </c>
      <c r="B33" s="544">
        <v>500</v>
      </c>
      <c r="C33" s="544">
        <v>500</v>
      </c>
      <c r="D33" s="547">
        <v>500</v>
      </c>
    </row>
    <row r="34" spans="1:4" ht="12.75">
      <c r="A34" s="543" t="s">
        <v>571</v>
      </c>
      <c r="B34" s="544">
        <v>3000</v>
      </c>
      <c r="C34" s="544">
        <v>3000</v>
      </c>
      <c r="D34" s="547">
        <v>3000</v>
      </c>
    </row>
    <row r="35" spans="1:4" ht="12.75">
      <c r="A35" s="543" t="s">
        <v>572</v>
      </c>
      <c r="B35" s="544">
        <v>700</v>
      </c>
      <c r="C35" s="544">
        <v>700</v>
      </c>
      <c r="D35" s="547">
        <v>700</v>
      </c>
    </row>
    <row r="36" spans="1:4" ht="12.75">
      <c r="A36" s="543" t="s">
        <v>573</v>
      </c>
      <c r="B36" s="544"/>
      <c r="C36" s="544">
        <v>4800</v>
      </c>
      <c r="D36" s="547">
        <v>4776</v>
      </c>
    </row>
    <row r="37" spans="1:4" ht="12.75">
      <c r="A37" s="543" t="s">
        <v>574</v>
      </c>
      <c r="B37" s="544"/>
      <c r="C37" s="544">
        <v>5000</v>
      </c>
      <c r="D37" s="547">
        <v>5000</v>
      </c>
    </row>
    <row r="38" spans="1:4" ht="12.75">
      <c r="A38" s="543" t="s">
        <v>575</v>
      </c>
      <c r="B38" s="544"/>
      <c r="C38" s="544">
        <v>500</v>
      </c>
      <c r="D38" s="547">
        <v>0</v>
      </c>
    </row>
    <row r="39" spans="1:4" ht="12.75">
      <c r="A39" s="543" t="s">
        <v>576</v>
      </c>
      <c r="B39" s="544"/>
      <c r="C39" s="544"/>
      <c r="D39" s="547">
        <v>0</v>
      </c>
    </row>
    <row r="40" spans="1:4" ht="12.75">
      <c r="A40" s="543" t="s">
        <v>577</v>
      </c>
      <c r="B40" s="544"/>
      <c r="C40" s="544">
        <v>100</v>
      </c>
      <c r="D40" s="547">
        <v>100</v>
      </c>
    </row>
    <row r="41" spans="1:4" ht="12.75">
      <c r="A41" s="543" t="s">
        <v>578</v>
      </c>
      <c r="B41" s="544"/>
      <c r="C41" s="544">
        <v>100</v>
      </c>
      <c r="D41" s="547">
        <v>100</v>
      </c>
    </row>
    <row r="42" spans="1:4" ht="12.75">
      <c r="A42" s="543" t="s">
        <v>579</v>
      </c>
      <c r="B42" s="544"/>
      <c r="C42" s="544">
        <v>0</v>
      </c>
      <c r="D42" s="547">
        <v>0</v>
      </c>
    </row>
    <row r="43" spans="1:4" ht="12.75">
      <c r="A43" s="543" t="s">
        <v>580</v>
      </c>
      <c r="B43" s="544"/>
      <c r="C43" s="544">
        <v>350</v>
      </c>
      <c r="D43" s="547">
        <v>350</v>
      </c>
    </row>
    <row r="44" spans="1:4" ht="25.5">
      <c r="A44" s="546" t="s">
        <v>581</v>
      </c>
      <c r="B44" s="544"/>
      <c r="C44" s="544">
        <v>150</v>
      </c>
      <c r="D44" s="547">
        <v>150</v>
      </c>
    </row>
    <row r="45" spans="1:4" ht="12.75">
      <c r="A45" s="543" t="s">
        <v>582</v>
      </c>
      <c r="B45" s="544"/>
      <c r="C45" s="544">
        <v>0</v>
      </c>
      <c r="D45" s="547">
        <v>0</v>
      </c>
    </row>
    <row r="46" spans="1:4" ht="12.75">
      <c r="A46" s="543" t="s">
        <v>583</v>
      </c>
      <c r="B46" s="544"/>
      <c r="C46" s="544">
        <v>200</v>
      </c>
      <c r="D46" s="547">
        <v>200</v>
      </c>
    </row>
    <row r="47" spans="1:4" ht="12.75">
      <c r="A47" s="543" t="s">
        <v>584</v>
      </c>
      <c r="B47" s="544"/>
      <c r="C47" s="544">
        <v>200</v>
      </c>
      <c r="D47" s="547">
        <v>200</v>
      </c>
    </row>
    <row r="48" spans="1:4" ht="12.75">
      <c r="A48" s="543" t="s">
        <v>585</v>
      </c>
      <c r="B48" s="544"/>
      <c r="C48" s="544">
        <v>300</v>
      </c>
      <c r="D48" s="547">
        <v>300</v>
      </c>
    </row>
    <row r="49" spans="1:4" ht="12.75">
      <c r="A49" s="543" t="s">
        <v>586</v>
      </c>
      <c r="B49" s="544"/>
      <c r="C49" s="544">
        <v>50</v>
      </c>
      <c r="D49" s="547">
        <v>50</v>
      </c>
    </row>
    <row r="50" spans="1:4" ht="12.75">
      <c r="A50" s="543" t="s">
        <v>587</v>
      </c>
      <c r="B50" s="544"/>
      <c r="C50" s="544">
        <v>210</v>
      </c>
      <c r="D50" s="547">
        <v>210</v>
      </c>
    </row>
    <row r="51" spans="1:4" ht="12.75">
      <c r="A51" s="543" t="s">
        <v>588</v>
      </c>
      <c r="B51" s="544"/>
      <c r="C51" s="544">
        <v>50</v>
      </c>
      <c r="D51" s="547">
        <v>50</v>
      </c>
    </row>
    <row r="52" spans="1:4" ht="12.75">
      <c r="A52" s="543" t="s">
        <v>589</v>
      </c>
      <c r="B52" s="544"/>
      <c r="C52" s="544">
        <v>1111</v>
      </c>
      <c r="D52" s="547">
        <v>1111</v>
      </c>
    </row>
    <row r="53" spans="1:4" ht="12.75">
      <c r="A53" s="543" t="s">
        <v>590</v>
      </c>
      <c r="B53" s="544"/>
      <c r="C53" s="544">
        <v>120</v>
      </c>
      <c r="D53" s="547">
        <v>0</v>
      </c>
    </row>
    <row r="54" spans="1:4" ht="12.75">
      <c r="A54" s="543" t="s">
        <v>591</v>
      </c>
      <c r="B54" s="544"/>
      <c r="C54" s="544">
        <v>100</v>
      </c>
      <c r="D54" s="547">
        <v>100</v>
      </c>
    </row>
    <row r="55" spans="1:4" ht="12.75">
      <c r="A55" s="543" t="s">
        <v>592</v>
      </c>
      <c r="B55" s="544"/>
      <c r="C55" s="544">
        <v>500</v>
      </c>
      <c r="D55" s="547">
        <v>500</v>
      </c>
    </row>
    <row r="56" spans="1:4" ht="12.75">
      <c r="A56" s="543" t="s">
        <v>593</v>
      </c>
      <c r="B56" s="544"/>
      <c r="C56" s="544">
        <v>280</v>
      </c>
      <c r="D56" s="547">
        <v>280</v>
      </c>
    </row>
    <row r="57" spans="1:4" ht="12.75">
      <c r="A57" s="543" t="s">
        <v>594</v>
      </c>
      <c r="B57" s="544"/>
      <c r="C57" s="544">
        <v>1000</v>
      </c>
      <c r="D57" s="547">
        <v>1000</v>
      </c>
    </row>
    <row r="58" spans="1:4" ht="12.75">
      <c r="A58" s="543" t="s">
        <v>595</v>
      </c>
      <c r="B58" s="544"/>
      <c r="C58" s="544">
        <v>100</v>
      </c>
      <c r="D58" s="547">
        <v>100</v>
      </c>
    </row>
    <row r="59" spans="1:4" ht="12.75">
      <c r="A59" s="543" t="s">
        <v>596</v>
      </c>
      <c r="B59" s="544"/>
      <c r="C59" s="544">
        <v>80</v>
      </c>
      <c r="D59" s="547">
        <v>80</v>
      </c>
    </row>
    <row r="60" spans="1:4" ht="12.75">
      <c r="A60" s="543" t="s">
        <v>597</v>
      </c>
      <c r="B60" s="544"/>
      <c r="C60" s="544">
        <v>150</v>
      </c>
      <c r="D60" s="547">
        <v>150</v>
      </c>
    </row>
    <row r="61" spans="1:4" ht="25.5">
      <c r="A61" s="546" t="s">
        <v>598</v>
      </c>
      <c r="B61" s="544"/>
      <c r="C61" s="544">
        <v>320</v>
      </c>
      <c r="D61" s="547">
        <v>320</v>
      </c>
    </row>
    <row r="62" spans="1:4" ht="12.75">
      <c r="A62" s="543" t="s">
        <v>599</v>
      </c>
      <c r="B62" s="544"/>
      <c r="C62" s="544">
        <f>5602+1867</f>
        <v>7469</v>
      </c>
      <c r="D62" s="545">
        <f>5602+1867</f>
        <v>7469</v>
      </c>
    </row>
    <row r="63" spans="1:4" ht="12.75">
      <c r="A63" s="543" t="s">
        <v>600</v>
      </c>
      <c r="B63" s="544"/>
      <c r="C63" s="544">
        <v>3325</v>
      </c>
      <c r="D63" s="547"/>
    </row>
    <row r="64" spans="1:4" ht="25.5">
      <c r="A64" s="546" t="s">
        <v>601</v>
      </c>
      <c r="B64" s="544"/>
      <c r="C64" s="544">
        <v>533</v>
      </c>
      <c r="D64" s="547"/>
    </row>
    <row r="65" spans="1:4" ht="25.5">
      <c r="A65" s="546" t="s">
        <v>602</v>
      </c>
      <c r="B65" s="544"/>
      <c r="C65" s="544">
        <v>1500</v>
      </c>
      <c r="D65" s="547">
        <v>1500</v>
      </c>
    </row>
    <row r="66" spans="1:4" ht="25.5">
      <c r="A66" s="546" t="s">
        <v>603</v>
      </c>
      <c r="B66" s="544"/>
      <c r="C66" s="544">
        <v>170</v>
      </c>
      <c r="D66" s="547">
        <v>170</v>
      </c>
    </row>
    <row r="67" spans="1:4" ht="12.75">
      <c r="A67" s="546" t="s">
        <v>604</v>
      </c>
      <c r="B67" s="544"/>
      <c r="C67" s="544">
        <v>193</v>
      </c>
      <c r="D67" s="547">
        <v>193</v>
      </c>
    </row>
    <row r="68" spans="1:4" ht="12.75">
      <c r="A68" s="546" t="s">
        <v>605</v>
      </c>
      <c r="B68" s="544"/>
      <c r="C68" s="544"/>
      <c r="D68" s="547">
        <v>193</v>
      </c>
    </row>
    <row r="69" spans="1:4" ht="12.75">
      <c r="A69" s="548" t="s">
        <v>606</v>
      </c>
      <c r="B69" s="549"/>
      <c r="C69" s="549">
        <v>300</v>
      </c>
      <c r="D69" s="550">
        <v>300</v>
      </c>
    </row>
    <row r="70" spans="1:4" ht="14.25">
      <c r="A70" s="551" t="s">
        <v>607</v>
      </c>
      <c r="B70" s="552">
        <f>SUM(B5:B69)</f>
        <v>325381</v>
      </c>
      <c r="C70" s="552">
        <f>SUM(C5:C69)</f>
        <v>348772</v>
      </c>
      <c r="D70" s="553">
        <f>SUM(D5:D69)</f>
        <v>329339</v>
      </c>
    </row>
    <row r="71" spans="1:4" ht="14.25">
      <c r="A71" s="554"/>
      <c r="B71" s="555"/>
      <c r="C71" s="555"/>
      <c r="D71" s="555"/>
    </row>
    <row r="72" spans="1:4" ht="15.75">
      <c r="A72" s="536"/>
      <c r="B72" s="536"/>
      <c r="C72" s="536"/>
      <c r="D72" s="536"/>
    </row>
    <row r="73" spans="1:4" ht="14.25">
      <c r="A73" s="556"/>
      <c r="B73" s="557"/>
      <c r="C73" s="557"/>
      <c r="D73" s="557"/>
    </row>
    <row r="74" spans="1:4" ht="13.5">
      <c r="A74" s="539" t="s">
        <v>541</v>
      </c>
      <c r="B74" s="540" t="s">
        <v>8</v>
      </c>
      <c r="C74" s="541" t="s">
        <v>5</v>
      </c>
      <c r="D74" s="542" t="s">
        <v>6</v>
      </c>
    </row>
    <row r="75" spans="1:4" ht="12.75">
      <c r="A75" s="558" t="s">
        <v>608</v>
      </c>
      <c r="B75" s="559"/>
      <c r="C75" s="544"/>
      <c r="D75" s="547"/>
    </row>
    <row r="76" spans="1:4" ht="12.75">
      <c r="A76" s="543" t="s">
        <v>609</v>
      </c>
      <c r="B76" s="544">
        <v>1000</v>
      </c>
      <c r="C76" s="544">
        <v>1000</v>
      </c>
      <c r="D76" s="547">
        <v>200</v>
      </c>
    </row>
    <row r="77" spans="1:4" ht="12.75">
      <c r="A77" s="543" t="s">
        <v>610</v>
      </c>
      <c r="B77" s="544">
        <v>4500</v>
      </c>
      <c r="C77" s="544">
        <v>4500</v>
      </c>
      <c r="D77" s="547">
        <v>4500</v>
      </c>
    </row>
    <row r="78" spans="1:4" ht="12.75">
      <c r="A78" s="543" t="s">
        <v>611</v>
      </c>
      <c r="B78" s="544">
        <v>2468</v>
      </c>
      <c r="C78" s="544">
        <v>0</v>
      </c>
      <c r="D78" s="547"/>
    </row>
    <row r="79" spans="1:4" ht="12.75">
      <c r="A79" s="543" t="s">
        <v>612</v>
      </c>
      <c r="B79" s="544">
        <v>2500</v>
      </c>
      <c r="C79" s="544">
        <v>0</v>
      </c>
      <c r="D79" s="547"/>
    </row>
    <row r="80" spans="1:4" ht="12.75">
      <c r="A80" s="543" t="s">
        <v>613</v>
      </c>
      <c r="B80" s="544"/>
      <c r="C80" s="544">
        <v>304</v>
      </c>
      <c r="D80" s="547">
        <v>304</v>
      </c>
    </row>
    <row r="81" spans="1:4" ht="12.75">
      <c r="A81" s="543" t="s">
        <v>600</v>
      </c>
      <c r="B81" s="544"/>
      <c r="C81" s="544">
        <v>3325</v>
      </c>
      <c r="D81" s="547">
        <v>3325</v>
      </c>
    </row>
    <row r="82" spans="1:4" ht="12.75">
      <c r="A82" s="543" t="s">
        <v>614</v>
      </c>
      <c r="B82" s="544"/>
      <c r="C82" s="544">
        <v>0</v>
      </c>
      <c r="D82" s="547">
        <v>0</v>
      </c>
    </row>
    <row r="83" spans="1:4" ht="12.75">
      <c r="A83" s="543" t="s">
        <v>615</v>
      </c>
      <c r="B83" s="544"/>
      <c r="C83" s="544">
        <v>30000</v>
      </c>
      <c r="D83" s="547"/>
    </row>
    <row r="84" spans="1:4" ht="12.75">
      <c r="A84" s="543" t="s">
        <v>616</v>
      </c>
      <c r="B84" s="544"/>
      <c r="C84" s="544">
        <v>1900</v>
      </c>
      <c r="D84" s="547">
        <v>1900</v>
      </c>
    </row>
    <row r="85" spans="1:4" ht="13.5">
      <c r="A85" s="560" t="s">
        <v>607</v>
      </c>
      <c r="B85" s="561">
        <f>SUM(B76:B84)</f>
        <v>10468</v>
      </c>
      <c r="C85" s="561">
        <f>SUM(C76:C84)</f>
        <v>41029</v>
      </c>
      <c r="D85" s="562">
        <f>SUM(D76:D84)</f>
        <v>10229</v>
      </c>
    </row>
    <row r="86" spans="1:4" ht="13.5">
      <c r="A86" s="560"/>
      <c r="B86" s="561"/>
      <c r="C86" s="561"/>
      <c r="D86" s="563"/>
    </row>
    <row r="87" spans="1:4" ht="12.75">
      <c r="A87" s="564" t="s">
        <v>617</v>
      </c>
      <c r="B87" s="565"/>
      <c r="C87" s="565"/>
      <c r="D87" s="566"/>
    </row>
    <row r="88" spans="1:4" ht="12.75">
      <c r="A88" s="543" t="s">
        <v>618</v>
      </c>
      <c r="B88" s="544">
        <v>10000</v>
      </c>
      <c r="C88" s="544">
        <v>0</v>
      </c>
      <c r="D88" s="547"/>
    </row>
    <row r="89" spans="1:4" ht="12.75">
      <c r="A89" s="543" t="s">
        <v>619</v>
      </c>
      <c r="B89" s="544">
        <v>28000</v>
      </c>
      <c r="C89" s="544">
        <v>28000</v>
      </c>
      <c r="D89" s="547">
        <v>21694</v>
      </c>
    </row>
    <row r="90" spans="1:4" ht="12.75">
      <c r="A90" s="543" t="s">
        <v>620</v>
      </c>
      <c r="B90" s="544">
        <v>21183</v>
      </c>
      <c r="C90" s="544">
        <v>20183</v>
      </c>
      <c r="D90" s="547"/>
    </row>
    <row r="91" spans="1:4" ht="12.75">
      <c r="A91" s="543" t="s">
        <v>621</v>
      </c>
      <c r="B91" s="544">
        <v>84363</v>
      </c>
      <c r="C91" s="544">
        <v>36000</v>
      </c>
      <c r="D91" s="547">
        <v>28344</v>
      </c>
    </row>
    <row r="92" spans="1:4" ht="12.75">
      <c r="A92" s="543" t="s">
        <v>622</v>
      </c>
      <c r="B92" s="544">
        <v>4129</v>
      </c>
      <c r="C92" s="544">
        <v>2200</v>
      </c>
      <c r="D92" s="547"/>
    </row>
    <row r="93" spans="1:4" ht="12.75">
      <c r="A93" s="543" t="s">
        <v>623</v>
      </c>
      <c r="B93" s="544">
        <v>3536</v>
      </c>
      <c r="C93" s="544">
        <v>3536</v>
      </c>
      <c r="D93" s="547">
        <v>750</v>
      </c>
    </row>
    <row r="94" spans="1:4" ht="12.75">
      <c r="A94" s="543" t="s">
        <v>624</v>
      </c>
      <c r="B94" s="544">
        <v>4500</v>
      </c>
      <c r="C94" s="544">
        <v>4500</v>
      </c>
      <c r="D94" s="547">
        <v>500</v>
      </c>
    </row>
    <row r="95" spans="1:4" s="567" customFormat="1" ht="25.5">
      <c r="A95" s="546" t="s">
        <v>625</v>
      </c>
      <c r="B95" s="544">
        <v>65875</v>
      </c>
      <c r="C95" s="544">
        <v>37206</v>
      </c>
      <c r="D95" s="547">
        <v>30205</v>
      </c>
    </row>
    <row r="96" spans="1:4" ht="12.75">
      <c r="A96" s="543" t="s">
        <v>626</v>
      </c>
      <c r="B96" s="544">
        <v>60000</v>
      </c>
      <c r="C96" s="544">
        <v>60000</v>
      </c>
      <c r="D96" s="547">
        <v>30000</v>
      </c>
    </row>
    <row r="97" spans="1:4" ht="12.75" customHeight="1">
      <c r="A97" s="543" t="s">
        <v>627</v>
      </c>
      <c r="B97" s="544">
        <v>1575</v>
      </c>
      <c r="C97" s="544">
        <v>1575</v>
      </c>
      <c r="D97" s="547"/>
    </row>
    <row r="98" spans="1:4" ht="12.75">
      <c r="A98" s="543" t="s">
        <v>628</v>
      </c>
      <c r="B98" s="544">
        <v>3975</v>
      </c>
      <c r="C98" s="544">
        <v>0</v>
      </c>
      <c r="D98" s="547"/>
    </row>
    <row r="99" spans="1:4" ht="12.75">
      <c r="A99" s="543" t="s">
        <v>629</v>
      </c>
      <c r="B99" s="544">
        <v>6267</v>
      </c>
      <c r="C99" s="544">
        <v>0</v>
      </c>
      <c r="D99" s="547"/>
    </row>
    <row r="100" spans="1:4" ht="12.75">
      <c r="A100" s="543" t="s">
        <v>630</v>
      </c>
      <c r="B100" s="568"/>
      <c r="C100" s="544">
        <v>8750</v>
      </c>
      <c r="D100" s="569"/>
    </row>
    <row r="101" spans="1:4" ht="13.5">
      <c r="A101" s="560" t="s">
        <v>607</v>
      </c>
      <c r="B101" s="561">
        <f>SUM(B88:B100)</f>
        <v>293403</v>
      </c>
      <c r="C101" s="561">
        <f>SUM(C88:C100)</f>
        <v>201950</v>
      </c>
      <c r="D101" s="562">
        <f>SUM(D88:D100)</f>
        <v>111493</v>
      </c>
    </row>
    <row r="102" spans="1:4" ht="12.75">
      <c r="A102" s="543"/>
      <c r="B102" s="544"/>
      <c r="C102" s="544"/>
      <c r="D102" s="547"/>
    </row>
    <row r="103" spans="1:4" ht="12.75">
      <c r="A103" s="570" t="s">
        <v>153</v>
      </c>
      <c r="B103" s="571">
        <f>SUM(B70,B85,B101)</f>
        <v>629252</v>
      </c>
      <c r="C103" s="571">
        <f>SUM(C70,C85,C101)</f>
        <v>591751</v>
      </c>
      <c r="D103" s="572">
        <f>SUM(D70,D85,D101)</f>
        <v>451061</v>
      </c>
    </row>
  </sheetData>
  <sheetProtection selectLockedCells="1" selectUnlockedCells="1"/>
  <mergeCells count="2">
    <mergeCell ref="A2:D2"/>
    <mergeCell ref="A72:D72"/>
  </mergeCells>
  <printOptions horizontalCentered="1"/>
  <pageMargins left="0.2361111111111111" right="0.2361111111111111" top="0.5909722222222222" bottom="0.3541666666666667" header="0.31527777777777777" footer="0.5118055555555555"/>
  <pageSetup horizontalDpi="300" verticalDpi="300" orientation="portrait" paperSize="9" scale="80"/>
  <headerFooter alignWithMargins="0">
    <oddHeader>&amp;L&amp;8 10. melléklet a 15/2012.(IV.27.) önkormányzati rendelethez</oddHeader>
  </headerFooter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A3" sqref="A3"/>
    </sheetView>
  </sheetViews>
  <sheetFormatPr defaultColWidth="9.00390625" defaultRowHeight="12.75"/>
  <cols>
    <col min="1" max="1" width="67.75390625" style="441" customWidth="1"/>
    <col min="2" max="2" width="9.125" style="442" customWidth="1"/>
    <col min="3" max="16384" width="9.125" style="441" customWidth="1"/>
  </cols>
  <sheetData>
    <row r="1" spans="1:2" ht="15.75">
      <c r="A1" s="573"/>
      <c r="B1" s="574"/>
    </row>
    <row r="2" spans="1:4" ht="15.75">
      <c r="A2" s="575" t="s">
        <v>631</v>
      </c>
      <c r="B2" s="575"/>
      <c r="C2" s="575"/>
      <c r="D2" s="575"/>
    </row>
    <row r="3" spans="1:4" ht="15.75" customHeight="1">
      <c r="A3" s="575" t="s">
        <v>632</v>
      </c>
      <c r="B3" s="575"/>
      <c r="C3" s="575"/>
      <c r="D3" s="575"/>
    </row>
    <row r="4" spans="1:4" ht="15.75" customHeight="1">
      <c r="A4" s="576" t="s">
        <v>633</v>
      </c>
      <c r="B4" s="576"/>
      <c r="C4" s="576"/>
      <c r="D4" s="576"/>
    </row>
    <row r="5" spans="1:2" ht="12.75">
      <c r="A5" s="577"/>
      <c r="B5" s="578"/>
    </row>
    <row r="6" spans="1:4" s="583" customFormat="1" ht="25.5">
      <c r="A6" s="579" t="s">
        <v>3</v>
      </c>
      <c r="B6" s="580" t="s">
        <v>4</v>
      </c>
      <c r="C6" s="581" t="s">
        <v>5</v>
      </c>
      <c r="D6" s="582" t="s">
        <v>6</v>
      </c>
    </row>
    <row r="7" spans="1:4" ht="12.75">
      <c r="A7" s="584"/>
      <c r="B7" s="585"/>
      <c r="C7" s="455"/>
      <c r="D7" s="458"/>
    </row>
    <row r="8" spans="1:4" ht="12.75">
      <c r="A8" s="459" t="s">
        <v>45</v>
      </c>
      <c r="B8" s="455"/>
      <c r="C8" s="455"/>
      <c r="D8" s="458"/>
    </row>
    <row r="9" spans="1:4" ht="12.75">
      <c r="A9" s="454" t="s">
        <v>634</v>
      </c>
      <c r="B9" s="455">
        <v>40302</v>
      </c>
      <c r="C9" s="455">
        <v>32302</v>
      </c>
      <c r="D9" s="458">
        <v>27731</v>
      </c>
    </row>
    <row r="10" spans="1:4" ht="12.75">
      <c r="A10" s="454" t="s">
        <v>635</v>
      </c>
      <c r="B10" s="455">
        <v>14162</v>
      </c>
      <c r="C10" s="455">
        <v>14162</v>
      </c>
      <c r="D10" s="458">
        <v>14083</v>
      </c>
    </row>
    <row r="11" spans="1:4" ht="12.75">
      <c r="A11" s="454" t="s">
        <v>636</v>
      </c>
      <c r="B11" s="455">
        <v>2450</v>
      </c>
      <c r="C11" s="455">
        <v>2950</v>
      </c>
      <c r="D11" s="458">
        <v>2950</v>
      </c>
    </row>
    <row r="12" spans="1:4" ht="12.75">
      <c r="A12" s="454" t="s">
        <v>637</v>
      </c>
      <c r="B12" s="455">
        <v>17002</v>
      </c>
      <c r="C12" s="455">
        <v>16800</v>
      </c>
      <c r="D12" s="458">
        <v>16800</v>
      </c>
    </row>
    <row r="13" spans="1:4" ht="12.75">
      <c r="A13" s="454" t="s">
        <v>638</v>
      </c>
      <c r="B13" s="455">
        <v>8000</v>
      </c>
      <c r="C13" s="455">
        <v>8000</v>
      </c>
      <c r="D13" s="458">
        <v>8000</v>
      </c>
    </row>
    <row r="14" spans="1:4" ht="12.75">
      <c r="A14" s="454" t="s">
        <v>327</v>
      </c>
      <c r="B14" s="455">
        <v>1500</v>
      </c>
      <c r="C14" s="455">
        <v>1500</v>
      </c>
      <c r="D14" s="458">
        <v>588</v>
      </c>
    </row>
    <row r="15" spans="1:4" ht="12.75">
      <c r="A15" s="454" t="s">
        <v>639</v>
      </c>
      <c r="B15" s="455">
        <v>32317</v>
      </c>
      <c r="C15" s="455">
        <v>33586</v>
      </c>
      <c r="D15" s="458">
        <v>27325</v>
      </c>
    </row>
    <row r="16" spans="1:4" ht="12.75">
      <c r="A16" s="454" t="s">
        <v>640</v>
      </c>
      <c r="B16" s="455">
        <v>1698</v>
      </c>
      <c r="C16" s="455">
        <v>1225</v>
      </c>
      <c r="D16" s="458">
        <v>1227</v>
      </c>
    </row>
    <row r="17" spans="1:4" ht="12.75">
      <c r="A17" s="454" t="s">
        <v>641</v>
      </c>
      <c r="B17" s="455">
        <v>3</v>
      </c>
      <c r="C17" s="455">
        <v>3</v>
      </c>
      <c r="D17" s="458">
        <v>3</v>
      </c>
    </row>
    <row r="18" spans="1:4" ht="12.75">
      <c r="A18" s="454" t="s">
        <v>642</v>
      </c>
      <c r="B18" s="455">
        <v>750</v>
      </c>
      <c r="C18" s="455">
        <v>750</v>
      </c>
      <c r="D18" s="458">
        <v>750</v>
      </c>
    </row>
    <row r="19" spans="1:4" ht="12.75">
      <c r="A19" s="454" t="s">
        <v>338</v>
      </c>
      <c r="B19" s="455">
        <v>1710</v>
      </c>
      <c r="C19" s="455">
        <v>1710</v>
      </c>
      <c r="D19" s="458">
        <v>1710</v>
      </c>
    </row>
    <row r="20" spans="1:4" ht="12.75">
      <c r="A20" s="454" t="s">
        <v>643</v>
      </c>
      <c r="B20" s="455">
        <v>20509</v>
      </c>
      <c r="C20" s="455">
        <v>0</v>
      </c>
      <c r="D20" s="458">
        <v>0</v>
      </c>
    </row>
    <row r="21" spans="1:4" ht="12.75">
      <c r="A21" s="454" t="s">
        <v>644</v>
      </c>
      <c r="B21" s="455"/>
      <c r="C21" s="455">
        <f>7500+666</f>
        <v>8166</v>
      </c>
      <c r="D21" s="458">
        <f>7500+666</f>
        <v>8166</v>
      </c>
    </row>
    <row r="22" spans="1:4" ht="12.75">
      <c r="A22" s="454" t="s">
        <v>645</v>
      </c>
      <c r="B22" s="455"/>
      <c r="C22" s="455">
        <v>120</v>
      </c>
      <c r="D22" s="458">
        <v>120</v>
      </c>
    </row>
    <row r="23" spans="1:4" ht="12.75">
      <c r="A23" s="454" t="s">
        <v>646</v>
      </c>
      <c r="B23" s="455"/>
      <c r="C23" s="455">
        <v>13314</v>
      </c>
      <c r="D23" s="458">
        <v>13314</v>
      </c>
    </row>
    <row r="24" spans="1:4" ht="12.75">
      <c r="A24" s="454" t="s">
        <v>647</v>
      </c>
      <c r="B24" s="455"/>
      <c r="C24" s="455">
        <v>350</v>
      </c>
      <c r="D24" s="458">
        <v>350</v>
      </c>
    </row>
    <row r="25" spans="1:4" ht="12.75">
      <c r="A25" s="454" t="s">
        <v>648</v>
      </c>
      <c r="B25" s="455"/>
      <c r="C25" s="455">
        <v>1000</v>
      </c>
      <c r="D25" s="458">
        <v>1000</v>
      </c>
    </row>
    <row r="26" spans="1:4" ht="12.75">
      <c r="A26" s="454" t="s">
        <v>649</v>
      </c>
      <c r="B26" s="455"/>
      <c r="C26" s="455">
        <v>559</v>
      </c>
      <c r="D26" s="458">
        <v>559</v>
      </c>
    </row>
    <row r="27" spans="1:4" ht="12.75">
      <c r="A27" s="454" t="s">
        <v>650</v>
      </c>
      <c r="B27" s="455"/>
      <c r="C27" s="455">
        <v>150</v>
      </c>
      <c r="D27" s="458">
        <v>150</v>
      </c>
    </row>
    <row r="28" spans="1:4" ht="12.75">
      <c r="A28" s="454" t="s">
        <v>651</v>
      </c>
      <c r="B28" s="455"/>
      <c r="C28" s="455">
        <v>86</v>
      </c>
      <c r="D28" s="458">
        <v>256</v>
      </c>
    </row>
    <row r="29" spans="1:4" s="483" customFormat="1" ht="12.75">
      <c r="A29" s="459" t="s">
        <v>607</v>
      </c>
      <c r="B29" s="586">
        <f>SUM(B9:B28)</f>
        <v>140403</v>
      </c>
      <c r="C29" s="586">
        <f>SUM(C9:C28)</f>
        <v>136733</v>
      </c>
      <c r="D29" s="587">
        <f>SUM(D9:D28)</f>
        <v>125082</v>
      </c>
    </row>
    <row r="30" spans="1:4" ht="12.75">
      <c r="A30" s="454"/>
      <c r="B30" s="455"/>
      <c r="C30" s="455"/>
      <c r="D30" s="458"/>
    </row>
    <row r="31" spans="1:4" ht="12.75">
      <c r="A31" s="459" t="s">
        <v>652</v>
      </c>
      <c r="B31" s="455"/>
      <c r="C31" s="455"/>
      <c r="D31" s="458"/>
    </row>
    <row r="32" spans="1:4" ht="12.75">
      <c r="A32" s="454" t="s">
        <v>653</v>
      </c>
      <c r="B32" s="455">
        <v>3035</v>
      </c>
      <c r="C32" s="455">
        <v>3035</v>
      </c>
      <c r="D32" s="458">
        <v>3035</v>
      </c>
    </row>
    <row r="33" spans="1:4" ht="12.75">
      <c r="A33" s="454" t="s">
        <v>654</v>
      </c>
      <c r="B33" s="455">
        <v>46933</v>
      </c>
      <c r="C33" s="455">
        <v>46933</v>
      </c>
      <c r="D33" s="458">
        <v>37588</v>
      </c>
    </row>
    <row r="34" spans="1:4" ht="12.75">
      <c r="A34" s="454" t="s">
        <v>441</v>
      </c>
      <c r="B34" s="455">
        <v>320773</v>
      </c>
      <c r="C34" s="455">
        <v>19205</v>
      </c>
      <c r="D34" s="458">
        <v>19205</v>
      </c>
    </row>
    <row r="35" spans="1:4" ht="12.75">
      <c r="A35" s="454" t="s">
        <v>655</v>
      </c>
      <c r="B35" s="455">
        <v>699000</v>
      </c>
      <c r="C35" s="455">
        <v>0</v>
      </c>
      <c r="D35" s="458">
        <v>0</v>
      </c>
    </row>
    <row r="36" spans="1:4" ht="12.75">
      <c r="A36" s="454" t="s">
        <v>656</v>
      </c>
      <c r="B36" s="455">
        <v>43445</v>
      </c>
      <c r="C36" s="455">
        <v>43445</v>
      </c>
      <c r="D36" s="458">
        <v>50510</v>
      </c>
    </row>
    <row r="37" spans="1:4" ht="12.75">
      <c r="A37" s="454" t="s">
        <v>657</v>
      </c>
      <c r="B37" s="455">
        <v>125177</v>
      </c>
      <c r="C37" s="455">
        <f>125177-49228</f>
        <v>75949</v>
      </c>
      <c r="D37" s="458">
        <v>64718</v>
      </c>
    </row>
    <row r="38" spans="1:4" ht="12.75">
      <c r="A38" s="454" t="s">
        <v>658</v>
      </c>
      <c r="B38" s="455">
        <v>39686</v>
      </c>
      <c r="C38" s="455">
        <f>39686-10035</f>
        <v>29651</v>
      </c>
      <c r="D38" s="458">
        <v>29651</v>
      </c>
    </row>
    <row r="39" spans="1:4" ht="12.75">
      <c r="A39" s="454" t="s">
        <v>659</v>
      </c>
      <c r="B39" s="455">
        <v>56264</v>
      </c>
      <c r="C39" s="455">
        <v>9299</v>
      </c>
      <c r="D39" s="458">
        <v>9298</v>
      </c>
    </row>
    <row r="40" spans="1:4" ht="12.75">
      <c r="A40" s="454" t="s">
        <v>660</v>
      </c>
      <c r="B40" s="455">
        <v>12000</v>
      </c>
      <c r="C40" s="455">
        <v>0</v>
      </c>
      <c r="D40" s="458">
        <v>0</v>
      </c>
    </row>
    <row r="41" spans="1:4" ht="12.75">
      <c r="A41" s="454" t="s">
        <v>661</v>
      </c>
      <c r="B41" s="455"/>
      <c r="C41" s="455">
        <v>11201</v>
      </c>
      <c r="D41" s="458">
        <v>11201</v>
      </c>
    </row>
    <row r="42" spans="1:4" ht="12.75">
      <c r="A42" s="454" t="s">
        <v>662</v>
      </c>
      <c r="B42" s="455"/>
      <c r="C42" s="455">
        <v>5627</v>
      </c>
      <c r="D42" s="458">
        <v>5627</v>
      </c>
    </row>
    <row r="43" spans="1:4" ht="12.75">
      <c r="A43" s="454" t="s">
        <v>651</v>
      </c>
      <c r="B43" s="455"/>
      <c r="C43" s="455">
        <v>59688</v>
      </c>
      <c r="D43" s="458">
        <v>59688</v>
      </c>
    </row>
    <row r="44" spans="1:4" ht="12.75">
      <c r="A44" s="454" t="s">
        <v>636</v>
      </c>
      <c r="B44" s="455"/>
      <c r="C44" s="455">
        <v>388</v>
      </c>
      <c r="D44" s="458">
        <v>388</v>
      </c>
    </row>
    <row r="45" spans="1:4" ht="12.75">
      <c r="A45" s="454" t="s">
        <v>638</v>
      </c>
      <c r="B45" s="455"/>
      <c r="C45" s="455">
        <v>215</v>
      </c>
      <c r="D45" s="458">
        <v>215</v>
      </c>
    </row>
    <row r="46" spans="1:4" ht="12.75">
      <c r="A46" s="454" t="s">
        <v>336</v>
      </c>
      <c r="B46" s="455"/>
      <c r="C46" s="455">
        <v>400</v>
      </c>
      <c r="D46" s="458">
        <v>400</v>
      </c>
    </row>
    <row r="47" spans="1:4" s="483" customFormat="1" ht="12.75">
      <c r="A47" s="459" t="s">
        <v>607</v>
      </c>
      <c r="B47" s="586">
        <f>SUM(B32:B46)</f>
        <v>1346313</v>
      </c>
      <c r="C47" s="586">
        <f>SUM(C32:C46)</f>
        <v>305036</v>
      </c>
      <c r="D47" s="587">
        <f>SUM(D32:D46)</f>
        <v>291524</v>
      </c>
    </row>
    <row r="48" spans="1:4" ht="12.75">
      <c r="A48" s="454"/>
      <c r="B48" s="455"/>
      <c r="C48" s="455"/>
      <c r="D48" s="458"/>
    </row>
    <row r="49" spans="1:4" ht="12.75">
      <c r="A49" s="459" t="s">
        <v>663</v>
      </c>
      <c r="B49" s="455"/>
      <c r="C49" s="455"/>
      <c r="D49" s="458"/>
    </row>
    <row r="50" spans="1:4" ht="12.75">
      <c r="A50" s="454" t="s">
        <v>648</v>
      </c>
      <c r="B50" s="455">
        <v>1000</v>
      </c>
      <c r="C50" s="455">
        <v>0</v>
      </c>
      <c r="D50" s="458">
        <v>0</v>
      </c>
    </row>
    <row r="51" spans="1:4" ht="12.75">
      <c r="A51" s="454" t="s">
        <v>664</v>
      </c>
      <c r="B51" s="455">
        <v>1378</v>
      </c>
      <c r="C51" s="455">
        <v>1378</v>
      </c>
      <c r="D51" s="458">
        <v>1368</v>
      </c>
    </row>
    <row r="52" spans="1:4" ht="12.75">
      <c r="A52" s="454" t="s">
        <v>665</v>
      </c>
      <c r="B52" s="455">
        <v>8692</v>
      </c>
      <c r="C52" s="455">
        <v>8692</v>
      </c>
      <c r="D52" s="458">
        <v>1023</v>
      </c>
    </row>
    <row r="53" spans="1:4" ht="12.75">
      <c r="A53" s="454" t="s">
        <v>666</v>
      </c>
      <c r="B53" s="455">
        <v>9777</v>
      </c>
      <c r="C53" s="455">
        <v>9777</v>
      </c>
      <c r="D53" s="458">
        <v>9594</v>
      </c>
    </row>
    <row r="54" spans="1:4" ht="12.75">
      <c r="A54" s="454" t="s">
        <v>667</v>
      </c>
      <c r="B54" s="455"/>
      <c r="C54" s="455">
        <v>4764</v>
      </c>
      <c r="D54" s="458">
        <v>4764</v>
      </c>
    </row>
    <row r="55" spans="1:4" ht="12.75">
      <c r="A55" s="454" t="s">
        <v>668</v>
      </c>
      <c r="B55" s="455"/>
      <c r="C55" s="455">
        <v>1670</v>
      </c>
      <c r="D55" s="458">
        <v>1670</v>
      </c>
    </row>
    <row r="56" spans="1:4" ht="12.75">
      <c r="A56" s="454" t="s">
        <v>669</v>
      </c>
      <c r="B56" s="455"/>
      <c r="C56" s="455"/>
      <c r="D56" s="458">
        <v>124</v>
      </c>
    </row>
    <row r="57" spans="1:4" s="483" customFormat="1" ht="12.75">
      <c r="A57" s="459" t="s">
        <v>607</v>
      </c>
      <c r="B57" s="586">
        <f>SUM(B50:B55)</f>
        <v>20847</v>
      </c>
      <c r="C57" s="586">
        <f>SUM(C50:C55)</f>
        <v>26281</v>
      </c>
      <c r="D57" s="587">
        <f>SUM(D50:D56)</f>
        <v>18543</v>
      </c>
    </row>
    <row r="58" spans="1:4" ht="12.75">
      <c r="A58" s="454"/>
      <c r="B58" s="455"/>
      <c r="C58" s="455"/>
      <c r="D58" s="458"/>
    </row>
    <row r="59" spans="1:4" ht="12.75">
      <c r="A59" s="459" t="s">
        <v>670</v>
      </c>
      <c r="B59" s="455"/>
      <c r="C59" s="455"/>
      <c r="D59" s="458"/>
    </row>
    <row r="60" spans="1:4" ht="12.75">
      <c r="A60" s="454" t="s">
        <v>671</v>
      </c>
      <c r="B60" s="455">
        <v>1000</v>
      </c>
      <c r="C60" s="455">
        <v>1000</v>
      </c>
      <c r="D60" s="458">
        <v>2280</v>
      </c>
    </row>
    <row r="61" spans="1:4" ht="12.75">
      <c r="A61" s="454" t="s">
        <v>672</v>
      </c>
      <c r="B61" s="455">
        <v>2468</v>
      </c>
      <c r="C61" s="455">
        <v>0</v>
      </c>
      <c r="D61" s="458">
        <v>0</v>
      </c>
    </row>
    <row r="62" spans="1:4" ht="12.75">
      <c r="A62" s="454" t="s">
        <v>673</v>
      </c>
      <c r="B62" s="455">
        <v>1000</v>
      </c>
      <c r="C62" s="455">
        <v>1000</v>
      </c>
      <c r="D62" s="458">
        <v>1000</v>
      </c>
    </row>
    <row r="63" spans="1:4" ht="12.75">
      <c r="A63" s="454" t="s">
        <v>674</v>
      </c>
      <c r="B63" s="455">
        <v>397</v>
      </c>
      <c r="C63" s="455">
        <v>397</v>
      </c>
      <c r="D63" s="458">
        <v>28</v>
      </c>
    </row>
    <row r="64" spans="1:4" s="483" customFormat="1" ht="12.75">
      <c r="A64" s="459" t="s">
        <v>607</v>
      </c>
      <c r="B64" s="460">
        <f>SUM(B60:B63)</f>
        <v>4865</v>
      </c>
      <c r="C64" s="586">
        <f>SUM(C60:C63)</f>
        <v>2397</v>
      </c>
      <c r="D64" s="587">
        <f>SUM(D60:D63)</f>
        <v>3308</v>
      </c>
    </row>
    <row r="65" spans="1:4" ht="12.75">
      <c r="A65" s="454"/>
      <c r="B65" s="455"/>
      <c r="C65" s="455"/>
      <c r="D65" s="458"/>
    </row>
    <row r="66" spans="1:4" ht="12.75">
      <c r="A66" s="484" t="s">
        <v>153</v>
      </c>
      <c r="B66" s="485">
        <f>SUM(B29,B47,B57,B64)</f>
        <v>1512428</v>
      </c>
      <c r="C66" s="588">
        <f>SUM(C29,C47,C57,C64)</f>
        <v>470447</v>
      </c>
      <c r="D66" s="589">
        <f>SUM(D29,D47,D57,D64)</f>
        <v>438457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0972222222222223" right="0.2361111111111111" top="0.8659722222222223" bottom="0.9840277777777777" header="0.7479166666666667" footer="0.5118055555555555"/>
  <pageSetup horizontalDpi="300" verticalDpi="300" orientation="portrait" paperSize="9" scale="76"/>
  <headerFooter alignWithMargins="0">
    <oddHeader>&amp;L&amp;8 11. melléklet a 15/2012.(IV.27.)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3">
      <selection activeCell="A28" sqref="A28"/>
    </sheetView>
  </sheetViews>
  <sheetFormatPr defaultColWidth="9.00390625" defaultRowHeight="12.75"/>
  <cols>
    <col min="1" max="1" width="54.375" style="412" customWidth="1"/>
    <col min="2" max="2" width="16.75390625" style="412" customWidth="1"/>
    <col min="3" max="3" width="16.75390625" style="590" customWidth="1"/>
    <col min="4" max="4" width="26.00390625" style="590" customWidth="1"/>
    <col min="5" max="16384" width="9.125" style="412" customWidth="1"/>
  </cols>
  <sheetData>
    <row r="1" ht="15.75">
      <c r="A1" s="591"/>
    </row>
    <row r="2" spans="1:4" ht="15" customHeight="1">
      <c r="A2" s="592" t="s">
        <v>675</v>
      </c>
      <c r="B2" s="592"/>
      <c r="C2" s="592"/>
      <c r="D2" s="592"/>
    </row>
    <row r="3" spans="1:2" ht="14.25" customHeight="1">
      <c r="A3" s="593"/>
      <c r="B3" s="594"/>
    </row>
    <row r="4" spans="1:4" ht="22.5" customHeight="1">
      <c r="A4" s="595" t="s">
        <v>676</v>
      </c>
      <c r="B4" s="596" t="s">
        <v>677</v>
      </c>
      <c r="C4" s="596"/>
      <c r="D4" s="596"/>
    </row>
    <row r="5" spans="1:4" ht="33.75" customHeight="1">
      <c r="A5" s="595"/>
      <c r="B5" s="418" t="s">
        <v>4</v>
      </c>
      <c r="C5" s="418" t="s">
        <v>5</v>
      </c>
      <c r="D5" s="597" t="s">
        <v>678</v>
      </c>
    </row>
    <row r="6" spans="1:4" ht="15" customHeight="1">
      <c r="A6" s="598" t="s">
        <v>679</v>
      </c>
      <c r="B6" s="599">
        <v>20</v>
      </c>
      <c r="C6" s="600">
        <v>20</v>
      </c>
      <c r="D6" s="601">
        <v>20.04</v>
      </c>
    </row>
    <row r="7" spans="1:4" ht="15" customHeight="1">
      <c r="A7" s="598" t="s">
        <v>680</v>
      </c>
      <c r="B7" s="599">
        <v>14</v>
      </c>
      <c r="C7" s="600">
        <v>0</v>
      </c>
      <c r="D7" s="601">
        <v>12.3</v>
      </c>
    </row>
    <row r="8" spans="1:4" ht="15" customHeight="1">
      <c r="A8" s="598" t="s">
        <v>681</v>
      </c>
      <c r="B8" s="599">
        <v>7</v>
      </c>
      <c r="C8" s="600">
        <v>7</v>
      </c>
      <c r="D8" s="601">
        <v>6.72</v>
      </c>
    </row>
    <row r="9" spans="1:4" ht="15" customHeight="1">
      <c r="A9" s="598" t="s">
        <v>682</v>
      </c>
      <c r="B9" s="599">
        <v>16.25</v>
      </c>
      <c r="C9" s="600">
        <v>16.25</v>
      </c>
      <c r="D9" s="601">
        <v>16.2</v>
      </c>
    </row>
    <row r="10" spans="1:4" ht="15" customHeight="1">
      <c r="A10" s="598" t="s">
        <v>683</v>
      </c>
      <c r="B10" s="599">
        <v>21</v>
      </c>
      <c r="C10" s="600">
        <v>21</v>
      </c>
      <c r="D10" s="601">
        <v>20.65</v>
      </c>
    </row>
    <row r="11" spans="1:4" ht="15" customHeight="1">
      <c r="A11" s="598" t="s">
        <v>684</v>
      </c>
      <c r="B11" s="599">
        <v>15.5</v>
      </c>
      <c r="C11" s="600">
        <v>15.5</v>
      </c>
      <c r="D11" s="601">
        <v>15.32</v>
      </c>
    </row>
    <row r="12" spans="1:4" ht="15" customHeight="1">
      <c r="A12" s="598" t="s">
        <v>685</v>
      </c>
      <c r="B12" s="599">
        <v>14</v>
      </c>
      <c r="C12" s="600">
        <v>14</v>
      </c>
      <c r="D12" s="601">
        <v>13.66</v>
      </c>
    </row>
    <row r="13" spans="1:4" ht="15" customHeight="1">
      <c r="A13" s="598" t="s">
        <v>686</v>
      </c>
      <c r="B13" s="599">
        <v>3.5</v>
      </c>
      <c r="C13" s="600">
        <v>3.5</v>
      </c>
      <c r="D13" s="601">
        <v>3.44</v>
      </c>
    </row>
    <row r="14" spans="1:4" ht="15" customHeight="1">
      <c r="A14" s="598" t="s">
        <v>687</v>
      </c>
      <c r="B14" s="599">
        <v>27</v>
      </c>
      <c r="C14" s="600">
        <v>32</v>
      </c>
      <c r="D14" s="601">
        <v>28.47</v>
      </c>
    </row>
    <row r="15" spans="1:4" ht="15" customHeight="1">
      <c r="A15" s="598" t="s">
        <v>688</v>
      </c>
      <c r="B15" s="599">
        <v>60.5</v>
      </c>
      <c r="C15" s="600">
        <v>60.5</v>
      </c>
      <c r="D15" s="601">
        <v>58.67</v>
      </c>
    </row>
    <row r="16" spans="1:4" ht="15" customHeight="1">
      <c r="A16" s="598" t="s">
        <v>689</v>
      </c>
      <c r="B16" s="599">
        <v>22</v>
      </c>
      <c r="C16" s="600">
        <v>22</v>
      </c>
      <c r="D16" s="601">
        <v>21.33</v>
      </c>
    </row>
    <row r="17" spans="1:4" ht="15" customHeight="1">
      <c r="A17" s="598" t="s">
        <v>690</v>
      </c>
      <c r="B17" s="599">
        <v>77.5</v>
      </c>
      <c r="C17" s="600">
        <v>77.5</v>
      </c>
      <c r="D17" s="601">
        <v>75.15</v>
      </c>
    </row>
    <row r="18" spans="1:4" ht="15" customHeight="1">
      <c r="A18" s="598" t="s">
        <v>691</v>
      </c>
      <c r="B18" s="599">
        <v>20</v>
      </c>
      <c r="C18" s="600">
        <v>20</v>
      </c>
      <c r="D18" s="601">
        <v>19.39</v>
      </c>
    </row>
    <row r="19" spans="1:4" ht="15" customHeight="1">
      <c r="A19" s="598" t="s">
        <v>692</v>
      </c>
      <c r="B19" s="599">
        <v>13</v>
      </c>
      <c r="C19" s="600">
        <v>13</v>
      </c>
      <c r="D19" s="601">
        <v>12.61</v>
      </c>
    </row>
    <row r="20" spans="1:4" ht="15" customHeight="1">
      <c r="A20" s="598" t="s">
        <v>693</v>
      </c>
      <c r="B20" s="599">
        <v>23</v>
      </c>
      <c r="C20" s="600">
        <v>23</v>
      </c>
      <c r="D20" s="601">
        <v>21.06</v>
      </c>
    </row>
    <row r="21" spans="1:4" ht="15.75" customHeight="1">
      <c r="A21" s="598" t="s">
        <v>694</v>
      </c>
      <c r="B21" s="599">
        <v>9.5</v>
      </c>
      <c r="C21" s="600">
        <v>9.5</v>
      </c>
      <c r="D21" s="601">
        <v>10</v>
      </c>
    </row>
    <row r="22" spans="1:4" ht="15" customHeight="1">
      <c r="A22" s="598" t="s">
        <v>695</v>
      </c>
      <c r="B22" s="599">
        <v>53.5</v>
      </c>
      <c r="C22" s="600">
        <v>53.5</v>
      </c>
      <c r="D22" s="601">
        <v>50.92</v>
      </c>
    </row>
    <row r="23" spans="1:4" ht="15" customHeight="1">
      <c r="A23" s="598" t="s">
        <v>696</v>
      </c>
      <c r="B23" s="599">
        <v>10</v>
      </c>
      <c r="C23" s="600">
        <v>10</v>
      </c>
      <c r="D23" s="601">
        <v>9.7</v>
      </c>
    </row>
    <row r="24" spans="1:4" ht="15" customHeight="1">
      <c r="A24" s="602" t="s">
        <v>697</v>
      </c>
      <c r="B24" s="603">
        <f>SUM(B6:B23)</f>
        <v>427.25</v>
      </c>
      <c r="C24" s="603">
        <f>SUM(C6:C23)</f>
        <v>418.25</v>
      </c>
      <c r="D24" s="604">
        <f>SUM(D6:D23)</f>
        <v>415.63</v>
      </c>
    </row>
    <row r="25" spans="1:4" ht="15" customHeight="1">
      <c r="A25" s="605" t="s">
        <v>14</v>
      </c>
      <c r="B25" s="603">
        <v>196</v>
      </c>
      <c r="C25" s="600">
        <v>200</v>
      </c>
      <c r="D25" s="601">
        <v>177</v>
      </c>
    </row>
    <row r="26" spans="1:4" ht="15" customHeight="1">
      <c r="A26" s="606" t="s">
        <v>698</v>
      </c>
      <c r="B26" s="607">
        <f>SUM(B24:B25)</f>
        <v>623.25</v>
      </c>
      <c r="C26" s="607">
        <f>SUM(C24:C25)</f>
        <v>618.25</v>
      </c>
      <c r="D26" s="608">
        <f>SUM(D24:D25)</f>
        <v>592.63</v>
      </c>
    </row>
    <row r="27" spans="1:4" ht="15" customHeight="1">
      <c r="A27" s="598"/>
      <c r="B27" s="599"/>
      <c r="C27" s="600"/>
      <c r="D27" s="601"/>
    </row>
    <row r="28" spans="1:4" ht="15" customHeight="1">
      <c r="A28" s="598" t="s">
        <v>699</v>
      </c>
      <c r="B28" s="599"/>
      <c r="C28" s="600"/>
      <c r="D28" s="601"/>
    </row>
    <row r="29" spans="1:4" ht="15" customHeight="1">
      <c r="A29" s="598" t="s">
        <v>700</v>
      </c>
      <c r="B29" s="599">
        <v>82</v>
      </c>
      <c r="C29" s="600">
        <v>82</v>
      </c>
      <c r="D29" s="601">
        <v>84.58</v>
      </c>
    </row>
    <row r="30" spans="1:4" ht="15" customHeight="1">
      <c r="A30" s="598" t="s">
        <v>701</v>
      </c>
      <c r="B30" s="599">
        <v>3</v>
      </c>
      <c r="C30" s="600">
        <v>3</v>
      </c>
      <c r="D30" s="601">
        <v>3</v>
      </c>
    </row>
    <row r="31" spans="1:4" ht="15" customHeight="1">
      <c r="A31" s="598" t="s">
        <v>702</v>
      </c>
      <c r="B31" s="599">
        <v>3</v>
      </c>
      <c r="C31" s="600">
        <v>3</v>
      </c>
      <c r="D31" s="601">
        <v>3.45</v>
      </c>
    </row>
    <row r="32" spans="1:4" s="612" customFormat="1" ht="15" customHeight="1">
      <c r="A32" s="609" t="s">
        <v>607</v>
      </c>
      <c r="B32" s="610">
        <f>SUM(B28:B31)</f>
        <v>88</v>
      </c>
      <c r="C32" s="610">
        <f>SUM(C28:C31)</f>
        <v>88</v>
      </c>
      <c r="D32" s="611">
        <f>SUM(D29:D31)</f>
        <v>91.03</v>
      </c>
    </row>
    <row r="33" spans="1:4" ht="15" customHeight="1">
      <c r="A33" s="598"/>
      <c r="B33" s="599"/>
      <c r="C33" s="600"/>
      <c r="D33" s="613"/>
    </row>
    <row r="34" spans="1:4" ht="15" customHeight="1">
      <c r="A34" s="614" t="s">
        <v>153</v>
      </c>
      <c r="B34" s="615">
        <f>SUM(B26+B32)</f>
        <v>711.25</v>
      </c>
      <c r="C34" s="615">
        <f>SUM(C26+C32)</f>
        <v>706.25</v>
      </c>
      <c r="D34" s="616">
        <f>SUM(D26+D32)</f>
        <v>683.66</v>
      </c>
    </row>
    <row r="35" spans="1:2" ht="18.75">
      <c r="A35" s="617"/>
      <c r="B35" s="618"/>
    </row>
    <row r="36" ht="15.75">
      <c r="A36" s="619"/>
    </row>
    <row r="37" spans="1:4" ht="14.25">
      <c r="A37" s="620" t="s">
        <v>703</v>
      </c>
      <c r="B37" s="620"/>
      <c r="C37" s="620"/>
      <c r="D37" s="620"/>
    </row>
    <row r="39" spans="1:4" ht="12.75">
      <c r="A39" s="621" t="s">
        <v>3</v>
      </c>
      <c r="B39" s="622" t="s">
        <v>704</v>
      </c>
      <c r="C39" s="622" t="s">
        <v>5</v>
      </c>
      <c r="D39" s="623" t="s">
        <v>6</v>
      </c>
    </row>
    <row r="40" spans="1:4" ht="12.75">
      <c r="A40" s="492" t="s">
        <v>705</v>
      </c>
      <c r="B40" s="624">
        <v>18</v>
      </c>
      <c r="C40" s="624">
        <v>16</v>
      </c>
      <c r="D40" s="625">
        <v>12</v>
      </c>
    </row>
    <row r="41" spans="1:4" ht="12.75">
      <c r="A41" s="492" t="s">
        <v>706</v>
      </c>
      <c r="B41" s="624">
        <v>57</v>
      </c>
      <c r="C41" s="624">
        <v>47</v>
      </c>
      <c r="D41" s="625">
        <v>11</v>
      </c>
    </row>
    <row r="42" spans="1:4" s="629" customFormat="1" ht="12.75">
      <c r="A42" s="626" t="s">
        <v>607</v>
      </c>
      <c r="B42" s="627">
        <f>SUM(B40:B41)</f>
        <v>75</v>
      </c>
      <c r="C42" s="627">
        <v>63</v>
      </c>
      <c r="D42" s="628">
        <v>23</v>
      </c>
    </row>
  </sheetData>
  <sheetProtection selectLockedCells="1" selectUnlockedCells="1"/>
  <mergeCells count="4">
    <mergeCell ref="A2:D2"/>
    <mergeCell ref="A4:A5"/>
    <mergeCell ref="B4:D4"/>
    <mergeCell ref="A37:D37"/>
  </mergeCells>
  <printOptions horizontalCentered="1"/>
  <pageMargins left="0.5513888888888889" right="0.4722222222222222" top="0.9847222222222222" bottom="0.9840277777777777" header="0.7902777777777777" footer="0.5118055555555555"/>
  <pageSetup horizontalDpi="300" verticalDpi="300" orientation="portrait" paperSize="9" scale="80"/>
  <headerFooter alignWithMargins="0">
    <oddHeader>&amp;L&amp;8 12. melléklet a 15/2012.(IV.27.)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L118"/>
  <sheetViews>
    <sheetView zoomScaleSheetLayoutView="100" workbookViewId="0" topLeftCell="A1">
      <selection activeCell="F109" sqref="F109"/>
    </sheetView>
  </sheetViews>
  <sheetFormatPr defaultColWidth="9.00390625" defaultRowHeight="12.75"/>
  <cols>
    <col min="6" max="6" width="13.00390625" style="0" customWidth="1"/>
    <col min="9" max="9" width="11.375" style="0" customWidth="1"/>
    <col min="10" max="10" width="11.25390625" style="0" customWidth="1"/>
  </cols>
  <sheetData>
    <row r="3" spans="1:10" ht="12.75" customHeight="1">
      <c r="A3" s="630" t="s">
        <v>707</v>
      </c>
      <c r="B3" s="630"/>
      <c r="C3" s="630"/>
      <c r="D3" s="630"/>
      <c r="E3" s="630"/>
      <c r="F3" s="630"/>
      <c r="G3" s="630"/>
      <c r="H3" s="630"/>
      <c r="I3" s="630"/>
      <c r="J3" s="630"/>
    </row>
    <row r="4" spans="1:10" ht="12.75" customHeight="1">
      <c r="A4" s="631" t="s">
        <v>708</v>
      </c>
      <c r="B4" s="631"/>
      <c r="C4" s="631"/>
      <c r="D4" s="631"/>
      <c r="E4" s="631"/>
      <c r="F4" s="631"/>
      <c r="G4" s="631"/>
      <c r="H4" s="631"/>
      <c r="I4" s="631"/>
      <c r="J4" s="631"/>
    </row>
    <row r="5" spans="1:10" ht="12.75">
      <c r="A5" s="631"/>
      <c r="B5" s="631"/>
      <c r="C5" s="631"/>
      <c r="D5" s="631"/>
      <c r="E5" s="631"/>
      <c r="F5" s="631"/>
      <c r="G5" s="631"/>
      <c r="H5" s="631"/>
      <c r="I5" s="631"/>
      <c r="J5" s="631"/>
    </row>
    <row r="6" spans="1:12" ht="13.5">
      <c r="A6" s="412"/>
      <c r="B6" s="412"/>
      <c r="C6" s="412"/>
      <c r="D6" s="412"/>
      <c r="E6" s="629" t="s">
        <v>709</v>
      </c>
      <c r="F6" s="412"/>
      <c r="G6" s="412"/>
      <c r="H6" s="412"/>
      <c r="I6" s="412"/>
      <c r="J6" s="412"/>
      <c r="L6" s="422"/>
    </row>
    <row r="7" spans="1:11" ht="27.75" customHeight="1">
      <c r="A7" s="632" t="s">
        <v>710</v>
      </c>
      <c r="B7" s="632"/>
      <c r="C7" s="632"/>
      <c r="D7" s="632"/>
      <c r="E7" s="632"/>
      <c r="F7" s="632"/>
      <c r="G7" s="633" t="s">
        <v>711</v>
      </c>
      <c r="H7" s="633" t="s">
        <v>4</v>
      </c>
      <c r="I7" s="187" t="s">
        <v>712</v>
      </c>
      <c r="J7" s="189" t="s">
        <v>6</v>
      </c>
      <c r="K7" s="180"/>
    </row>
    <row r="8" spans="1:11" ht="12.75">
      <c r="A8" s="634" t="s">
        <v>713</v>
      </c>
      <c r="B8" s="634"/>
      <c r="C8" s="634"/>
      <c r="D8" s="634"/>
      <c r="E8" s="634"/>
      <c r="F8" s="634"/>
      <c r="G8" s="635">
        <v>1</v>
      </c>
      <c r="H8" s="414"/>
      <c r="I8" s="414"/>
      <c r="J8" s="636">
        <v>6</v>
      </c>
      <c r="K8" s="180"/>
    </row>
    <row r="9" spans="1:11" ht="12.75">
      <c r="A9" s="634" t="s">
        <v>714</v>
      </c>
      <c r="B9" s="634"/>
      <c r="C9" s="634"/>
      <c r="D9" s="634"/>
      <c r="E9" s="634"/>
      <c r="F9" s="634"/>
      <c r="G9" s="635">
        <v>2</v>
      </c>
      <c r="H9" s="414">
        <v>816</v>
      </c>
      <c r="I9" s="414">
        <v>1187</v>
      </c>
      <c r="J9" s="636">
        <v>1109</v>
      </c>
      <c r="K9" s="180"/>
    </row>
    <row r="10" spans="1:11" ht="12.75">
      <c r="A10" s="637" t="s">
        <v>715</v>
      </c>
      <c r="B10" s="637"/>
      <c r="C10" s="637"/>
      <c r="D10" s="637"/>
      <c r="E10" s="637"/>
      <c r="F10" s="637"/>
      <c r="G10" s="635">
        <v>3</v>
      </c>
      <c r="H10" s="638">
        <v>816</v>
      </c>
      <c r="I10" s="638">
        <v>1187</v>
      </c>
      <c r="J10" s="639">
        <v>1115</v>
      </c>
      <c r="K10" s="180"/>
    </row>
    <row r="11" spans="1:11" ht="12.75">
      <c r="A11" s="637" t="s">
        <v>716</v>
      </c>
      <c r="B11" s="637"/>
      <c r="C11" s="637"/>
      <c r="D11" s="637"/>
      <c r="E11" s="637"/>
      <c r="F11" s="637"/>
      <c r="G11" s="635">
        <v>4</v>
      </c>
      <c r="H11" s="638">
        <v>816</v>
      </c>
      <c r="I11" s="638">
        <v>1187</v>
      </c>
      <c r="J11" s="639">
        <v>1115</v>
      </c>
      <c r="K11" s="180"/>
    </row>
    <row r="12" spans="1:11" ht="12.75">
      <c r="A12" s="637" t="s">
        <v>717</v>
      </c>
      <c r="B12" s="637"/>
      <c r="C12" s="637"/>
      <c r="D12" s="637"/>
      <c r="E12" s="637"/>
      <c r="F12" s="637"/>
      <c r="G12" s="635">
        <v>5</v>
      </c>
      <c r="H12" s="638">
        <v>816</v>
      </c>
      <c r="I12" s="638">
        <v>1187</v>
      </c>
      <c r="J12" s="639">
        <v>1115</v>
      </c>
      <c r="K12" s="180"/>
    </row>
    <row r="13" spans="1:11" ht="12.75">
      <c r="A13" s="634" t="s">
        <v>718</v>
      </c>
      <c r="B13" s="634"/>
      <c r="C13" s="634"/>
      <c r="D13" s="634"/>
      <c r="E13" s="634"/>
      <c r="F13" s="634"/>
      <c r="G13" s="635">
        <v>6</v>
      </c>
      <c r="H13" s="414">
        <v>566</v>
      </c>
      <c r="I13" s="414">
        <v>252</v>
      </c>
      <c r="J13" s="636">
        <v>252</v>
      </c>
      <c r="K13" s="180"/>
    </row>
    <row r="14" spans="1:11" ht="12.75">
      <c r="A14" s="640" t="s">
        <v>719</v>
      </c>
      <c r="B14" s="640"/>
      <c r="C14" s="640"/>
      <c r="D14" s="640"/>
      <c r="E14" s="640"/>
      <c r="F14" s="640"/>
      <c r="G14" s="635">
        <v>7</v>
      </c>
      <c r="H14" s="414">
        <v>250</v>
      </c>
      <c r="I14" s="414">
        <v>370</v>
      </c>
      <c r="J14" s="636">
        <v>370</v>
      </c>
      <c r="K14" s="180"/>
    </row>
    <row r="15" spans="1:11" ht="12.75">
      <c r="A15" s="634" t="s">
        <v>720</v>
      </c>
      <c r="B15" s="634"/>
      <c r="C15" s="634"/>
      <c r="D15" s="634"/>
      <c r="E15" s="634"/>
      <c r="F15" s="634"/>
      <c r="G15" s="635">
        <v>8</v>
      </c>
      <c r="H15" s="414"/>
      <c r="I15" s="414">
        <v>150</v>
      </c>
      <c r="J15" s="636">
        <v>150</v>
      </c>
      <c r="K15" s="180"/>
    </row>
    <row r="16" spans="1:11" ht="12.75">
      <c r="A16" s="634" t="s">
        <v>118</v>
      </c>
      <c r="B16" s="634"/>
      <c r="C16" s="634"/>
      <c r="D16" s="634"/>
      <c r="E16" s="634"/>
      <c r="F16" s="634"/>
      <c r="G16" s="635">
        <v>9</v>
      </c>
      <c r="H16" s="414"/>
      <c r="I16" s="414">
        <v>415</v>
      </c>
      <c r="J16" s="636">
        <v>415</v>
      </c>
      <c r="K16" s="180"/>
    </row>
    <row r="17" spans="1:11" ht="13.5">
      <c r="A17" s="641" t="s">
        <v>721</v>
      </c>
      <c r="B17" s="641"/>
      <c r="C17" s="641"/>
      <c r="D17" s="641"/>
      <c r="E17" s="641"/>
      <c r="F17" s="641"/>
      <c r="G17" s="642">
        <v>10</v>
      </c>
      <c r="H17" s="643">
        <v>816</v>
      </c>
      <c r="I17" s="643">
        <v>1187</v>
      </c>
      <c r="J17" s="644">
        <v>1187</v>
      </c>
      <c r="K17" s="645"/>
    </row>
    <row r="18" spans="1:11" ht="13.5">
      <c r="A18" s="646"/>
      <c r="B18" s="646"/>
      <c r="C18" s="646"/>
      <c r="D18" s="646"/>
      <c r="E18" s="646"/>
      <c r="F18" s="646"/>
      <c r="G18" s="646"/>
      <c r="H18" s="646"/>
      <c r="I18" s="646"/>
      <c r="J18" s="646"/>
      <c r="K18" s="180"/>
    </row>
    <row r="19" spans="1:11" ht="12.75">
      <c r="A19" s="646"/>
      <c r="B19" s="646"/>
      <c r="C19" s="646"/>
      <c r="D19" s="646"/>
      <c r="E19" s="646"/>
      <c r="F19" s="646"/>
      <c r="G19" s="646"/>
      <c r="H19" s="646"/>
      <c r="I19" s="646"/>
      <c r="J19" s="646"/>
      <c r="K19" s="180"/>
    </row>
    <row r="20" spans="1:10" ht="12.75">
      <c r="A20" s="412"/>
      <c r="B20" s="412"/>
      <c r="C20" s="412"/>
      <c r="D20" s="412"/>
      <c r="E20" s="412"/>
      <c r="F20" s="647" t="s">
        <v>103</v>
      </c>
      <c r="G20" s="647"/>
      <c r="H20" s="647" t="s">
        <v>103</v>
      </c>
      <c r="I20" s="412"/>
      <c r="J20" s="412"/>
    </row>
    <row r="21" spans="1:10" ht="12.75">
      <c r="A21" s="648" t="s">
        <v>722</v>
      </c>
      <c r="B21" s="649"/>
      <c r="C21" s="649"/>
      <c r="D21" s="412"/>
      <c r="E21" s="412"/>
      <c r="F21" s="413"/>
      <c r="G21" s="413"/>
      <c r="H21" s="413"/>
      <c r="I21" s="412"/>
      <c r="J21" s="412"/>
    </row>
    <row r="22" spans="1:10" ht="12.75">
      <c r="A22" s="412" t="s">
        <v>723</v>
      </c>
      <c r="B22" s="412"/>
      <c r="C22" s="650"/>
      <c r="D22" s="412"/>
      <c r="E22" s="412"/>
      <c r="F22" s="651">
        <v>429526</v>
      </c>
      <c r="G22" s="651"/>
      <c r="H22" s="651">
        <v>430</v>
      </c>
      <c r="I22" s="412"/>
      <c r="J22" s="412"/>
    </row>
    <row r="23" spans="1:10" ht="12.75">
      <c r="A23" s="412" t="s">
        <v>724</v>
      </c>
      <c r="B23" s="412"/>
      <c r="C23" s="412"/>
      <c r="D23" s="412"/>
      <c r="E23" s="412"/>
      <c r="F23" s="651">
        <v>1187780</v>
      </c>
      <c r="G23" s="651"/>
      <c r="H23" s="651">
        <v>1187</v>
      </c>
      <c r="I23" s="412"/>
      <c r="J23" s="412"/>
    </row>
    <row r="24" spans="1:10" ht="12.75">
      <c r="A24" s="412" t="s">
        <v>725</v>
      </c>
      <c r="B24" s="412"/>
      <c r="C24" s="412"/>
      <c r="D24" s="412"/>
      <c r="E24" s="412"/>
      <c r="F24" s="651">
        <v>-415526</v>
      </c>
      <c r="G24" s="651"/>
      <c r="H24" s="651">
        <v>-415</v>
      </c>
      <c r="I24" s="412"/>
      <c r="J24" s="412"/>
    </row>
    <row r="25" spans="1:10" ht="12.75">
      <c r="A25" s="412" t="s">
        <v>726</v>
      </c>
      <c r="B25" s="412"/>
      <c r="C25" s="412"/>
      <c r="D25" s="412"/>
      <c r="E25" s="412"/>
      <c r="F25" s="651">
        <v>-1114523</v>
      </c>
      <c r="G25" s="651"/>
      <c r="H25" s="651">
        <v>-1115</v>
      </c>
      <c r="I25" s="412"/>
      <c r="J25" s="412"/>
    </row>
    <row r="26" spans="1:10" ht="12.75">
      <c r="A26" s="629" t="s">
        <v>727</v>
      </c>
      <c r="B26" s="629"/>
      <c r="C26" s="629"/>
      <c r="D26" s="412"/>
      <c r="E26" s="412"/>
      <c r="F26" s="651">
        <v>87257</v>
      </c>
      <c r="G26" s="651"/>
      <c r="H26" s="651">
        <v>87</v>
      </c>
      <c r="I26" s="412"/>
      <c r="J26" s="412"/>
    </row>
    <row r="27" spans="1:10" ht="12.75">
      <c r="A27" s="412" t="s">
        <v>728</v>
      </c>
      <c r="B27" s="412"/>
      <c r="C27" s="412"/>
      <c r="D27" s="412"/>
      <c r="E27" s="412"/>
      <c r="F27" s="651" t="s">
        <v>709</v>
      </c>
      <c r="G27" s="651"/>
      <c r="H27" s="651" t="s">
        <v>709</v>
      </c>
      <c r="I27" s="412"/>
      <c r="J27" s="412"/>
    </row>
    <row r="28" spans="1:10" ht="12.75">
      <c r="A28" s="412" t="s">
        <v>729</v>
      </c>
      <c r="B28" s="412"/>
      <c r="C28" s="412"/>
      <c r="D28" s="412"/>
      <c r="E28" s="412"/>
      <c r="F28" s="651" t="s">
        <v>709</v>
      </c>
      <c r="G28" s="651"/>
      <c r="H28" s="651" t="s">
        <v>709</v>
      </c>
      <c r="I28" s="412"/>
      <c r="J28" s="412"/>
    </row>
    <row r="29" spans="1:10" ht="12.75">
      <c r="A29" s="629" t="s">
        <v>730</v>
      </c>
      <c r="B29" s="629"/>
      <c r="C29" s="629"/>
      <c r="D29" s="412"/>
      <c r="E29" s="412"/>
      <c r="F29" s="651">
        <v>87257</v>
      </c>
      <c r="G29" s="651"/>
      <c r="H29" s="651">
        <v>87</v>
      </c>
      <c r="I29" s="412"/>
      <c r="J29" s="412"/>
    </row>
    <row r="30" ht="12.75" hidden="1"/>
    <row r="31" ht="12.75" hidden="1"/>
    <row r="35" spans="1:10" ht="12.75">
      <c r="A35" s="630" t="s">
        <v>357</v>
      </c>
      <c r="B35" s="630"/>
      <c r="C35" s="630"/>
      <c r="D35" s="630"/>
      <c r="E35" s="630"/>
      <c r="F35" s="630"/>
      <c r="G35" s="630"/>
      <c r="H35" s="630"/>
      <c r="I35" s="630"/>
      <c r="J35" s="630"/>
    </row>
    <row r="36" spans="1:10" ht="12.75">
      <c r="A36" s="631" t="s">
        <v>708</v>
      </c>
      <c r="B36" s="631"/>
      <c r="C36" s="631"/>
      <c r="D36" s="631"/>
      <c r="E36" s="631"/>
      <c r="F36" s="631"/>
      <c r="G36" s="631"/>
      <c r="H36" s="631"/>
      <c r="I36" s="631"/>
      <c r="J36" s="631"/>
    </row>
    <row r="37" spans="1:10" ht="12.75">
      <c r="A37" s="631"/>
      <c r="B37" s="631"/>
      <c r="C37" s="631"/>
      <c r="D37" s="631"/>
      <c r="E37" s="631"/>
      <c r="F37" s="631"/>
      <c r="G37" s="631"/>
      <c r="H37" s="631"/>
      <c r="I37" s="631"/>
      <c r="J37" s="631"/>
    </row>
    <row r="38" spans="1:10" ht="13.5">
      <c r="A38" s="412"/>
      <c r="B38" s="412"/>
      <c r="C38" s="412"/>
      <c r="D38" s="412"/>
      <c r="E38" s="412"/>
      <c r="F38" s="412"/>
      <c r="G38" s="412"/>
      <c r="H38" s="412"/>
      <c r="I38" s="412"/>
      <c r="J38" s="412"/>
    </row>
    <row r="39" spans="1:12" ht="26.25" customHeight="1">
      <c r="A39" s="595" t="s">
        <v>3</v>
      </c>
      <c r="B39" s="595"/>
      <c r="C39" s="595"/>
      <c r="D39" s="595"/>
      <c r="E39" s="595"/>
      <c r="F39" s="595"/>
      <c r="G39" s="187" t="s">
        <v>711</v>
      </c>
      <c r="H39" s="187" t="s">
        <v>4</v>
      </c>
      <c r="I39" s="187" t="s">
        <v>712</v>
      </c>
      <c r="J39" s="596" t="s">
        <v>6</v>
      </c>
      <c r="K39" s="645"/>
      <c r="L39" s="180"/>
    </row>
    <row r="40" spans="1:12" ht="12.75">
      <c r="A40" s="634" t="s">
        <v>714</v>
      </c>
      <c r="B40" s="634"/>
      <c r="C40" s="634"/>
      <c r="D40" s="634"/>
      <c r="E40" s="634"/>
      <c r="F40" s="634"/>
      <c r="G40" s="635">
        <v>1</v>
      </c>
      <c r="H40" s="652">
        <v>816</v>
      </c>
      <c r="I40" s="652">
        <v>552</v>
      </c>
      <c r="J40" s="653">
        <v>528</v>
      </c>
      <c r="K40" s="180"/>
      <c r="L40" s="180"/>
    </row>
    <row r="41" spans="1:12" ht="12.75">
      <c r="A41" s="637" t="s">
        <v>715</v>
      </c>
      <c r="B41" s="637"/>
      <c r="C41" s="637"/>
      <c r="D41" s="637"/>
      <c r="E41" s="637"/>
      <c r="F41" s="637"/>
      <c r="G41" s="635">
        <v>2</v>
      </c>
      <c r="H41" s="654">
        <v>816</v>
      </c>
      <c r="I41" s="654">
        <v>552</v>
      </c>
      <c r="J41" s="655">
        <v>528</v>
      </c>
      <c r="K41" s="180"/>
      <c r="L41" s="180"/>
    </row>
    <row r="42" spans="1:12" ht="12.75">
      <c r="A42" s="637" t="s">
        <v>716</v>
      </c>
      <c r="B42" s="637"/>
      <c r="C42" s="637"/>
      <c r="D42" s="637"/>
      <c r="E42" s="637"/>
      <c r="F42" s="637"/>
      <c r="G42" s="635">
        <v>3</v>
      </c>
      <c r="H42" s="654">
        <v>816</v>
      </c>
      <c r="I42" s="654">
        <v>552</v>
      </c>
      <c r="J42" s="655">
        <v>528</v>
      </c>
      <c r="K42" s="180"/>
      <c r="L42" s="180"/>
    </row>
    <row r="43" spans="1:12" ht="12.75">
      <c r="A43" s="637" t="s">
        <v>731</v>
      </c>
      <c r="B43" s="637"/>
      <c r="C43" s="637"/>
      <c r="D43" s="637"/>
      <c r="E43" s="637"/>
      <c r="F43" s="637"/>
      <c r="G43" s="635">
        <v>4</v>
      </c>
      <c r="H43" s="654">
        <v>816</v>
      </c>
      <c r="I43" s="654">
        <v>552</v>
      </c>
      <c r="J43" s="655">
        <v>528</v>
      </c>
      <c r="K43" s="180"/>
      <c r="L43" s="180"/>
    </row>
    <row r="44" spans="1:12" ht="12.75">
      <c r="A44" s="640" t="s">
        <v>718</v>
      </c>
      <c r="B44" s="640"/>
      <c r="C44" s="640"/>
      <c r="D44" s="640"/>
      <c r="E44" s="640"/>
      <c r="F44" s="640"/>
      <c r="G44" s="635">
        <v>5</v>
      </c>
      <c r="H44" s="652">
        <v>566</v>
      </c>
      <c r="I44" s="652">
        <v>294</v>
      </c>
      <c r="J44" s="653">
        <v>295</v>
      </c>
      <c r="K44" s="180"/>
      <c r="L44" s="180"/>
    </row>
    <row r="45" spans="1:12" ht="12.75">
      <c r="A45" s="634" t="s">
        <v>719</v>
      </c>
      <c r="B45" s="634"/>
      <c r="C45" s="634"/>
      <c r="D45" s="634"/>
      <c r="E45" s="634"/>
      <c r="F45" s="634"/>
      <c r="G45" s="635">
        <v>6</v>
      </c>
      <c r="H45" s="652">
        <v>250</v>
      </c>
      <c r="I45" s="652">
        <v>250</v>
      </c>
      <c r="J45" s="653">
        <v>250</v>
      </c>
      <c r="K45" s="180"/>
      <c r="L45" s="180"/>
    </row>
    <row r="46" spans="1:12" ht="12.75">
      <c r="A46" s="634" t="s">
        <v>118</v>
      </c>
      <c r="B46" s="634"/>
      <c r="C46" s="634"/>
      <c r="D46" s="634"/>
      <c r="E46" s="634"/>
      <c r="F46" s="634"/>
      <c r="G46" s="635">
        <v>7</v>
      </c>
      <c r="H46" s="652"/>
      <c r="I46" s="652">
        <v>8</v>
      </c>
      <c r="J46" s="653">
        <v>8</v>
      </c>
      <c r="K46" s="180"/>
      <c r="L46" s="180"/>
    </row>
    <row r="47" spans="1:12" ht="13.5">
      <c r="A47" s="641" t="s">
        <v>721</v>
      </c>
      <c r="B47" s="641"/>
      <c r="C47" s="641"/>
      <c r="D47" s="641"/>
      <c r="E47" s="641"/>
      <c r="F47" s="641"/>
      <c r="G47" s="642">
        <v>8</v>
      </c>
      <c r="H47" s="656">
        <v>816</v>
      </c>
      <c r="I47" s="656">
        <v>552</v>
      </c>
      <c r="J47" s="657">
        <v>553</v>
      </c>
      <c r="K47" s="180"/>
      <c r="L47" s="180"/>
    </row>
    <row r="48" spans="1:12" ht="13.5">
      <c r="A48" s="646"/>
      <c r="B48" s="646"/>
      <c r="C48" s="646"/>
      <c r="D48" s="646"/>
      <c r="E48" s="646"/>
      <c r="F48" s="646"/>
      <c r="G48" s="646"/>
      <c r="H48" s="646"/>
      <c r="I48" s="646"/>
      <c r="J48" s="646"/>
      <c r="K48" s="180"/>
      <c r="L48" s="180"/>
    </row>
    <row r="49" spans="1:12" ht="12.75">
      <c r="A49" s="646"/>
      <c r="B49" s="646"/>
      <c r="C49" s="646"/>
      <c r="D49" s="646"/>
      <c r="E49" s="646"/>
      <c r="F49" s="646"/>
      <c r="G49" s="646"/>
      <c r="H49" s="646"/>
      <c r="I49" s="646"/>
      <c r="J49" s="646"/>
      <c r="K49" s="180"/>
      <c r="L49" s="180"/>
    </row>
    <row r="50" spans="1:10" ht="12.75">
      <c r="A50" s="646"/>
      <c r="B50" s="646"/>
      <c r="C50" s="646"/>
      <c r="D50" s="646"/>
      <c r="E50" s="646"/>
      <c r="F50" s="658" t="s">
        <v>103</v>
      </c>
      <c r="G50" s="658"/>
      <c r="H50" s="658" t="s">
        <v>103</v>
      </c>
      <c r="I50" s="646"/>
      <c r="J50" s="646"/>
    </row>
    <row r="51" spans="1:10" ht="12.75">
      <c r="A51" s="629" t="s">
        <v>732</v>
      </c>
      <c r="B51" s="629"/>
      <c r="C51" s="629"/>
      <c r="D51" s="412"/>
      <c r="E51" s="412"/>
      <c r="F51" s="412"/>
      <c r="G51" s="412"/>
      <c r="H51" s="659" t="s">
        <v>709</v>
      </c>
      <c r="I51" s="412"/>
      <c r="J51" s="412"/>
    </row>
    <row r="52" spans="1:10" ht="12.75">
      <c r="A52" s="412" t="s">
        <v>723</v>
      </c>
      <c r="B52" s="412"/>
      <c r="C52" s="412"/>
      <c r="D52" s="412"/>
      <c r="E52" s="412"/>
      <c r="F52" s="651">
        <v>11596</v>
      </c>
      <c r="G52" s="660"/>
      <c r="H52" s="660">
        <v>11</v>
      </c>
      <c r="I52" s="412"/>
      <c r="J52" s="412"/>
    </row>
    <row r="53" spans="1:10" ht="12.75">
      <c r="A53" s="412" t="s">
        <v>724</v>
      </c>
      <c r="B53" s="412"/>
      <c r="C53" s="412"/>
      <c r="D53" s="412"/>
      <c r="E53" s="412"/>
      <c r="F53" s="651">
        <v>552867</v>
      </c>
      <c r="G53" s="660"/>
      <c r="H53" s="660">
        <v>553</v>
      </c>
      <c r="I53" s="412"/>
      <c r="J53" s="412"/>
    </row>
    <row r="54" spans="1:10" ht="12.75">
      <c r="A54" s="412" t="s">
        <v>725</v>
      </c>
      <c r="B54" s="412"/>
      <c r="C54" s="412"/>
      <c r="D54" s="412"/>
      <c r="E54" s="412"/>
      <c r="F54" s="651">
        <v>-7894</v>
      </c>
      <c r="G54" s="660"/>
      <c r="H54" s="660">
        <v>-8</v>
      </c>
      <c r="I54" s="412"/>
      <c r="J54" s="412"/>
    </row>
    <row r="55" spans="1:10" ht="12.75">
      <c r="A55" s="412" t="s">
        <v>726</v>
      </c>
      <c r="B55" s="412"/>
      <c r="C55" s="412"/>
      <c r="D55" s="412"/>
      <c r="E55" s="412"/>
      <c r="F55" s="651">
        <v>-528148</v>
      </c>
      <c r="G55" s="660"/>
      <c r="H55" s="660">
        <v>-528</v>
      </c>
      <c r="I55" s="412"/>
      <c r="J55" s="412"/>
    </row>
    <row r="56" spans="1:10" ht="12.75">
      <c r="A56" s="629" t="s">
        <v>727</v>
      </c>
      <c r="B56" s="629"/>
      <c r="C56" s="412"/>
      <c r="D56" s="412"/>
      <c r="E56" s="412"/>
      <c r="F56" s="651">
        <v>28421</v>
      </c>
      <c r="G56" s="660"/>
      <c r="H56" s="660">
        <v>28</v>
      </c>
      <c r="I56" s="412"/>
      <c r="J56" s="412"/>
    </row>
    <row r="57" spans="1:10" ht="12.75">
      <c r="A57" s="412" t="s">
        <v>728</v>
      </c>
      <c r="B57" s="412"/>
      <c r="C57" s="412"/>
      <c r="D57" s="412"/>
      <c r="E57" s="412"/>
      <c r="F57" s="660"/>
      <c r="G57" s="660"/>
      <c r="H57" s="660"/>
      <c r="I57" s="412"/>
      <c r="J57" s="412"/>
    </row>
    <row r="58" spans="1:10" ht="12.75">
      <c r="A58" s="412" t="s">
        <v>733</v>
      </c>
      <c r="B58" s="412" t="s">
        <v>734</v>
      </c>
      <c r="C58" s="412"/>
      <c r="D58" s="412"/>
      <c r="E58" s="412"/>
      <c r="F58" s="660" t="s">
        <v>709</v>
      </c>
      <c r="G58" s="660"/>
      <c r="H58" s="660" t="s">
        <v>709</v>
      </c>
      <c r="I58" s="412"/>
      <c r="J58" s="412"/>
    </row>
    <row r="59" spans="1:10" ht="12.75">
      <c r="A59" s="629" t="s">
        <v>735</v>
      </c>
      <c r="B59" s="629"/>
      <c r="C59" s="629"/>
      <c r="D59" s="412"/>
      <c r="E59" s="412"/>
      <c r="F59" s="651">
        <v>28421</v>
      </c>
      <c r="G59" s="660"/>
      <c r="H59" s="660">
        <v>28</v>
      </c>
      <c r="I59" s="412"/>
      <c r="J59" s="412"/>
    </row>
    <row r="60" spans="1:10" ht="12.75">
      <c r="A60" s="412"/>
      <c r="B60" s="412"/>
      <c r="C60" s="412"/>
      <c r="D60" s="412"/>
      <c r="E60" s="412"/>
      <c r="F60" s="412"/>
      <c r="G60" s="412"/>
      <c r="H60" s="412"/>
      <c r="I60" s="412"/>
      <c r="J60" s="412"/>
    </row>
    <row r="61" spans="1:10" ht="12.75">
      <c r="A61" s="412"/>
      <c r="B61" s="412"/>
      <c r="C61" s="412"/>
      <c r="D61" s="412"/>
      <c r="E61" s="412"/>
      <c r="F61" s="412"/>
      <c r="G61" s="412"/>
      <c r="H61" s="412"/>
      <c r="I61" s="412"/>
      <c r="J61" s="412"/>
    </row>
    <row r="62" spans="1:7" s="659" customFormat="1" ht="12.75">
      <c r="A62" s="659" t="s">
        <v>736</v>
      </c>
      <c r="E62" s="630" t="s">
        <v>356</v>
      </c>
      <c r="F62" s="630"/>
      <c r="G62" s="630"/>
    </row>
    <row r="63" spans="1:10" ht="12.75">
      <c r="A63" s="412"/>
      <c r="B63" s="412"/>
      <c r="C63" s="412"/>
      <c r="D63" s="412"/>
      <c r="E63" s="661" t="s">
        <v>737</v>
      </c>
      <c r="F63" s="661"/>
      <c r="G63" s="412"/>
      <c r="H63" s="412"/>
      <c r="I63" s="412"/>
      <c r="J63" s="412"/>
    </row>
    <row r="64" spans="1:10" ht="12.75">
      <c r="A64" s="412"/>
      <c r="B64" s="412"/>
      <c r="C64" s="412"/>
      <c r="D64" s="412"/>
      <c r="E64" s="662"/>
      <c r="F64" s="412"/>
      <c r="G64" s="412"/>
      <c r="H64" s="412"/>
      <c r="I64" s="412"/>
      <c r="J64" s="412"/>
    </row>
    <row r="65" spans="1:10" ht="13.5">
      <c r="A65" s="631" t="s">
        <v>738</v>
      </c>
      <c r="B65" s="631"/>
      <c r="C65" s="631"/>
      <c r="D65" s="631"/>
      <c r="E65" s="631"/>
      <c r="F65" s="631"/>
      <c r="G65" s="631"/>
      <c r="H65" s="631"/>
      <c r="I65" s="631"/>
      <c r="J65" s="631"/>
    </row>
    <row r="66" spans="1:10" ht="26.25">
      <c r="A66" s="632" t="s">
        <v>710</v>
      </c>
      <c r="B66" s="632"/>
      <c r="C66" s="632"/>
      <c r="D66" s="632"/>
      <c r="E66" s="632"/>
      <c r="F66" s="632"/>
      <c r="G66" s="633" t="s">
        <v>711</v>
      </c>
      <c r="H66" s="633" t="s">
        <v>4</v>
      </c>
      <c r="I66" s="187" t="s">
        <v>712</v>
      </c>
      <c r="J66" s="189" t="s">
        <v>6</v>
      </c>
    </row>
    <row r="67" spans="1:10" ht="12.75">
      <c r="A67" s="634" t="s">
        <v>714</v>
      </c>
      <c r="B67" s="634"/>
      <c r="C67" s="634"/>
      <c r="D67" s="634"/>
      <c r="E67" s="634"/>
      <c r="F67" s="634"/>
      <c r="G67" s="635">
        <v>1</v>
      </c>
      <c r="H67" s="652">
        <v>816</v>
      </c>
      <c r="I67" s="652">
        <v>946</v>
      </c>
      <c r="J67" s="653">
        <v>858</v>
      </c>
    </row>
    <row r="68" spans="1:10" ht="12.75">
      <c r="A68" s="637" t="s">
        <v>715</v>
      </c>
      <c r="B68" s="637"/>
      <c r="C68" s="637"/>
      <c r="D68" s="637"/>
      <c r="E68" s="637"/>
      <c r="F68" s="637"/>
      <c r="G68" s="635">
        <v>2</v>
      </c>
      <c r="H68" s="654">
        <v>816</v>
      </c>
      <c r="I68" s="654">
        <v>946</v>
      </c>
      <c r="J68" s="655">
        <v>858</v>
      </c>
    </row>
    <row r="69" spans="1:10" ht="12.75">
      <c r="A69" s="637" t="s">
        <v>739</v>
      </c>
      <c r="B69" s="637"/>
      <c r="C69" s="637"/>
      <c r="D69" s="637"/>
      <c r="E69" s="637"/>
      <c r="F69" s="637"/>
      <c r="G69" s="635">
        <v>3</v>
      </c>
      <c r="H69" s="654">
        <v>816</v>
      </c>
      <c r="I69" s="654">
        <v>946</v>
      </c>
      <c r="J69" s="655">
        <v>858</v>
      </c>
    </row>
    <row r="70" spans="1:10" ht="12.75">
      <c r="A70" s="637" t="s">
        <v>740</v>
      </c>
      <c r="B70" s="637"/>
      <c r="C70" s="637"/>
      <c r="D70" s="637"/>
      <c r="E70" s="637"/>
      <c r="F70" s="637"/>
      <c r="G70" s="635">
        <v>4</v>
      </c>
      <c r="H70" s="654">
        <v>816</v>
      </c>
      <c r="I70" s="654">
        <v>946</v>
      </c>
      <c r="J70" s="655">
        <v>858</v>
      </c>
    </row>
    <row r="71" spans="1:10" ht="12.75">
      <c r="A71" s="640" t="s">
        <v>741</v>
      </c>
      <c r="B71" s="640"/>
      <c r="C71" s="640"/>
      <c r="D71" s="640"/>
      <c r="E71" s="640"/>
      <c r="F71" s="640"/>
      <c r="G71" s="635">
        <v>5</v>
      </c>
      <c r="H71" s="652">
        <v>566</v>
      </c>
      <c r="I71" s="652">
        <v>679</v>
      </c>
      <c r="J71" s="653">
        <v>680</v>
      </c>
    </row>
    <row r="72" spans="1:10" ht="12.75">
      <c r="A72" s="634" t="s">
        <v>719</v>
      </c>
      <c r="B72" s="634"/>
      <c r="C72" s="634"/>
      <c r="D72" s="634"/>
      <c r="E72" s="634"/>
      <c r="F72" s="634"/>
      <c r="G72" s="635">
        <v>6</v>
      </c>
      <c r="H72" s="652">
        <v>250</v>
      </c>
      <c r="I72" s="652">
        <v>250</v>
      </c>
      <c r="J72" s="653">
        <v>250</v>
      </c>
    </row>
    <row r="73" spans="1:10" ht="12.75">
      <c r="A73" s="634" t="s">
        <v>118</v>
      </c>
      <c r="B73" s="634"/>
      <c r="C73" s="634"/>
      <c r="D73" s="634"/>
      <c r="E73" s="634"/>
      <c r="F73" s="634"/>
      <c r="G73" s="635">
        <v>7</v>
      </c>
      <c r="H73" s="652"/>
      <c r="I73" s="652">
        <v>17</v>
      </c>
      <c r="J73" s="653">
        <v>17</v>
      </c>
    </row>
    <row r="74" spans="1:10" ht="13.5">
      <c r="A74" s="641" t="s">
        <v>721</v>
      </c>
      <c r="B74" s="641"/>
      <c r="C74" s="641"/>
      <c r="D74" s="641"/>
      <c r="E74" s="641"/>
      <c r="F74" s="641"/>
      <c r="G74" s="642">
        <v>8</v>
      </c>
      <c r="H74" s="656">
        <v>816</v>
      </c>
      <c r="I74" s="656">
        <v>946</v>
      </c>
      <c r="J74" s="657">
        <v>947</v>
      </c>
    </row>
    <row r="75" spans="1:10" ht="13.5">
      <c r="A75" s="646"/>
      <c r="B75" s="646"/>
      <c r="C75" s="646"/>
      <c r="D75" s="646"/>
      <c r="E75" s="646"/>
      <c r="F75" s="646"/>
      <c r="G75" s="646"/>
      <c r="H75" s="646"/>
      <c r="I75" s="646"/>
      <c r="J75" s="646"/>
    </row>
    <row r="76" spans="1:10" ht="12.75">
      <c r="A76" s="646"/>
      <c r="B76" s="646"/>
      <c r="C76" s="646"/>
      <c r="D76" s="646"/>
      <c r="E76" s="646"/>
      <c r="F76" s="646"/>
      <c r="G76" s="646"/>
      <c r="H76" s="646"/>
      <c r="I76" s="646"/>
      <c r="J76" s="646"/>
    </row>
    <row r="77" spans="1:10" ht="12.75">
      <c r="A77" s="412"/>
      <c r="B77" s="412"/>
      <c r="C77" s="412"/>
      <c r="D77" s="412"/>
      <c r="E77" s="412"/>
      <c r="F77" s="647" t="s">
        <v>103</v>
      </c>
      <c r="G77" s="647"/>
      <c r="H77" s="647" t="s">
        <v>103</v>
      </c>
      <c r="I77" s="412"/>
      <c r="J77" s="412"/>
    </row>
    <row r="78" spans="1:10" ht="12.75">
      <c r="A78" s="648" t="s">
        <v>742</v>
      </c>
      <c r="B78" s="649"/>
      <c r="C78" s="649"/>
      <c r="D78" s="412"/>
      <c r="E78" s="412"/>
      <c r="F78" s="412"/>
      <c r="G78" s="412"/>
      <c r="H78" s="412"/>
      <c r="I78" s="412"/>
      <c r="J78" s="412"/>
    </row>
    <row r="79" spans="1:10" ht="12.75">
      <c r="A79" s="412" t="s">
        <v>723</v>
      </c>
      <c r="B79" s="412"/>
      <c r="C79" s="412"/>
      <c r="D79" s="412"/>
      <c r="E79" s="412"/>
      <c r="F79" s="663">
        <v>17086</v>
      </c>
      <c r="G79" s="664"/>
      <c r="H79" s="664">
        <v>17</v>
      </c>
      <c r="I79" s="412"/>
      <c r="J79" s="412"/>
    </row>
    <row r="80" spans="1:10" ht="12.75">
      <c r="A80" s="412" t="s">
        <v>724</v>
      </c>
      <c r="B80" s="412"/>
      <c r="C80" s="412"/>
      <c r="D80" s="412"/>
      <c r="E80" s="412"/>
      <c r="F80" s="663">
        <v>946504</v>
      </c>
      <c r="G80" s="664"/>
      <c r="H80" s="664">
        <v>947</v>
      </c>
      <c r="I80" s="412"/>
      <c r="J80" s="412"/>
    </row>
    <row r="81" spans="1:10" ht="12.75">
      <c r="A81" s="412" t="s">
        <v>725</v>
      </c>
      <c r="B81" s="412"/>
      <c r="C81" s="412"/>
      <c r="D81" s="412"/>
      <c r="E81" s="412"/>
      <c r="F81" s="663">
        <v>-17086</v>
      </c>
      <c r="G81" s="664"/>
      <c r="H81" s="664">
        <v>-17</v>
      </c>
      <c r="I81" s="412"/>
      <c r="J81" s="412"/>
    </row>
    <row r="82" spans="1:10" ht="12.75">
      <c r="A82" s="412" t="s">
        <v>726</v>
      </c>
      <c r="B82" s="412"/>
      <c r="C82" s="412"/>
      <c r="D82" s="412"/>
      <c r="E82" s="412"/>
      <c r="F82" s="663">
        <v>-857705</v>
      </c>
      <c r="G82" s="664"/>
      <c r="H82" s="664">
        <v>-858</v>
      </c>
      <c r="I82" s="412"/>
      <c r="J82" s="412"/>
    </row>
    <row r="83" spans="1:10" ht="12.75">
      <c r="A83" s="629" t="s">
        <v>727</v>
      </c>
      <c r="B83" s="629"/>
      <c r="C83" s="629"/>
      <c r="D83" s="412"/>
      <c r="E83" s="412"/>
      <c r="F83" s="663">
        <v>88799</v>
      </c>
      <c r="G83" s="664"/>
      <c r="H83" s="664">
        <v>89</v>
      </c>
      <c r="I83" s="412"/>
      <c r="J83" s="412"/>
    </row>
    <row r="84" spans="1:10" ht="12.75">
      <c r="A84" s="412" t="s">
        <v>728</v>
      </c>
      <c r="B84" s="412"/>
      <c r="C84" s="412"/>
      <c r="D84" s="412"/>
      <c r="E84" s="412"/>
      <c r="F84" s="664"/>
      <c r="G84" s="664"/>
      <c r="H84" s="664"/>
      <c r="I84" s="412"/>
      <c r="J84" s="412"/>
    </row>
    <row r="85" spans="1:10" ht="12.75">
      <c r="A85" s="412" t="s">
        <v>729</v>
      </c>
      <c r="B85" s="412"/>
      <c r="C85" s="412"/>
      <c r="D85" s="412"/>
      <c r="E85" s="412"/>
      <c r="F85" s="664" t="s">
        <v>709</v>
      </c>
      <c r="G85" s="664"/>
      <c r="H85" s="664" t="s">
        <v>709</v>
      </c>
      <c r="I85" s="412"/>
      <c r="J85" s="412"/>
    </row>
    <row r="86" spans="1:10" ht="12.75">
      <c r="A86" s="629" t="s">
        <v>735</v>
      </c>
      <c r="B86" s="629"/>
      <c r="C86" s="629"/>
      <c r="D86" s="412"/>
      <c r="E86" s="412"/>
      <c r="F86" s="663">
        <v>88799</v>
      </c>
      <c r="G86" s="664"/>
      <c r="H86" s="664">
        <v>89</v>
      </c>
      <c r="I86" s="412"/>
      <c r="J86" s="412"/>
    </row>
    <row r="87" spans="1:10" ht="12.75">
      <c r="A87" s="629"/>
      <c r="B87" s="629"/>
      <c r="C87" s="629"/>
      <c r="D87" s="412"/>
      <c r="E87" s="412"/>
      <c r="F87" s="659"/>
      <c r="G87" s="412"/>
      <c r="H87" s="660"/>
      <c r="I87" s="412"/>
      <c r="J87" s="412"/>
    </row>
    <row r="88" spans="1:10" ht="12.75">
      <c r="A88" s="629"/>
      <c r="B88" s="629"/>
      <c r="C88" s="629"/>
      <c r="D88" s="412"/>
      <c r="E88" s="412"/>
      <c r="F88" s="659"/>
      <c r="G88" s="412"/>
      <c r="H88" s="660"/>
      <c r="I88" s="412"/>
      <c r="J88" s="412"/>
    </row>
    <row r="89" spans="1:10" ht="12.75">
      <c r="A89" s="412"/>
      <c r="B89" s="412"/>
      <c r="C89" s="412"/>
      <c r="D89" s="412"/>
      <c r="E89" s="412"/>
      <c r="F89" s="412"/>
      <c r="G89" s="412"/>
      <c r="H89" s="412"/>
      <c r="I89" s="412"/>
      <c r="J89" s="412"/>
    </row>
    <row r="90" spans="1:10" ht="12.75">
      <c r="A90" s="412"/>
      <c r="B90" s="412"/>
      <c r="C90" s="412"/>
      <c r="D90" s="412"/>
      <c r="E90" s="412"/>
      <c r="F90" s="412"/>
      <c r="G90" s="412"/>
      <c r="H90" s="412"/>
      <c r="I90" s="412"/>
      <c r="J90" s="412"/>
    </row>
    <row r="91" spans="1:10" ht="12.75">
      <c r="A91" s="412"/>
      <c r="B91" s="412"/>
      <c r="C91" s="412"/>
      <c r="D91" s="412"/>
      <c r="E91" s="412"/>
      <c r="F91" s="412"/>
      <c r="G91" s="412"/>
      <c r="H91" s="412"/>
      <c r="I91" s="412"/>
      <c r="J91" s="412"/>
    </row>
    <row r="92" spans="1:10" ht="12.75">
      <c r="A92" s="630" t="s">
        <v>743</v>
      </c>
      <c r="B92" s="630"/>
      <c r="C92" s="630"/>
      <c r="D92" s="630"/>
      <c r="E92" s="630"/>
      <c r="F92" s="630"/>
      <c r="G92" s="630"/>
      <c r="H92" s="630"/>
      <c r="I92" s="630"/>
      <c r="J92" s="630"/>
    </row>
    <row r="93" spans="1:10" ht="12.75">
      <c r="A93" s="631" t="s">
        <v>708</v>
      </c>
      <c r="B93" s="631"/>
      <c r="C93" s="631"/>
      <c r="D93" s="631"/>
      <c r="E93" s="631"/>
      <c r="F93" s="631"/>
      <c r="G93" s="631"/>
      <c r="H93" s="631"/>
      <c r="I93" s="631"/>
      <c r="J93" s="631"/>
    </row>
    <row r="94" spans="1:10" ht="12.75">
      <c r="A94" s="412"/>
      <c r="B94" s="412"/>
      <c r="C94" s="412"/>
      <c r="D94" s="412"/>
      <c r="E94" s="412"/>
      <c r="F94" s="412"/>
      <c r="G94" s="412"/>
      <c r="H94" s="412"/>
      <c r="I94" s="412"/>
      <c r="J94" s="412"/>
    </row>
    <row r="95" spans="1:10" ht="13.5">
      <c r="A95" s="412"/>
      <c r="B95" s="412"/>
      <c r="C95" s="412"/>
      <c r="D95" s="412"/>
      <c r="E95" s="412"/>
      <c r="F95" s="412"/>
      <c r="G95" s="412"/>
      <c r="H95" s="412"/>
      <c r="I95" s="412"/>
      <c r="J95" s="412"/>
    </row>
    <row r="96" spans="1:10" ht="26.25" customHeight="1">
      <c r="A96" s="595" t="s">
        <v>3</v>
      </c>
      <c r="B96" s="595"/>
      <c r="C96" s="595"/>
      <c r="D96" s="595"/>
      <c r="E96" s="595"/>
      <c r="F96" s="595"/>
      <c r="G96" s="187" t="s">
        <v>711</v>
      </c>
      <c r="H96" s="187" t="s">
        <v>4</v>
      </c>
      <c r="I96" s="187" t="s">
        <v>712</v>
      </c>
      <c r="J96" s="596" t="s">
        <v>6</v>
      </c>
    </row>
    <row r="97" spans="1:10" ht="12.75">
      <c r="A97" s="634" t="s">
        <v>713</v>
      </c>
      <c r="B97" s="634"/>
      <c r="C97" s="634"/>
      <c r="D97" s="634"/>
      <c r="E97" s="634"/>
      <c r="F97" s="634"/>
      <c r="G97" s="635">
        <v>1</v>
      </c>
      <c r="H97" s="414"/>
      <c r="I97" s="414"/>
      <c r="J97" s="636">
        <v>6</v>
      </c>
    </row>
    <row r="98" spans="1:10" ht="12.75">
      <c r="A98" s="634" t="s">
        <v>714</v>
      </c>
      <c r="B98" s="634"/>
      <c r="C98" s="634"/>
      <c r="D98" s="634"/>
      <c r="E98" s="634"/>
      <c r="F98" s="634"/>
      <c r="G98" s="635">
        <v>2</v>
      </c>
      <c r="H98" s="414">
        <v>2448</v>
      </c>
      <c r="I98" s="414">
        <v>2685</v>
      </c>
      <c r="J98" s="636">
        <v>2495</v>
      </c>
    </row>
    <row r="99" spans="1:10" ht="12.75">
      <c r="A99" s="637" t="s">
        <v>715</v>
      </c>
      <c r="B99" s="637"/>
      <c r="C99" s="637"/>
      <c r="D99" s="637"/>
      <c r="E99" s="637"/>
      <c r="F99" s="637"/>
      <c r="G99" s="635">
        <v>3</v>
      </c>
      <c r="H99" s="638">
        <v>2448</v>
      </c>
      <c r="I99" s="638">
        <v>2685</v>
      </c>
      <c r="J99" s="639">
        <v>2501</v>
      </c>
    </row>
    <row r="100" spans="1:10" ht="12.75">
      <c r="A100" s="637" t="s">
        <v>716</v>
      </c>
      <c r="B100" s="637"/>
      <c r="C100" s="637"/>
      <c r="D100" s="637"/>
      <c r="E100" s="637"/>
      <c r="F100" s="637"/>
      <c r="G100" s="635">
        <v>4</v>
      </c>
      <c r="H100" s="638">
        <v>2448</v>
      </c>
      <c r="I100" s="638">
        <v>2685</v>
      </c>
      <c r="J100" s="639">
        <v>2501</v>
      </c>
    </row>
    <row r="101" spans="1:10" ht="12.75">
      <c r="A101" s="637" t="s">
        <v>744</v>
      </c>
      <c r="B101" s="637"/>
      <c r="C101" s="637"/>
      <c r="D101" s="637"/>
      <c r="E101" s="637"/>
      <c r="F101" s="637"/>
      <c r="G101" s="635">
        <v>5</v>
      </c>
      <c r="H101" s="638">
        <v>2448</v>
      </c>
      <c r="I101" s="638">
        <v>2685</v>
      </c>
      <c r="J101" s="639">
        <v>2501</v>
      </c>
    </row>
    <row r="102" spans="1:10" ht="12.75">
      <c r="A102" s="640" t="s">
        <v>718</v>
      </c>
      <c r="B102" s="640"/>
      <c r="C102" s="640"/>
      <c r="D102" s="640"/>
      <c r="E102" s="640"/>
      <c r="F102" s="640"/>
      <c r="G102" s="635">
        <v>6</v>
      </c>
      <c r="H102" s="414">
        <v>1698</v>
      </c>
      <c r="I102" s="414">
        <v>1225</v>
      </c>
      <c r="J102" s="636">
        <v>1227</v>
      </c>
    </row>
    <row r="103" spans="1:10" ht="12.75">
      <c r="A103" s="640" t="s">
        <v>719</v>
      </c>
      <c r="B103" s="640"/>
      <c r="C103" s="640"/>
      <c r="D103" s="640"/>
      <c r="E103" s="640"/>
      <c r="F103" s="640"/>
      <c r="G103" s="635">
        <v>7</v>
      </c>
      <c r="H103" s="414">
        <v>750</v>
      </c>
      <c r="I103" s="414">
        <v>870</v>
      </c>
      <c r="J103" s="636">
        <v>870</v>
      </c>
    </row>
    <row r="104" spans="1:10" ht="12.75">
      <c r="A104" s="640" t="s">
        <v>745</v>
      </c>
      <c r="B104" s="640"/>
      <c r="C104" s="640"/>
      <c r="D104" s="640"/>
      <c r="E104" s="640"/>
      <c r="F104" s="640"/>
      <c r="G104" s="635">
        <v>8</v>
      </c>
      <c r="H104" s="414"/>
      <c r="I104" s="414">
        <v>150</v>
      </c>
      <c r="J104" s="636">
        <v>150</v>
      </c>
    </row>
    <row r="105" spans="1:10" ht="12.75">
      <c r="A105" s="634" t="s">
        <v>118</v>
      </c>
      <c r="B105" s="634"/>
      <c r="C105" s="634"/>
      <c r="D105" s="634"/>
      <c r="E105" s="634"/>
      <c r="F105" s="634"/>
      <c r="G105" s="635">
        <v>9</v>
      </c>
      <c r="H105" s="414"/>
      <c r="I105" s="414">
        <v>440</v>
      </c>
      <c r="J105" s="636">
        <v>440</v>
      </c>
    </row>
    <row r="106" spans="1:10" ht="13.5">
      <c r="A106" s="641" t="s">
        <v>721</v>
      </c>
      <c r="B106" s="641"/>
      <c r="C106" s="641"/>
      <c r="D106" s="641"/>
      <c r="E106" s="641"/>
      <c r="F106" s="641"/>
      <c r="G106" s="642">
        <v>10</v>
      </c>
      <c r="H106" s="643">
        <v>2448</v>
      </c>
      <c r="I106" s="643">
        <v>2685</v>
      </c>
      <c r="J106" s="644">
        <v>2687</v>
      </c>
    </row>
    <row r="107" spans="1:10" ht="13.5">
      <c r="A107" s="646"/>
      <c r="B107" s="646"/>
      <c r="C107" s="646"/>
      <c r="D107" s="646"/>
      <c r="E107" s="646"/>
      <c r="F107" s="646"/>
      <c r="G107" s="646"/>
      <c r="H107" s="646"/>
      <c r="I107" s="646"/>
      <c r="J107" s="646"/>
    </row>
    <row r="108" spans="1:10" ht="12.75">
      <c r="A108" s="646"/>
      <c r="B108" s="646"/>
      <c r="C108" s="646"/>
      <c r="D108" s="646"/>
      <c r="E108" s="646"/>
      <c r="F108" s="646"/>
      <c r="G108" s="646"/>
      <c r="H108" s="646"/>
      <c r="I108" s="646"/>
      <c r="J108" s="646"/>
    </row>
    <row r="109" spans="1:10" ht="12.75">
      <c r="A109" s="646"/>
      <c r="B109" s="646"/>
      <c r="C109" s="646"/>
      <c r="D109" s="646"/>
      <c r="E109" s="646"/>
      <c r="F109" s="658" t="s">
        <v>103</v>
      </c>
      <c r="G109" s="658"/>
      <c r="H109" s="658" t="s">
        <v>746</v>
      </c>
      <c r="I109" s="665"/>
      <c r="J109" s="646"/>
    </row>
    <row r="110" spans="1:10" ht="12.75">
      <c r="A110" s="629" t="s">
        <v>742</v>
      </c>
      <c r="B110" s="629"/>
      <c r="C110" s="629"/>
      <c r="D110" s="412"/>
      <c r="E110" s="412"/>
      <c r="F110" s="412"/>
      <c r="G110" s="412"/>
      <c r="H110" s="660" t="s">
        <v>709</v>
      </c>
      <c r="I110" s="412"/>
      <c r="J110" s="412"/>
    </row>
    <row r="111" spans="1:10" ht="12.75">
      <c r="A111" s="412" t="s">
        <v>723</v>
      </c>
      <c r="B111" s="412"/>
      <c r="C111" s="412"/>
      <c r="D111" s="412"/>
      <c r="E111" s="412"/>
      <c r="F111" s="663">
        <v>458208</v>
      </c>
      <c r="G111" s="664"/>
      <c r="H111" s="664">
        <v>458</v>
      </c>
      <c r="I111" s="412"/>
      <c r="J111" s="412"/>
    </row>
    <row r="112" spans="1:10" ht="12.75">
      <c r="A112" s="412" t="s">
        <v>724</v>
      </c>
      <c r="B112" s="412"/>
      <c r="C112" s="412"/>
      <c r="D112" s="412"/>
      <c r="E112" s="412"/>
      <c r="F112" s="663">
        <v>2268151</v>
      </c>
      <c r="G112" s="664"/>
      <c r="H112" s="663">
        <v>2687</v>
      </c>
      <c r="I112" s="412"/>
      <c r="J112" s="412"/>
    </row>
    <row r="113" spans="1:10" ht="12.75">
      <c r="A113" s="412" t="s">
        <v>118</v>
      </c>
      <c r="B113" s="412"/>
      <c r="C113" s="412"/>
      <c r="D113" s="412"/>
      <c r="E113" s="412"/>
      <c r="F113" s="663">
        <v>-440506</v>
      </c>
      <c r="G113" s="664"/>
      <c r="H113" s="664">
        <v>-440</v>
      </c>
      <c r="I113" s="412"/>
      <c r="J113" s="412"/>
    </row>
    <row r="114" spans="1:10" ht="12.75">
      <c r="A114" s="412" t="s">
        <v>726</v>
      </c>
      <c r="B114" s="412"/>
      <c r="C114" s="412"/>
      <c r="D114" s="412"/>
      <c r="E114" s="412"/>
      <c r="F114" s="663">
        <v>-2500376</v>
      </c>
      <c r="G114" s="664"/>
      <c r="H114" s="663">
        <v>-2501</v>
      </c>
      <c r="I114" s="412"/>
      <c r="J114" s="412"/>
    </row>
    <row r="115" spans="1:10" ht="12.75">
      <c r="A115" s="629" t="s">
        <v>727</v>
      </c>
      <c r="B115" s="629"/>
      <c r="C115" s="412"/>
      <c r="D115" s="412"/>
      <c r="E115" s="412"/>
      <c r="F115" s="663">
        <v>204477</v>
      </c>
      <c r="G115" s="664"/>
      <c r="H115" s="664">
        <v>204</v>
      </c>
      <c r="I115" s="412"/>
      <c r="J115" s="412"/>
    </row>
    <row r="116" spans="1:10" ht="12.75">
      <c r="A116" s="412" t="s">
        <v>728</v>
      </c>
      <c r="B116" s="412"/>
      <c r="C116" s="412"/>
      <c r="D116" s="412"/>
      <c r="E116" s="412"/>
      <c r="F116" s="664" t="s">
        <v>709</v>
      </c>
      <c r="G116" s="664"/>
      <c r="H116" s="664" t="s">
        <v>709</v>
      </c>
      <c r="I116" s="412"/>
      <c r="J116" s="412"/>
    </row>
    <row r="117" spans="1:10" ht="12.75">
      <c r="A117" s="412" t="s">
        <v>733</v>
      </c>
      <c r="B117" s="412" t="s">
        <v>734</v>
      </c>
      <c r="C117" s="412"/>
      <c r="D117" s="412"/>
      <c r="E117" s="412"/>
      <c r="F117" s="664" t="s">
        <v>709</v>
      </c>
      <c r="G117" s="664"/>
      <c r="H117" s="664" t="s">
        <v>709</v>
      </c>
      <c r="I117" s="412"/>
      <c r="J117" s="412"/>
    </row>
    <row r="118" spans="1:10" ht="12.75">
      <c r="A118" s="629" t="s">
        <v>735</v>
      </c>
      <c r="B118" s="629"/>
      <c r="C118" s="629"/>
      <c r="D118" s="412"/>
      <c r="E118" s="412"/>
      <c r="F118" s="663">
        <v>204477</v>
      </c>
      <c r="G118" s="664"/>
      <c r="H118" s="664">
        <v>204</v>
      </c>
      <c r="I118" s="412"/>
      <c r="J118" s="412"/>
    </row>
  </sheetData>
  <sheetProtection selectLockedCells="1" selectUnlockedCells="1"/>
  <mergeCells count="49">
    <mergeCell ref="A3:J3"/>
    <mergeCell ref="A4:J4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35:J35"/>
    <mergeCell ref="A36:J36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E62:G62"/>
    <mergeCell ref="E63:F63"/>
    <mergeCell ref="A65:J65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92:J92"/>
    <mergeCell ref="A93:J93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</mergeCells>
  <printOptions horizontalCentered="1"/>
  <pageMargins left="0" right="0" top="0.9847222222222223" bottom="0" header="0.6902777777777778" footer="0.5118055555555555"/>
  <pageSetup horizontalDpi="300" verticalDpi="300" orientation="portrait" paperSize="9" scale="83"/>
  <headerFooter alignWithMargins="0">
    <oddHeader>&amp;L&amp;"Times New Roman,Félkövér"&amp;8 13. melléklet a 15/2012.(IV.27.) önkormányzati rendelethez</oddHeader>
  </headerFooter>
  <rowBreaks count="1" manualBreakCount="1">
    <brk id="6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5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84.625" style="0" customWidth="1"/>
    <col min="2" max="2" width="15.125" style="0" customWidth="1"/>
    <col min="3" max="3" width="14.125" style="0" customWidth="1"/>
    <col min="4" max="4" width="15.75390625" style="0" customWidth="1"/>
  </cols>
  <sheetData>
    <row r="1" spans="1:9" ht="12.75">
      <c r="A1" s="666"/>
      <c r="B1" s="666"/>
      <c r="C1" s="667"/>
      <c r="D1" s="667"/>
      <c r="E1" s="667"/>
      <c r="F1" s="668"/>
      <c r="G1" s="668"/>
      <c r="H1" s="668"/>
      <c r="I1" s="668"/>
    </row>
    <row r="2" spans="1:9" ht="12.75">
      <c r="A2" s="666" t="s">
        <v>747</v>
      </c>
      <c r="B2" s="666"/>
      <c r="C2" s="666"/>
      <c r="D2" s="666"/>
      <c r="E2" s="669"/>
      <c r="F2" s="668"/>
      <c r="G2" s="668"/>
      <c r="H2" s="668"/>
      <c r="I2" s="668"/>
    </row>
    <row r="3" spans="1:9" ht="12.75">
      <c r="A3" s="666"/>
      <c r="B3" s="670"/>
      <c r="C3" s="667"/>
      <c r="D3" s="667"/>
      <c r="E3" s="667"/>
      <c r="F3" s="668"/>
      <c r="G3" s="668"/>
      <c r="H3" s="668"/>
      <c r="I3" s="668"/>
    </row>
    <row r="4" spans="1:9" ht="12.75" customHeight="1">
      <c r="A4" s="666" t="s">
        <v>748</v>
      </c>
      <c r="B4" s="666"/>
      <c r="C4" s="666"/>
      <c r="D4" s="666"/>
      <c r="E4" s="669"/>
      <c r="F4" s="668"/>
      <c r="G4" s="668"/>
      <c r="H4" s="668"/>
      <c r="I4" s="668"/>
    </row>
    <row r="5" spans="1:9" ht="13.5">
      <c r="A5" s="671"/>
      <c r="B5" s="672"/>
      <c r="C5" s="667"/>
      <c r="D5" s="667"/>
      <c r="E5" s="667"/>
      <c r="F5" s="668"/>
      <c r="G5" s="668"/>
      <c r="H5" s="668"/>
      <c r="I5" s="668"/>
    </row>
    <row r="6" spans="1:9" ht="13.5">
      <c r="A6" s="673" t="s">
        <v>749</v>
      </c>
      <c r="B6" s="674" t="s">
        <v>4</v>
      </c>
      <c r="C6" s="674" t="s">
        <v>5</v>
      </c>
      <c r="D6" s="675" t="s">
        <v>6</v>
      </c>
      <c r="E6" s="676"/>
      <c r="F6" s="668"/>
      <c r="G6" s="668"/>
      <c r="H6" s="668"/>
      <c r="I6" s="668"/>
    </row>
    <row r="7" spans="1:9" ht="12.75">
      <c r="A7" s="677" t="s">
        <v>750</v>
      </c>
      <c r="B7" s="678">
        <v>410000</v>
      </c>
      <c r="C7" s="678">
        <v>414568</v>
      </c>
      <c r="D7" s="679">
        <v>414568</v>
      </c>
      <c r="E7" s="676"/>
      <c r="F7" s="668"/>
      <c r="G7" s="668"/>
      <c r="H7" s="668"/>
      <c r="I7" s="668"/>
    </row>
    <row r="8" spans="1:9" ht="12.75">
      <c r="A8" s="677" t="s">
        <v>751</v>
      </c>
      <c r="B8" s="678">
        <v>6468</v>
      </c>
      <c r="C8" s="678">
        <v>6468</v>
      </c>
      <c r="D8" s="679"/>
      <c r="E8" s="676"/>
      <c r="F8" s="668"/>
      <c r="G8" s="668"/>
      <c r="H8" s="668"/>
      <c r="I8" s="668"/>
    </row>
    <row r="9" spans="1:9" ht="12.75">
      <c r="A9" s="677" t="s">
        <v>752</v>
      </c>
      <c r="B9" s="678">
        <v>3129</v>
      </c>
      <c r="C9" s="678">
        <v>3129</v>
      </c>
      <c r="D9" s="679"/>
      <c r="E9" s="676"/>
      <c r="F9" s="668"/>
      <c r="G9" s="668"/>
      <c r="H9" s="668"/>
      <c r="I9" s="668"/>
    </row>
    <row r="10" spans="1:9" ht="12.75">
      <c r="A10" s="677" t="s">
        <v>753</v>
      </c>
      <c r="B10" s="678">
        <v>28000</v>
      </c>
      <c r="C10" s="678">
        <v>18000</v>
      </c>
      <c r="D10" s="679">
        <v>18150</v>
      </c>
      <c r="E10" s="676"/>
      <c r="F10" s="668"/>
      <c r="G10" s="668"/>
      <c r="H10" s="668"/>
      <c r="I10" s="668"/>
    </row>
    <row r="11" spans="1:9" ht="12.75">
      <c r="A11" s="677" t="s">
        <v>754</v>
      </c>
      <c r="B11" s="678"/>
      <c r="C11" s="678"/>
      <c r="D11" s="679">
        <v>28</v>
      </c>
      <c r="E11" s="676"/>
      <c r="F11" s="668"/>
      <c r="G11" s="668"/>
      <c r="H11" s="668"/>
      <c r="I11" s="668"/>
    </row>
    <row r="12" spans="1:9" ht="12.75">
      <c r="A12" s="677"/>
      <c r="B12" s="678"/>
      <c r="C12" s="678"/>
      <c r="D12" s="679"/>
      <c r="E12" s="676"/>
      <c r="F12" s="668"/>
      <c r="G12" s="668"/>
      <c r="H12" s="668"/>
      <c r="I12" s="668"/>
    </row>
    <row r="13" spans="1:9" ht="13.5">
      <c r="A13" s="680" t="s">
        <v>755</v>
      </c>
      <c r="B13" s="681">
        <v>256498</v>
      </c>
      <c r="C13" s="681">
        <v>202862</v>
      </c>
      <c r="D13" s="682"/>
      <c r="E13" s="676"/>
      <c r="F13" s="668"/>
      <c r="G13" s="668"/>
      <c r="H13" s="668"/>
      <c r="I13" s="668"/>
    </row>
    <row r="14" spans="1:9" ht="12.75">
      <c r="A14" s="677" t="s">
        <v>654</v>
      </c>
      <c r="B14" s="678">
        <v>46933</v>
      </c>
      <c r="C14" s="678">
        <v>46933</v>
      </c>
      <c r="D14" s="679">
        <v>37588</v>
      </c>
      <c r="E14" s="676"/>
      <c r="F14" s="668"/>
      <c r="G14" s="668"/>
      <c r="H14" s="668"/>
      <c r="I14" s="668"/>
    </row>
    <row r="15" spans="1:9" ht="12.75">
      <c r="A15" s="677" t="s">
        <v>656</v>
      </c>
      <c r="B15" s="678">
        <v>43445</v>
      </c>
      <c r="C15" s="678">
        <v>43445</v>
      </c>
      <c r="D15" s="679">
        <v>50510</v>
      </c>
      <c r="E15" s="676"/>
      <c r="F15" s="668"/>
      <c r="G15" s="668"/>
      <c r="H15" s="668"/>
      <c r="I15" s="668"/>
    </row>
    <row r="16" spans="1:9" ht="12.75">
      <c r="A16" s="677" t="s">
        <v>657</v>
      </c>
      <c r="B16" s="678">
        <v>125177</v>
      </c>
      <c r="C16" s="678">
        <v>75949</v>
      </c>
      <c r="D16" s="679">
        <v>74133</v>
      </c>
      <c r="E16" s="676"/>
      <c r="F16" s="668"/>
      <c r="G16" s="668"/>
      <c r="H16" s="668"/>
      <c r="I16" s="668"/>
    </row>
    <row r="17" spans="1:9" ht="12.75">
      <c r="A17" s="677" t="s">
        <v>658</v>
      </c>
      <c r="B17" s="678">
        <v>39686</v>
      </c>
      <c r="C17" s="678">
        <v>29651</v>
      </c>
      <c r="D17" s="679">
        <v>22373</v>
      </c>
      <c r="E17" s="676"/>
      <c r="F17" s="668"/>
      <c r="G17" s="668"/>
      <c r="H17" s="668"/>
      <c r="I17" s="668"/>
    </row>
    <row r="18" spans="1:9" ht="12.75">
      <c r="A18" s="677" t="s">
        <v>756</v>
      </c>
      <c r="B18" s="678">
        <v>1257</v>
      </c>
      <c r="C18" s="678">
        <v>1257</v>
      </c>
      <c r="D18" s="679">
        <v>1257</v>
      </c>
      <c r="E18" s="668"/>
      <c r="F18" s="668"/>
      <c r="G18" s="668"/>
      <c r="H18" s="668"/>
      <c r="I18" s="668"/>
    </row>
    <row r="19" spans="1:9" ht="12.75">
      <c r="A19" s="683" t="s">
        <v>757</v>
      </c>
      <c r="B19" s="684"/>
      <c r="C19" s="678">
        <v>5627</v>
      </c>
      <c r="D19" s="679">
        <v>5627</v>
      </c>
      <c r="E19" s="668"/>
      <c r="F19" s="668"/>
      <c r="G19" s="668"/>
      <c r="H19" s="668"/>
      <c r="I19" s="668"/>
    </row>
    <row r="20" spans="1:9" ht="12.75">
      <c r="A20" s="683" t="s">
        <v>758</v>
      </c>
      <c r="B20" s="684"/>
      <c r="C20" s="678"/>
      <c r="D20" s="679">
        <v>100</v>
      </c>
      <c r="E20" s="668"/>
      <c r="F20" s="668"/>
      <c r="G20" s="668"/>
      <c r="H20" s="668"/>
      <c r="I20" s="668"/>
    </row>
    <row r="21" spans="1:9" ht="12.75">
      <c r="A21" s="683" t="s">
        <v>759</v>
      </c>
      <c r="B21" s="684"/>
      <c r="C21" s="678"/>
      <c r="D21" s="679">
        <v>4576</v>
      </c>
      <c r="E21" s="668"/>
      <c r="F21" s="668"/>
      <c r="G21" s="668"/>
      <c r="H21" s="668"/>
      <c r="I21" s="668"/>
    </row>
    <row r="22" spans="1:9" ht="13.5">
      <c r="A22" s="685" t="s">
        <v>607</v>
      </c>
      <c r="B22" s="686">
        <v>704095</v>
      </c>
      <c r="C22" s="686">
        <v>645027</v>
      </c>
      <c r="D22" s="687">
        <v>628910</v>
      </c>
      <c r="E22" s="668"/>
      <c r="F22" s="668"/>
      <c r="G22" s="668"/>
      <c r="H22" s="668"/>
      <c r="I22" s="668"/>
    </row>
    <row r="23" spans="1:9" ht="12.75">
      <c r="A23" s="688" t="s">
        <v>760</v>
      </c>
      <c r="B23" s="689" t="s">
        <v>4</v>
      </c>
      <c r="C23" s="690" t="s">
        <v>5</v>
      </c>
      <c r="D23" s="691"/>
      <c r="E23" s="668"/>
      <c r="F23" s="668"/>
      <c r="G23" s="668"/>
      <c r="H23" s="668"/>
      <c r="I23" s="668"/>
    </row>
    <row r="24" spans="1:9" ht="12.75">
      <c r="A24" s="692"/>
      <c r="B24" s="689"/>
      <c r="C24" s="693"/>
      <c r="D24" s="694"/>
      <c r="E24" s="668"/>
      <c r="F24" s="668"/>
      <c r="G24" s="668"/>
      <c r="H24" s="668"/>
      <c r="I24" s="668"/>
    </row>
    <row r="25" spans="1:9" ht="13.5">
      <c r="A25" s="695" t="s">
        <v>761</v>
      </c>
      <c r="B25" s="696">
        <v>62072</v>
      </c>
      <c r="C25" s="681">
        <v>52072</v>
      </c>
      <c r="D25" s="682">
        <v>50725</v>
      </c>
      <c r="E25" s="668"/>
      <c r="F25" s="668"/>
      <c r="G25" s="668"/>
      <c r="H25" s="668"/>
      <c r="I25" s="668"/>
    </row>
    <row r="26" spans="1:9" ht="13.5">
      <c r="A26" s="697"/>
      <c r="B26" s="698"/>
      <c r="C26" s="681"/>
      <c r="D26" s="682"/>
      <c r="E26" s="668"/>
      <c r="F26" s="668"/>
      <c r="G26" s="668"/>
      <c r="H26" s="668"/>
      <c r="I26" s="668"/>
    </row>
    <row r="27" spans="1:9" ht="13.5">
      <c r="A27" s="695" t="s">
        <v>762</v>
      </c>
      <c r="B27" s="696">
        <v>12000</v>
      </c>
      <c r="C27" s="681">
        <v>2000</v>
      </c>
      <c r="D27" s="682">
        <v>1969</v>
      </c>
      <c r="E27" s="668"/>
      <c r="F27" s="668"/>
      <c r="G27" s="668"/>
      <c r="H27" s="668"/>
      <c r="I27" s="668"/>
    </row>
    <row r="28" spans="1:9" ht="12.75">
      <c r="A28" s="697"/>
      <c r="B28" s="698"/>
      <c r="C28" s="699"/>
      <c r="D28" s="700"/>
      <c r="E28" s="668"/>
      <c r="F28" s="668"/>
      <c r="G28" s="668"/>
      <c r="H28" s="668"/>
      <c r="I28" s="668"/>
    </row>
    <row r="29" spans="1:9" ht="13.5">
      <c r="A29" s="680" t="s">
        <v>763</v>
      </c>
      <c r="B29" s="681">
        <v>364563</v>
      </c>
      <c r="C29" s="681">
        <v>322120</v>
      </c>
      <c r="D29" s="682">
        <v>311452</v>
      </c>
      <c r="E29" s="668"/>
      <c r="F29" s="668"/>
      <c r="G29" s="668"/>
      <c r="H29" s="668"/>
      <c r="I29" s="668"/>
    </row>
    <row r="30" spans="1:9" ht="12.75">
      <c r="A30" s="677" t="s">
        <v>764</v>
      </c>
      <c r="B30" s="678">
        <v>10500</v>
      </c>
      <c r="C30" s="678">
        <v>10500</v>
      </c>
      <c r="D30" s="679">
        <v>9769</v>
      </c>
      <c r="E30" s="668"/>
      <c r="F30" s="668"/>
      <c r="G30" s="668"/>
      <c r="H30" s="668"/>
      <c r="I30" s="668"/>
    </row>
    <row r="31" spans="1:9" ht="12.75">
      <c r="A31" s="677" t="s">
        <v>758</v>
      </c>
      <c r="B31" s="678">
        <v>80000</v>
      </c>
      <c r="C31" s="678">
        <v>65000</v>
      </c>
      <c r="D31" s="679">
        <v>64923</v>
      </c>
      <c r="E31" s="668"/>
      <c r="F31" s="668"/>
      <c r="G31" s="668"/>
      <c r="H31" s="668"/>
      <c r="I31" s="668"/>
    </row>
    <row r="32" spans="1:9" ht="12.75">
      <c r="A32" s="677" t="s">
        <v>445</v>
      </c>
      <c r="B32" s="678">
        <v>146343</v>
      </c>
      <c r="C32" s="678">
        <v>96034</v>
      </c>
      <c r="D32" s="679">
        <v>97003</v>
      </c>
      <c r="E32" s="668"/>
      <c r="F32" s="668"/>
      <c r="G32" s="668"/>
      <c r="H32" s="668"/>
      <c r="I32" s="668"/>
    </row>
    <row r="33" spans="1:9" ht="15.75" customHeight="1">
      <c r="A33" s="701" t="s">
        <v>446</v>
      </c>
      <c r="B33" s="678">
        <v>59352</v>
      </c>
      <c r="C33" s="678">
        <v>48351</v>
      </c>
      <c r="D33" s="679">
        <v>48015</v>
      </c>
      <c r="E33" s="668"/>
      <c r="F33" s="668"/>
      <c r="G33" s="668"/>
      <c r="H33" s="668"/>
      <c r="I33" s="668"/>
    </row>
    <row r="34" spans="1:9" ht="15.75" customHeight="1">
      <c r="A34" s="701" t="s">
        <v>765</v>
      </c>
      <c r="B34" s="455">
        <v>3000</v>
      </c>
      <c r="C34" s="678">
        <v>3000</v>
      </c>
      <c r="D34" s="679">
        <v>3000</v>
      </c>
      <c r="E34" s="668"/>
      <c r="F34" s="668"/>
      <c r="G34" s="668"/>
      <c r="H34" s="668"/>
      <c r="I34" s="668"/>
    </row>
    <row r="35" spans="1:9" ht="15.75" customHeight="1">
      <c r="A35" s="467" t="s">
        <v>440</v>
      </c>
      <c r="B35" s="455">
        <v>20000</v>
      </c>
      <c r="C35" s="678">
        <v>20000</v>
      </c>
      <c r="D35" s="679">
        <v>20000</v>
      </c>
      <c r="E35" s="668"/>
      <c r="F35" s="668"/>
      <c r="G35" s="668"/>
      <c r="H35" s="668"/>
      <c r="I35" s="668"/>
    </row>
    <row r="36" spans="1:9" ht="16.5" customHeight="1">
      <c r="A36" s="467" t="s">
        <v>766</v>
      </c>
      <c r="B36" s="455">
        <v>5813</v>
      </c>
      <c r="C36" s="678">
        <v>5813</v>
      </c>
      <c r="D36" s="679"/>
      <c r="E36" s="668"/>
      <c r="F36" s="668"/>
      <c r="G36" s="668"/>
      <c r="H36" s="668"/>
      <c r="I36" s="668"/>
    </row>
    <row r="37" spans="1:9" ht="18.75" customHeight="1">
      <c r="A37" s="467" t="s">
        <v>767</v>
      </c>
      <c r="B37" s="455">
        <v>1250</v>
      </c>
      <c r="C37" s="678">
        <v>1250</v>
      </c>
      <c r="D37" s="679"/>
      <c r="E37" s="668"/>
      <c r="F37" s="668"/>
      <c r="G37" s="668"/>
      <c r="H37" s="668"/>
      <c r="I37" s="668"/>
    </row>
    <row r="38" spans="1:9" ht="16.5" customHeight="1">
      <c r="A38" s="467" t="s">
        <v>768</v>
      </c>
      <c r="B38" s="455">
        <v>18750</v>
      </c>
      <c r="C38" s="678">
        <v>16698</v>
      </c>
      <c r="D38" s="679">
        <v>16183</v>
      </c>
      <c r="E38" s="668"/>
      <c r="F38" s="668"/>
      <c r="G38" s="668"/>
      <c r="H38" s="668"/>
      <c r="I38" s="668"/>
    </row>
    <row r="39" spans="1:9" ht="15" customHeight="1">
      <c r="A39" s="467" t="s">
        <v>769</v>
      </c>
      <c r="B39" s="455">
        <v>8750</v>
      </c>
      <c r="C39" s="678">
        <v>0</v>
      </c>
      <c r="D39" s="679"/>
      <c r="E39" s="668"/>
      <c r="F39" s="668"/>
      <c r="G39" s="668"/>
      <c r="H39" s="668"/>
      <c r="I39" s="668"/>
    </row>
    <row r="40" spans="1:9" ht="12.75">
      <c r="A40" s="454" t="s">
        <v>770</v>
      </c>
      <c r="B40" s="455">
        <v>1000</v>
      </c>
      <c r="C40" s="678">
        <v>1000</v>
      </c>
      <c r="D40" s="679">
        <v>85</v>
      </c>
      <c r="E40" s="668"/>
      <c r="F40" s="668"/>
      <c r="G40" s="668"/>
      <c r="H40" s="668"/>
      <c r="I40" s="668"/>
    </row>
    <row r="41" spans="1:9" ht="15" customHeight="1">
      <c r="A41" s="467" t="s">
        <v>771</v>
      </c>
      <c r="B41" s="678">
        <v>3865</v>
      </c>
      <c r="C41" s="678">
        <v>3865</v>
      </c>
      <c r="D41" s="679"/>
      <c r="E41" s="668"/>
      <c r="F41" s="668"/>
      <c r="G41" s="668"/>
      <c r="H41" s="668"/>
      <c r="I41" s="668"/>
    </row>
    <row r="42" spans="1:9" ht="12.75">
      <c r="A42" s="454" t="s">
        <v>448</v>
      </c>
      <c r="B42" s="678">
        <v>1240</v>
      </c>
      <c r="C42" s="678">
        <v>1240</v>
      </c>
      <c r="D42" s="679"/>
      <c r="E42" s="668"/>
      <c r="F42" s="668"/>
      <c r="G42" s="668"/>
      <c r="H42" s="668"/>
      <c r="I42" s="668"/>
    </row>
    <row r="43" spans="1:9" ht="12.75">
      <c r="A43" s="677" t="s">
        <v>441</v>
      </c>
      <c r="B43" s="678">
        <v>3331</v>
      </c>
      <c r="C43" s="678">
        <v>3331</v>
      </c>
      <c r="D43" s="679">
        <v>3331</v>
      </c>
      <c r="E43" s="668"/>
      <c r="F43" s="668"/>
      <c r="G43" s="668"/>
      <c r="H43" s="668"/>
      <c r="I43" s="668"/>
    </row>
    <row r="44" spans="1:9" ht="12.75">
      <c r="A44" s="677" t="s">
        <v>772</v>
      </c>
      <c r="B44" s="678">
        <v>1369</v>
      </c>
      <c r="C44" s="678">
        <v>1369</v>
      </c>
      <c r="D44" s="679">
        <v>1369</v>
      </c>
      <c r="E44" s="668"/>
      <c r="F44" s="668"/>
      <c r="G44" s="668"/>
      <c r="H44" s="668"/>
      <c r="I44" s="668"/>
    </row>
    <row r="45" spans="1:9" ht="12.75">
      <c r="A45" s="677" t="s">
        <v>773</v>
      </c>
      <c r="B45" s="678"/>
      <c r="C45" s="678">
        <v>16000</v>
      </c>
      <c r="D45" s="679">
        <v>19105</v>
      </c>
      <c r="E45" s="668"/>
      <c r="F45" s="668"/>
      <c r="G45" s="668"/>
      <c r="H45" s="668"/>
      <c r="I45" s="668"/>
    </row>
    <row r="46" spans="1:9" ht="12.75">
      <c r="A46" s="677" t="s">
        <v>774</v>
      </c>
      <c r="B46" s="678"/>
      <c r="C46" s="678">
        <v>28669</v>
      </c>
      <c r="D46" s="679">
        <v>28669</v>
      </c>
      <c r="E46" s="668"/>
      <c r="F46" s="668"/>
      <c r="G46" s="668"/>
      <c r="H46" s="668"/>
      <c r="I46" s="668"/>
    </row>
    <row r="47" spans="1:9" ht="12.75">
      <c r="A47" s="467"/>
      <c r="B47" s="455"/>
      <c r="C47" s="678"/>
      <c r="D47" s="679"/>
      <c r="E47" s="668"/>
      <c r="F47" s="668"/>
      <c r="G47" s="668"/>
      <c r="H47" s="668"/>
      <c r="I47" s="668"/>
    </row>
    <row r="48" spans="1:9" ht="18" customHeight="1">
      <c r="A48" s="702" t="s">
        <v>775</v>
      </c>
      <c r="B48" s="464">
        <v>39841</v>
      </c>
      <c r="C48" s="681">
        <v>41893</v>
      </c>
      <c r="D48" s="682">
        <v>256</v>
      </c>
      <c r="E48" s="668"/>
      <c r="F48" s="668"/>
      <c r="G48" s="668"/>
      <c r="H48" s="668"/>
      <c r="I48" s="668"/>
    </row>
    <row r="49" spans="1:9" ht="15.75" customHeight="1">
      <c r="A49" s="467" t="s">
        <v>776</v>
      </c>
      <c r="B49" s="455">
        <v>3500</v>
      </c>
      <c r="C49" s="678">
        <v>3500</v>
      </c>
      <c r="D49" s="679"/>
      <c r="E49" s="668"/>
      <c r="F49" s="668"/>
      <c r="G49" s="668"/>
      <c r="H49" s="668"/>
      <c r="I49" s="668"/>
    </row>
    <row r="50" spans="1:9" ht="19.5" customHeight="1">
      <c r="A50" s="467" t="s">
        <v>777</v>
      </c>
      <c r="B50" s="455">
        <v>7000</v>
      </c>
      <c r="C50" s="678">
        <v>7000</v>
      </c>
      <c r="D50" s="679"/>
      <c r="E50" s="668"/>
      <c r="F50" s="668"/>
      <c r="G50" s="668"/>
      <c r="H50" s="668"/>
      <c r="I50" s="668"/>
    </row>
    <row r="51" spans="1:9" ht="21" customHeight="1">
      <c r="A51" s="467" t="s">
        <v>778</v>
      </c>
      <c r="B51" s="455">
        <v>1000</v>
      </c>
      <c r="C51" s="678">
        <v>1000</v>
      </c>
      <c r="D51" s="679"/>
      <c r="E51" s="668"/>
      <c r="F51" s="668"/>
      <c r="G51" s="668"/>
      <c r="H51" s="668"/>
      <c r="I51" s="668"/>
    </row>
    <row r="52" spans="1:9" ht="12.75">
      <c r="A52" s="467" t="s">
        <v>779</v>
      </c>
      <c r="B52" s="455">
        <v>1000</v>
      </c>
      <c r="C52" s="678">
        <v>1000</v>
      </c>
      <c r="D52" s="679"/>
      <c r="E52" s="668"/>
      <c r="F52" s="668"/>
      <c r="G52" s="668"/>
      <c r="H52" s="668"/>
      <c r="I52" s="668"/>
    </row>
    <row r="53" spans="1:9" ht="12.75">
      <c r="A53" s="467" t="s">
        <v>780</v>
      </c>
      <c r="B53" s="455">
        <v>13760</v>
      </c>
      <c r="C53" s="678">
        <v>13760</v>
      </c>
      <c r="D53" s="679"/>
      <c r="E53" s="668"/>
      <c r="F53" s="668"/>
      <c r="G53" s="668"/>
      <c r="H53" s="668"/>
      <c r="I53" s="668"/>
    </row>
    <row r="54" spans="1:4" s="706" customFormat="1" ht="21.75" customHeight="1">
      <c r="A54" s="703" t="s">
        <v>401</v>
      </c>
      <c r="B54" s="704">
        <v>10000</v>
      </c>
      <c r="C54" s="704">
        <v>10000</v>
      </c>
      <c r="D54" s="705">
        <v>256</v>
      </c>
    </row>
    <row r="55" spans="1:9" ht="18" customHeight="1">
      <c r="A55" s="467" t="s">
        <v>781</v>
      </c>
      <c r="B55" s="455">
        <v>3581</v>
      </c>
      <c r="C55" s="678">
        <v>3581</v>
      </c>
      <c r="D55" s="679"/>
      <c r="E55" s="668"/>
      <c r="F55" s="668"/>
      <c r="G55" s="668"/>
      <c r="H55" s="668"/>
      <c r="I55" s="668"/>
    </row>
    <row r="56" spans="1:9" ht="15" customHeight="1">
      <c r="A56" s="467" t="s">
        <v>782</v>
      </c>
      <c r="B56" s="455"/>
      <c r="C56" s="678">
        <v>2052</v>
      </c>
      <c r="D56" s="679"/>
      <c r="E56" s="668"/>
      <c r="F56" s="668"/>
      <c r="G56" s="668"/>
      <c r="H56" s="668"/>
      <c r="I56" s="668"/>
    </row>
    <row r="57" spans="1:9" ht="12.75">
      <c r="A57" s="467"/>
      <c r="B57" s="455"/>
      <c r="C57" s="678"/>
      <c r="D57" s="679"/>
      <c r="E57" s="668"/>
      <c r="F57" s="668"/>
      <c r="G57" s="668"/>
      <c r="H57" s="668"/>
      <c r="I57" s="668"/>
    </row>
    <row r="58" spans="1:9" ht="19.5" customHeight="1">
      <c r="A58" s="702" t="s">
        <v>783</v>
      </c>
      <c r="B58" s="464">
        <v>222869</v>
      </c>
      <c r="C58" s="681">
        <v>201950</v>
      </c>
      <c r="D58" s="682">
        <v>108494</v>
      </c>
      <c r="E58" s="668"/>
      <c r="F58" s="668"/>
      <c r="G58" s="668"/>
      <c r="H58" s="668"/>
      <c r="I58" s="668"/>
    </row>
    <row r="59" spans="1:9" ht="25.5" customHeight="1">
      <c r="A59" s="467" t="s">
        <v>619</v>
      </c>
      <c r="B59" s="455">
        <v>28000</v>
      </c>
      <c r="C59" s="678">
        <v>28000</v>
      </c>
      <c r="D59" s="679">
        <v>21694</v>
      </c>
      <c r="E59" s="668"/>
      <c r="F59" s="668"/>
      <c r="G59" s="668"/>
      <c r="H59" s="668"/>
      <c r="I59" s="668"/>
    </row>
    <row r="60" spans="1:9" ht="18" customHeight="1">
      <c r="A60" s="467" t="s">
        <v>784</v>
      </c>
      <c r="B60" s="455">
        <v>36000</v>
      </c>
      <c r="C60" s="678">
        <v>36000</v>
      </c>
      <c r="D60" s="679">
        <v>26617</v>
      </c>
      <c r="E60" s="668"/>
      <c r="F60" s="668"/>
      <c r="G60" s="668"/>
      <c r="H60" s="668"/>
      <c r="I60" s="668"/>
    </row>
    <row r="61" spans="1:9" ht="19.5" customHeight="1">
      <c r="A61" s="467" t="s">
        <v>622</v>
      </c>
      <c r="B61" s="455">
        <v>2200</v>
      </c>
      <c r="C61" s="678">
        <v>2200</v>
      </c>
      <c r="D61" s="679">
        <v>1727</v>
      </c>
      <c r="E61" s="668"/>
      <c r="F61" s="668"/>
      <c r="G61" s="668"/>
      <c r="H61" s="668"/>
      <c r="I61" s="668"/>
    </row>
    <row r="62" spans="1:9" ht="15.75" customHeight="1">
      <c r="A62" s="467" t="s">
        <v>623</v>
      </c>
      <c r="B62" s="455">
        <v>3536</v>
      </c>
      <c r="C62" s="678">
        <v>3536</v>
      </c>
      <c r="D62" s="679">
        <v>750</v>
      </c>
      <c r="E62" s="668"/>
      <c r="F62" s="668"/>
      <c r="G62" s="668"/>
      <c r="H62" s="668"/>
      <c r="I62" s="668"/>
    </row>
    <row r="63" spans="1:9" ht="15.75" customHeight="1">
      <c r="A63" s="467" t="s">
        <v>624</v>
      </c>
      <c r="B63" s="455">
        <v>4500</v>
      </c>
      <c r="C63" s="678">
        <v>4500</v>
      </c>
      <c r="D63" s="679">
        <v>500</v>
      </c>
      <c r="E63" s="668"/>
      <c r="F63" s="668"/>
      <c r="G63" s="668"/>
      <c r="H63" s="668"/>
      <c r="I63" s="668"/>
    </row>
    <row r="64" spans="1:9" ht="19.5" customHeight="1">
      <c r="A64" s="467" t="s">
        <v>785</v>
      </c>
      <c r="B64" s="455">
        <v>21183</v>
      </c>
      <c r="C64" s="678">
        <v>20183</v>
      </c>
      <c r="D64" s="679"/>
      <c r="E64" s="668"/>
      <c r="F64" s="668"/>
      <c r="G64" s="668"/>
      <c r="H64" s="668"/>
      <c r="I64" s="668"/>
    </row>
    <row r="65" spans="1:9" ht="28.5" customHeight="1">
      <c r="A65" s="467" t="s">
        <v>786</v>
      </c>
      <c r="B65" s="455">
        <v>65875</v>
      </c>
      <c r="C65" s="678">
        <v>37206</v>
      </c>
      <c r="D65" s="679">
        <v>27206</v>
      </c>
      <c r="E65" s="668"/>
      <c r="F65" s="668"/>
      <c r="G65" s="668"/>
      <c r="H65" s="668"/>
      <c r="I65" s="668"/>
    </row>
    <row r="66" spans="1:9" ht="17.25" customHeight="1">
      <c r="A66" s="467" t="s">
        <v>787</v>
      </c>
      <c r="B66" s="455">
        <v>60000</v>
      </c>
      <c r="C66" s="678">
        <v>60000</v>
      </c>
      <c r="D66" s="679">
        <v>30000</v>
      </c>
      <c r="E66" s="668"/>
      <c r="F66" s="668"/>
      <c r="G66" s="668"/>
      <c r="H66" s="668"/>
      <c r="I66" s="668"/>
    </row>
    <row r="67" spans="1:9" ht="15.75" customHeight="1">
      <c r="A67" s="467" t="s">
        <v>788</v>
      </c>
      <c r="B67" s="455">
        <v>1575</v>
      </c>
      <c r="C67" s="678">
        <v>1575</v>
      </c>
      <c r="D67" s="679"/>
      <c r="E67" s="676"/>
      <c r="F67" s="676"/>
      <c r="G67" s="676"/>
      <c r="H67" s="676"/>
      <c r="I67" s="676"/>
    </row>
    <row r="68" spans="1:9" ht="27" customHeight="1">
      <c r="A68" s="467" t="s">
        <v>789</v>
      </c>
      <c r="B68" s="455"/>
      <c r="C68" s="678">
        <v>8750</v>
      </c>
      <c r="D68" s="679"/>
      <c r="E68" s="676"/>
      <c r="F68" s="676"/>
      <c r="G68" s="676"/>
      <c r="H68" s="676"/>
      <c r="I68" s="676"/>
    </row>
    <row r="69" spans="1:9" ht="12.75">
      <c r="A69" s="677"/>
      <c r="B69" s="678"/>
      <c r="C69" s="678"/>
      <c r="D69" s="679"/>
      <c r="E69" s="676"/>
      <c r="F69" s="676"/>
      <c r="G69" s="676"/>
      <c r="H69" s="676"/>
      <c r="I69" s="676"/>
    </row>
    <row r="70" spans="1:9" ht="13.5">
      <c r="A70" s="680" t="s">
        <v>790</v>
      </c>
      <c r="B70" s="681"/>
      <c r="C70" s="681">
        <v>18244</v>
      </c>
      <c r="D70" s="682">
        <v>18244</v>
      </c>
      <c r="E70" s="707"/>
      <c r="F70" s="707"/>
      <c r="G70" s="707"/>
      <c r="H70" s="707"/>
      <c r="I70" s="707"/>
    </row>
    <row r="71" spans="1:9" ht="13.5">
      <c r="A71" s="680" t="s">
        <v>791</v>
      </c>
      <c r="B71" s="681"/>
      <c r="C71" s="681">
        <v>1081</v>
      </c>
      <c r="D71" s="682">
        <v>1081</v>
      </c>
      <c r="E71" s="707"/>
      <c r="F71" s="707"/>
      <c r="G71" s="707"/>
      <c r="H71" s="707"/>
      <c r="I71" s="707"/>
    </row>
    <row r="72" spans="1:9" ht="13.5">
      <c r="A72" s="680" t="s">
        <v>792</v>
      </c>
      <c r="B72" s="681"/>
      <c r="C72" s="681">
        <v>966</v>
      </c>
      <c r="D72" s="682"/>
      <c r="E72" s="707"/>
      <c r="F72" s="707"/>
      <c r="G72" s="707"/>
      <c r="H72" s="707"/>
      <c r="I72" s="707"/>
    </row>
    <row r="73" spans="1:9" ht="13.5">
      <c r="A73" s="680" t="s">
        <v>793</v>
      </c>
      <c r="B73" s="681"/>
      <c r="C73" s="681"/>
      <c r="D73" s="682">
        <v>9095</v>
      </c>
      <c r="E73" s="707"/>
      <c r="F73" s="707"/>
      <c r="G73" s="707"/>
      <c r="H73" s="707"/>
      <c r="I73" s="707"/>
    </row>
    <row r="74" spans="1:9" ht="13.5">
      <c r="A74" s="680" t="s">
        <v>794</v>
      </c>
      <c r="B74" s="681"/>
      <c r="C74" s="681"/>
      <c r="D74" s="682">
        <v>91</v>
      </c>
      <c r="E74" s="707"/>
      <c r="F74" s="707"/>
      <c r="G74" s="707"/>
      <c r="H74" s="707"/>
      <c r="I74" s="707"/>
    </row>
    <row r="75" spans="1:9" ht="12.75">
      <c r="A75" s="677"/>
      <c r="B75" s="678"/>
      <c r="C75" s="678"/>
      <c r="D75" s="679"/>
      <c r="E75" s="676"/>
      <c r="F75" s="676"/>
      <c r="G75" s="676"/>
      <c r="H75" s="676"/>
      <c r="I75" s="676"/>
    </row>
    <row r="76" spans="1:9" ht="12.75">
      <c r="A76" s="708" t="s">
        <v>795</v>
      </c>
      <c r="B76" s="709">
        <v>701345</v>
      </c>
      <c r="C76" s="709">
        <v>640326</v>
      </c>
      <c r="D76" s="710">
        <v>501407</v>
      </c>
      <c r="E76" s="676"/>
      <c r="F76" s="676"/>
      <c r="G76" s="676"/>
      <c r="H76" s="676"/>
      <c r="I76" s="676"/>
    </row>
    <row r="77" spans="1:9" ht="12.75">
      <c r="A77" s="677"/>
      <c r="B77" s="678"/>
      <c r="C77" s="678"/>
      <c r="D77" s="679"/>
      <c r="E77" s="676"/>
      <c r="F77" s="676"/>
      <c r="G77" s="676"/>
      <c r="H77" s="676"/>
      <c r="I77" s="676"/>
    </row>
    <row r="78" spans="1:9" ht="13.5">
      <c r="A78" s="711" t="s">
        <v>796</v>
      </c>
      <c r="B78" s="712">
        <v>2750</v>
      </c>
      <c r="C78" s="712">
        <v>4701</v>
      </c>
      <c r="D78" s="713">
        <v>127503</v>
      </c>
      <c r="E78" s="676"/>
      <c r="F78" s="676"/>
      <c r="G78" s="676"/>
      <c r="H78" s="676"/>
      <c r="I78" s="676"/>
    </row>
    <row r="79" spans="1:9" ht="13.5">
      <c r="A79" s="714"/>
      <c r="B79" s="715"/>
      <c r="C79" s="715"/>
      <c r="D79" s="715"/>
      <c r="E79" s="676"/>
      <c r="F79" s="676"/>
      <c r="G79" s="676"/>
      <c r="H79" s="676"/>
      <c r="I79" s="676"/>
    </row>
    <row r="80" spans="1:9" ht="23.25" customHeight="1">
      <c r="A80" s="716" t="s">
        <v>797</v>
      </c>
      <c r="B80" s="716"/>
      <c r="C80" s="716"/>
      <c r="D80" s="716"/>
      <c r="E80" s="667"/>
      <c r="F80" s="667"/>
      <c r="G80" s="676"/>
      <c r="H80" s="676"/>
      <c r="I80" s="676"/>
    </row>
    <row r="81" spans="1:9" ht="12.75">
      <c r="A81" s="676"/>
      <c r="B81" s="676"/>
      <c r="C81" s="676"/>
      <c r="D81" s="676"/>
      <c r="E81" s="676"/>
      <c r="F81" s="667"/>
      <c r="G81" s="676"/>
      <c r="H81" s="676"/>
      <c r="I81" s="676"/>
    </row>
    <row r="82" spans="1:9" ht="12.75">
      <c r="A82" s="666" t="s">
        <v>798</v>
      </c>
      <c r="B82" s="666"/>
      <c r="C82" s="666"/>
      <c r="D82" s="666"/>
      <c r="E82" s="666"/>
      <c r="F82" s="666"/>
      <c r="G82" s="666"/>
      <c r="H82" s="676"/>
      <c r="I82" s="676"/>
    </row>
    <row r="83" spans="1:9" ht="13.5">
      <c r="A83" s="717"/>
      <c r="B83" s="718"/>
      <c r="C83" s="719" t="s">
        <v>799</v>
      </c>
      <c r="D83" s="719"/>
      <c r="E83" s="719" t="s">
        <v>799</v>
      </c>
      <c r="F83" s="719" t="s">
        <v>800</v>
      </c>
      <c r="G83" s="720"/>
      <c r="H83" s="720"/>
      <c r="I83" s="720"/>
    </row>
    <row r="84" spans="1:9" ht="13.5">
      <c r="A84" s="673" t="s">
        <v>801</v>
      </c>
      <c r="B84" s="674" t="s">
        <v>4</v>
      </c>
      <c r="C84" s="674" t="s">
        <v>802</v>
      </c>
      <c r="D84" s="721"/>
      <c r="E84" s="722" t="s">
        <v>803</v>
      </c>
      <c r="F84" s="723" t="s">
        <v>803</v>
      </c>
      <c r="G84" s="676"/>
      <c r="H84" s="676"/>
      <c r="I84" s="676"/>
    </row>
    <row r="85" spans="1:9" ht="12.75">
      <c r="A85" s="708" t="s">
        <v>749</v>
      </c>
      <c r="B85" s="724">
        <v>1000000</v>
      </c>
      <c r="C85" s="676">
        <v>0</v>
      </c>
      <c r="D85" s="676"/>
      <c r="E85" s="725"/>
      <c r="F85" s="726"/>
      <c r="G85" s="668"/>
      <c r="H85" s="668"/>
      <c r="I85" s="668"/>
    </row>
    <row r="86" spans="1:9" ht="12.75">
      <c r="A86" s="677" t="s">
        <v>804</v>
      </c>
      <c r="B86" s="678">
        <v>1000000</v>
      </c>
      <c r="C86" s="678">
        <v>0</v>
      </c>
      <c r="D86" s="727"/>
      <c r="E86" s="725"/>
      <c r="F86" s="726"/>
      <c r="G86" s="668"/>
      <c r="H86" s="668"/>
      <c r="I86" s="668"/>
    </row>
    <row r="87" spans="1:9" ht="12.75">
      <c r="A87" s="708"/>
      <c r="B87" s="709"/>
      <c r="C87" s="678"/>
      <c r="D87" s="727"/>
      <c r="E87" s="725"/>
      <c r="F87" s="726"/>
      <c r="G87" s="668"/>
      <c r="H87" s="668"/>
      <c r="I87" s="668"/>
    </row>
    <row r="88" spans="1:9" ht="12.75">
      <c r="A88" s="708" t="s">
        <v>805</v>
      </c>
      <c r="B88" s="709">
        <v>1232286</v>
      </c>
      <c r="C88" s="678">
        <v>0</v>
      </c>
      <c r="D88" s="727"/>
      <c r="E88" s="725"/>
      <c r="F88" s="726"/>
      <c r="G88" s="668"/>
      <c r="H88" s="668"/>
      <c r="I88" s="668"/>
    </row>
    <row r="89" spans="1:9" ht="12.75">
      <c r="A89" s="677" t="s">
        <v>806</v>
      </c>
      <c r="B89" s="678">
        <v>56264</v>
      </c>
      <c r="C89" s="678">
        <v>0</v>
      </c>
      <c r="D89" s="727"/>
      <c r="E89" s="725"/>
      <c r="F89" s="726"/>
      <c r="G89" s="668"/>
      <c r="H89" s="668"/>
      <c r="I89" s="668"/>
    </row>
    <row r="90" spans="1:9" ht="12.75">
      <c r="A90" s="677" t="s">
        <v>441</v>
      </c>
      <c r="B90" s="678">
        <v>319516</v>
      </c>
      <c r="C90" s="678">
        <v>0</v>
      </c>
      <c r="D90" s="727"/>
      <c r="E90" s="725"/>
      <c r="F90" s="726"/>
      <c r="G90" s="668"/>
      <c r="H90" s="668"/>
      <c r="I90" s="668"/>
    </row>
    <row r="91" spans="1:9" ht="12.75">
      <c r="A91" s="677" t="s">
        <v>772</v>
      </c>
      <c r="B91" s="678">
        <v>699000</v>
      </c>
      <c r="C91" s="678"/>
      <c r="D91" s="727"/>
      <c r="E91" s="725"/>
      <c r="F91" s="726"/>
      <c r="G91" s="668"/>
      <c r="H91" s="668"/>
      <c r="I91" s="668"/>
    </row>
    <row r="92" spans="1:9" ht="12.75">
      <c r="A92" s="677" t="s">
        <v>807</v>
      </c>
      <c r="B92" s="678">
        <v>157506</v>
      </c>
      <c r="C92" s="678">
        <v>0</v>
      </c>
      <c r="D92" s="727"/>
      <c r="E92" s="725"/>
      <c r="F92" s="726"/>
      <c r="G92" s="668"/>
      <c r="H92" s="668"/>
      <c r="I92" s="668"/>
    </row>
    <row r="93" spans="1:9" ht="12.75">
      <c r="A93" s="677"/>
      <c r="B93" s="678"/>
      <c r="C93" s="678"/>
      <c r="D93" s="727"/>
      <c r="E93" s="725"/>
      <c r="F93" s="726"/>
      <c r="G93" s="668"/>
      <c r="H93" s="668"/>
      <c r="I93" s="668"/>
    </row>
    <row r="94" spans="1:9" ht="12.75">
      <c r="A94" s="708" t="s">
        <v>607</v>
      </c>
      <c r="B94" s="709">
        <v>2232286</v>
      </c>
      <c r="C94" s="709">
        <v>0</v>
      </c>
      <c r="D94" s="728"/>
      <c r="E94" s="729"/>
      <c r="F94" s="730"/>
      <c r="G94" s="668"/>
      <c r="H94" s="668"/>
      <c r="I94" s="668"/>
    </row>
    <row r="95" spans="1:9" ht="12.75">
      <c r="A95" s="697" t="s">
        <v>808</v>
      </c>
      <c r="B95" s="698" t="s">
        <v>4</v>
      </c>
      <c r="C95" s="690" t="s">
        <v>809</v>
      </c>
      <c r="D95" s="731"/>
      <c r="E95" s="732" t="s">
        <v>803</v>
      </c>
      <c r="F95" s="733" t="s">
        <v>803</v>
      </c>
      <c r="G95" s="668"/>
      <c r="H95" s="668"/>
      <c r="I95" s="668"/>
    </row>
    <row r="96" spans="1:9" ht="12.75">
      <c r="A96" s="697"/>
      <c r="B96" s="698"/>
      <c r="C96" s="693"/>
      <c r="D96" s="734"/>
      <c r="E96" s="725"/>
      <c r="F96" s="726"/>
      <c r="G96" s="668"/>
      <c r="H96" s="668"/>
      <c r="I96" s="668"/>
    </row>
    <row r="97" spans="1:9" ht="12.75">
      <c r="A97" s="708" t="s">
        <v>763</v>
      </c>
      <c r="B97" s="709">
        <v>2120550</v>
      </c>
      <c r="C97" s="678">
        <v>0</v>
      </c>
      <c r="D97" s="727"/>
      <c r="E97" s="725"/>
      <c r="F97" s="726"/>
      <c r="G97" s="668"/>
      <c r="H97" s="668"/>
      <c r="I97" s="668"/>
    </row>
    <row r="98" spans="1:9" ht="12.75">
      <c r="A98" s="677" t="s">
        <v>772</v>
      </c>
      <c r="B98" s="678">
        <v>1248631</v>
      </c>
      <c r="C98" s="678"/>
      <c r="D98" s="727"/>
      <c r="E98" s="725"/>
      <c r="F98" s="726"/>
      <c r="G98" s="668"/>
      <c r="H98" s="668"/>
      <c r="I98" s="668"/>
    </row>
    <row r="99" spans="1:9" ht="12.75">
      <c r="A99" s="677" t="s">
        <v>441</v>
      </c>
      <c r="B99" s="678">
        <v>714669</v>
      </c>
      <c r="C99" s="678">
        <v>0</v>
      </c>
      <c r="D99" s="727"/>
      <c r="E99" s="725"/>
      <c r="F99" s="726"/>
      <c r="G99" s="668"/>
      <c r="H99" s="668"/>
      <c r="I99" s="668"/>
    </row>
    <row r="100" spans="1:9" ht="12.75">
      <c r="A100" s="454" t="s">
        <v>810</v>
      </c>
      <c r="B100" s="678">
        <v>130000</v>
      </c>
      <c r="C100" s="678">
        <v>0</v>
      </c>
      <c r="D100" s="727"/>
      <c r="E100" s="725"/>
      <c r="F100" s="726"/>
      <c r="G100" s="668"/>
      <c r="H100" s="668"/>
      <c r="I100" s="668"/>
    </row>
    <row r="101" spans="1:9" ht="12.75">
      <c r="A101" s="454" t="s">
        <v>449</v>
      </c>
      <c r="B101" s="678">
        <v>450</v>
      </c>
      <c r="C101" s="678"/>
      <c r="D101" s="727"/>
      <c r="E101" s="725"/>
      <c r="F101" s="726"/>
      <c r="G101" s="668"/>
      <c r="H101" s="668"/>
      <c r="I101" s="668"/>
    </row>
    <row r="102" spans="1:9" ht="12.75">
      <c r="A102" s="454" t="s">
        <v>494</v>
      </c>
      <c r="B102" s="678">
        <v>4000</v>
      </c>
      <c r="C102" s="678">
        <v>0</v>
      </c>
      <c r="D102" s="727"/>
      <c r="E102" s="725"/>
      <c r="F102" s="726"/>
      <c r="G102" s="668"/>
      <c r="H102" s="668"/>
      <c r="I102" s="668"/>
    </row>
    <row r="103" spans="1:9" ht="12.75">
      <c r="A103" s="454" t="s">
        <v>495</v>
      </c>
      <c r="B103" s="678">
        <v>800</v>
      </c>
      <c r="C103" s="678">
        <v>0</v>
      </c>
      <c r="D103" s="727"/>
      <c r="E103" s="725"/>
      <c r="F103" s="726"/>
      <c r="G103" s="668"/>
      <c r="H103" s="668"/>
      <c r="I103" s="668"/>
    </row>
    <row r="104" spans="1:9" ht="12.75">
      <c r="A104" s="454" t="s">
        <v>497</v>
      </c>
      <c r="B104" s="678"/>
      <c r="C104" s="678"/>
      <c r="D104" s="727"/>
      <c r="E104" s="725"/>
      <c r="F104" s="726"/>
      <c r="G104" s="668"/>
      <c r="H104" s="668"/>
      <c r="I104" s="668"/>
    </row>
    <row r="105" spans="1:9" ht="12.75">
      <c r="A105" s="454" t="s">
        <v>498</v>
      </c>
      <c r="B105" s="678">
        <v>8000</v>
      </c>
      <c r="C105" s="678">
        <v>0</v>
      </c>
      <c r="D105" s="727"/>
      <c r="E105" s="725"/>
      <c r="F105" s="726"/>
      <c r="G105" s="668"/>
      <c r="H105" s="668"/>
      <c r="I105" s="668"/>
    </row>
    <row r="106" spans="1:9" ht="12.75">
      <c r="A106" s="454" t="s">
        <v>499</v>
      </c>
      <c r="B106" s="678">
        <v>10000</v>
      </c>
      <c r="C106" s="678">
        <v>0</v>
      </c>
      <c r="D106" s="727"/>
      <c r="E106" s="725"/>
      <c r="F106" s="726"/>
      <c r="G106" s="668"/>
      <c r="H106" s="668"/>
      <c r="I106" s="668"/>
    </row>
    <row r="107" spans="1:9" ht="12.75">
      <c r="A107" s="454" t="s">
        <v>500</v>
      </c>
      <c r="B107" s="678">
        <v>4000</v>
      </c>
      <c r="C107" s="678">
        <v>0</v>
      </c>
      <c r="D107" s="727"/>
      <c r="E107" s="725"/>
      <c r="F107" s="726"/>
      <c r="G107" s="668"/>
      <c r="H107" s="668"/>
      <c r="I107" s="668"/>
    </row>
    <row r="108" spans="1:9" ht="12.75">
      <c r="A108" s="454"/>
      <c r="B108" s="678"/>
      <c r="C108" s="678"/>
      <c r="D108" s="727"/>
      <c r="E108" s="725"/>
      <c r="F108" s="726"/>
      <c r="G108" s="668"/>
      <c r="H108" s="668"/>
      <c r="I108" s="668"/>
    </row>
    <row r="109" spans="1:9" ht="12.75">
      <c r="A109" s="459" t="s">
        <v>811</v>
      </c>
      <c r="B109" s="709">
        <v>31250</v>
      </c>
      <c r="C109" s="709">
        <v>0</v>
      </c>
      <c r="D109" s="728"/>
      <c r="E109" s="725"/>
      <c r="F109" s="726"/>
      <c r="G109" s="668"/>
      <c r="H109" s="668"/>
      <c r="I109" s="668"/>
    </row>
    <row r="110" spans="1:9" ht="12.75">
      <c r="A110" s="454" t="s">
        <v>423</v>
      </c>
      <c r="B110" s="678">
        <v>5000</v>
      </c>
      <c r="C110" s="678">
        <v>0</v>
      </c>
      <c r="D110" s="727"/>
      <c r="E110" s="725"/>
      <c r="F110" s="726"/>
      <c r="G110" s="668"/>
      <c r="H110" s="668"/>
      <c r="I110" s="668"/>
    </row>
    <row r="111" spans="1:9" ht="12.75">
      <c r="A111" s="454" t="s">
        <v>424</v>
      </c>
      <c r="B111" s="678">
        <v>20000</v>
      </c>
      <c r="C111" s="678">
        <v>0</v>
      </c>
      <c r="D111" s="727"/>
      <c r="E111" s="725"/>
      <c r="F111" s="726"/>
      <c r="G111" s="668"/>
      <c r="H111" s="668"/>
      <c r="I111" s="668"/>
    </row>
    <row r="112" spans="1:9" ht="12.75">
      <c r="A112" s="454" t="s">
        <v>812</v>
      </c>
      <c r="B112" s="678">
        <v>6250</v>
      </c>
      <c r="C112" s="678">
        <v>0</v>
      </c>
      <c r="D112" s="727"/>
      <c r="E112" s="725"/>
      <c r="F112" s="726"/>
      <c r="G112" s="668"/>
      <c r="H112" s="668"/>
      <c r="I112" s="668"/>
    </row>
    <row r="113" spans="1:9" ht="12.75">
      <c r="A113" s="454"/>
      <c r="B113" s="678"/>
      <c r="C113" s="678"/>
      <c r="D113" s="727"/>
      <c r="E113" s="725"/>
      <c r="F113" s="726"/>
      <c r="G113" s="668"/>
      <c r="H113" s="668"/>
      <c r="I113" s="668"/>
    </row>
    <row r="114" spans="1:9" ht="12.75">
      <c r="A114" s="459" t="s">
        <v>783</v>
      </c>
      <c r="B114" s="709">
        <v>70534</v>
      </c>
      <c r="C114" s="709">
        <v>0</v>
      </c>
      <c r="D114" s="728"/>
      <c r="E114" s="725"/>
      <c r="F114" s="726"/>
      <c r="G114" s="668"/>
      <c r="H114" s="668"/>
      <c r="I114" s="668"/>
    </row>
    <row r="115" spans="1:9" ht="12.75">
      <c r="A115" s="454" t="s">
        <v>813</v>
      </c>
      <c r="B115" s="678">
        <v>48363</v>
      </c>
      <c r="C115" s="678">
        <v>0</v>
      </c>
      <c r="D115" s="727"/>
      <c r="E115" s="725"/>
      <c r="F115" s="726"/>
      <c r="G115" s="668"/>
      <c r="H115" s="668"/>
      <c r="I115" s="668"/>
    </row>
    <row r="116" spans="1:9" ht="12.75">
      <c r="A116" s="454" t="s">
        <v>814</v>
      </c>
      <c r="B116" s="678">
        <v>1929</v>
      </c>
      <c r="C116" s="678">
        <v>0</v>
      </c>
      <c r="D116" s="727"/>
      <c r="E116" s="725"/>
      <c r="F116" s="726"/>
      <c r="G116" s="668"/>
      <c r="H116" s="668"/>
      <c r="I116" s="668"/>
    </row>
    <row r="117" spans="1:9" ht="12.75">
      <c r="A117" s="454" t="s">
        <v>618</v>
      </c>
      <c r="B117" s="678">
        <v>10000</v>
      </c>
      <c r="C117" s="678">
        <v>0</v>
      </c>
      <c r="D117" s="727"/>
      <c r="E117" s="725"/>
      <c r="F117" s="726"/>
      <c r="G117" s="668"/>
      <c r="H117" s="668"/>
      <c r="I117" s="668"/>
    </row>
    <row r="118" spans="1:9" ht="12.75">
      <c r="A118" s="454" t="s">
        <v>815</v>
      </c>
      <c r="B118" s="678">
        <v>3975</v>
      </c>
      <c r="C118" s="678">
        <v>0</v>
      </c>
      <c r="D118" s="727"/>
      <c r="E118" s="725"/>
      <c r="F118" s="726"/>
      <c r="G118" s="668"/>
      <c r="H118" s="668"/>
      <c r="I118" s="668"/>
    </row>
    <row r="119" spans="1:9" ht="12.75">
      <c r="A119" s="467" t="s">
        <v>816</v>
      </c>
      <c r="B119" s="455">
        <v>6267</v>
      </c>
      <c r="C119" s="678">
        <v>0</v>
      </c>
      <c r="D119" s="727"/>
      <c r="E119" s="725"/>
      <c r="F119" s="726"/>
      <c r="G119" s="668"/>
      <c r="H119" s="668"/>
      <c r="I119" s="668"/>
    </row>
    <row r="120" spans="1:9" ht="12.75">
      <c r="A120" s="467"/>
      <c r="B120" s="455"/>
      <c r="C120" s="678"/>
      <c r="D120" s="727"/>
      <c r="E120" s="725"/>
      <c r="F120" s="726"/>
      <c r="G120" s="668"/>
      <c r="H120" s="668"/>
      <c r="I120" s="668"/>
    </row>
    <row r="121" spans="1:9" ht="25.5">
      <c r="A121" s="735" t="s">
        <v>817</v>
      </c>
      <c r="B121" s="455"/>
      <c r="C121" s="678"/>
      <c r="D121" s="727"/>
      <c r="E121" s="725"/>
      <c r="F121" s="726"/>
      <c r="G121" s="668"/>
      <c r="H121" s="668"/>
      <c r="I121" s="668"/>
    </row>
    <row r="122" spans="1:9" ht="12.75">
      <c r="A122" s="454"/>
      <c r="B122" s="678"/>
      <c r="C122" s="678"/>
      <c r="D122" s="727"/>
      <c r="E122" s="725"/>
      <c r="F122" s="726"/>
      <c r="G122" s="668"/>
      <c r="H122" s="668"/>
      <c r="I122" s="668"/>
    </row>
    <row r="123" spans="1:9" ht="12.75">
      <c r="A123" s="708" t="s">
        <v>795</v>
      </c>
      <c r="B123" s="709">
        <v>2222334</v>
      </c>
      <c r="C123" s="709">
        <v>0</v>
      </c>
      <c r="D123" s="728"/>
      <c r="E123" s="725"/>
      <c r="F123" s="726"/>
      <c r="G123" s="668"/>
      <c r="H123" s="668"/>
      <c r="I123" s="668"/>
    </row>
    <row r="124" spans="1:9" ht="12.75">
      <c r="A124" s="467"/>
      <c r="B124" s="455"/>
      <c r="C124" s="678"/>
      <c r="D124" s="727"/>
      <c r="E124" s="725"/>
      <c r="F124" s="726"/>
      <c r="G124" s="668"/>
      <c r="H124" s="668"/>
      <c r="I124" s="668"/>
    </row>
    <row r="125" spans="1:9" ht="13.5">
      <c r="A125" s="711" t="s">
        <v>796</v>
      </c>
      <c r="B125" s="712">
        <v>9952</v>
      </c>
      <c r="C125" s="712">
        <v>0</v>
      </c>
      <c r="D125" s="736"/>
      <c r="E125" s="737"/>
      <c r="F125" s="738"/>
      <c r="G125" s="668"/>
      <c r="H125" s="668"/>
      <c r="I125" s="668"/>
    </row>
  </sheetData>
  <sheetProtection selectLockedCells="1" selectUnlockedCells="1"/>
  <mergeCells count="5">
    <mergeCell ref="A1:B1"/>
    <mergeCell ref="A2:D2"/>
    <mergeCell ref="A4:D4"/>
    <mergeCell ref="A80:D80"/>
    <mergeCell ref="A82:G82"/>
  </mergeCells>
  <printOptions horizontalCentered="1"/>
  <pageMargins left="0.39375" right="0.27569444444444446" top="0.6298611111111111" bottom="0.2361111111111111" header="0.43333333333333335" footer="0.5118055555555555"/>
  <pageSetup horizontalDpi="300" verticalDpi="300" orientation="portrait" paperSize="9" scale="63"/>
  <headerFooter alignWithMargins="0">
    <oddHeader>&amp;L 14. melléklet a 15/2012.(IV.27.) önkormányzati rendelethez</oddHeader>
  </headerFooter>
  <rowBreaks count="1" manualBreakCount="1">
    <brk id="80" max="255" man="1"/>
  </rowBreaks>
  <colBreaks count="2" manualBreakCount="2">
    <brk id="4" max="65535" man="1"/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E8" sqref="E8"/>
    </sheetView>
  </sheetViews>
  <sheetFormatPr defaultColWidth="9.00390625" defaultRowHeight="12.75"/>
  <cols>
    <col min="1" max="1" width="57.125" style="591" customWidth="1"/>
    <col min="2" max="2" width="15.25390625" style="591" customWidth="1"/>
    <col min="3" max="3" width="11.75390625" style="591" customWidth="1"/>
    <col min="4" max="4" width="13.625" style="591" customWidth="1"/>
    <col min="5" max="5" width="11.625" style="591" customWidth="1"/>
    <col min="6" max="6" width="17.00390625" style="591" customWidth="1"/>
    <col min="7" max="7" width="11.75390625" style="591" customWidth="1"/>
    <col min="8" max="8" width="11.625" style="591" customWidth="1"/>
    <col min="9" max="9" width="11.75390625" style="591" customWidth="1"/>
    <col min="10" max="10" width="12.00390625" style="591" customWidth="1"/>
    <col min="11" max="16384" width="9.125" style="591" customWidth="1"/>
  </cols>
  <sheetData>
    <row r="1" spans="1:2" ht="15.75">
      <c r="A1" s="739"/>
      <c r="B1" s="739"/>
    </row>
    <row r="2" spans="1:10" s="741" customFormat="1" ht="18.75">
      <c r="A2" s="740" t="s">
        <v>818</v>
      </c>
      <c r="B2" s="740"/>
      <c r="C2" s="740"/>
      <c r="D2" s="740"/>
      <c r="E2" s="740"/>
      <c r="F2" s="740"/>
      <c r="G2" s="740"/>
      <c r="H2" s="740"/>
      <c r="I2" s="740"/>
      <c r="J2" s="740"/>
    </row>
    <row r="3" spans="1:10" ht="15.75" customHeight="1">
      <c r="A3" s="742" t="s">
        <v>819</v>
      </c>
      <c r="B3" s="742"/>
      <c r="C3" s="742"/>
      <c r="D3" s="742"/>
      <c r="E3" s="742"/>
      <c r="F3" s="742"/>
      <c r="G3" s="742"/>
      <c r="H3" s="742"/>
      <c r="I3" s="742"/>
      <c r="J3" s="742"/>
    </row>
    <row r="4" spans="1:10" ht="16.5">
      <c r="A4" s="743"/>
      <c r="B4" s="743"/>
      <c r="C4" s="743"/>
      <c r="D4" s="743"/>
      <c r="E4" s="743"/>
      <c r="F4" s="743"/>
      <c r="G4" s="743"/>
      <c r="H4" s="743"/>
      <c r="I4" s="743"/>
      <c r="J4" s="743"/>
    </row>
    <row r="5" spans="1:10" s="748" customFormat="1" ht="15.75" customHeight="1">
      <c r="A5" s="744" t="s">
        <v>3</v>
      </c>
      <c r="B5" s="745" t="s">
        <v>820</v>
      </c>
      <c r="C5" s="746" t="s">
        <v>821</v>
      </c>
      <c r="D5" s="746"/>
      <c r="E5" s="747" t="s">
        <v>822</v>
      </c>
      <c r="F5" s="747" t="s">
        <v>823</v>
      </c>
      <c r="G5" s="747" t="s">
        <v>824</v>
      </c>
      <c r="H5" s="747" t="s">
        <v>825</v>
      </c>
      <c r="I5" s="747" t="s">
        <v>826</v>
      </c>
      <c r="J5" s="747" t="s">
        <v>827</v>
      </c>
    </row>
    <row r="6" spans="1:10" s="748" customFormat="1" ht="63" customHeight="1">
      <c r="A6" s="744"/>
      <c r="B6" s="745"/>
      <c r="C6" s="746" t="s">
        <v>828</v>
      </c>
      <c r="D6" s="746" t="s">
        <v>829</v>
      </c>
      <c r="E6" s="747"/>
      <c r="F6" s="747"/>
      <c r="G6" s="747"/>
      <c r="H6" s="747"/>
      <c r="I6" s="747"/>
      <c r="J6" s="747"/>
    </row>
    <row r="7" spans="1:10" ht="16.5">
      <c r="A7" s="749" t="s">
        <v>830</v>
      </c>
      <c r="B7" s="749" t="s">
        <v>831</v>
      </c>
      <c r="C7" s="750">
        <v>2002</v>
      </c>
      <c r="D7" s="751">
        <v>13130</v>
      </c>
      <c r="E7" s="752">
        <v>2012</v>
      </c>
      <c r="F7" s="753">
        <v>2910</v>
      </c>
      <c r="G7" s="753">
        <v>1460</v>
      </c>
      <c r="H7" s="753">
        <v>1450</v>
      </c>
      <c r="I7" s="753">
        <v>1450</v>
      </c>
      <c r="J7" s="754">
        <v>1450</v>
      </c>
    </row>
    <row r="8" spans="1:10" ht="16.5">
      <c r="A8" s="749" t="s">
        <v>832</v>
      </c>
      <c r="B8" s="749" t="s">
        <v>833</v>
      </c>
      <c r="C8" s="750">
        <v>2006</v>
      </c>
      <c r="D8" s="751">
        <v>5680</v>
      </c>
      <c r="E8" s="752">
        <v>2012</v>
      </c>
      <c r="F8" s="753">
        <v>2198</v>
      </c>
      <c r="G8" s="753">
        <v>746</v>
      </c>
      <c r="H8" s="753">
        <v>1452</v>
      </c>
      <c r="I8" s="753">
        <v>1452</v>
      </c>
      <c r="J8" s="754">
        <v>720</v>
      </c>
    </row>
    <row r="9" spans="1:10" ht="16.5">
      <c r="A9" s="755" t="s">
        <v>834</v>
      </c>
      <c r="B9" s="749" t="s">
        <v>831</v>
      </c>
      <c r="C9" s="750">
        <v>2006</v>
      </c>
      <c r="D9" s="751">
        <v>100000</v>
      </c>
      <c r="E9" s="752">
        <v>2016</v>
      </c>
      <c r="F9" s="753">
        <v>92426</v>
      </c>
      <c r="G9" s="753">
        <v>19261</v>
      </c>
      <c r="H9" s="753">
        <v>73165</v>
      </c>
      <c r="I9" s="753">
        <v>84083</v>
      </c>
      <c r="J9" s="754">
        <v>17709</v>
      </c>
    </row>
    <row r="10" spans="1:10" s="748" customFormat="1" ht="16.5">
      <c r="A10" s="756" t="s">
        <v>835</v>
      </c>
      <c r="B10" s="756"/>
      <c r="C10" s="757"/>
      <c r="D10" s="758">
        <f>SUM(D7:D9)</f>
        <v>118810</v>
      </c>
      <c r="E10" s="759"/>
      <c r="F10" s="760">
        <f>SUM(F7:F9)</f>
        <v>97534</v>
      </c>
      <c r="G10" s="760">
        <f>SUM(G7:G9)</f>
        <v>21467</v>
      </c>
      <c r="H10" s="760">
        <f>SUM(H7:H9)</f>
        <v>76067</v>
      </c>
      <c r="I10" s="760">
        <f>SUM(I7:I9)</f>
        <v>86985</v>
      </c>
      <c r="J10" s="761">
        <f>SUM(J7:J9)</f>
        <v>19879</v>
      </c>
    </row>
    <row r="11" spans="1:10" s="748" customFormat="1" ht="16.5">
      <c r="A11" s="756" t="s">
        <v>836</v>
      </c>
      <c r="B11" s="756" t="s">
        <v>837</v>
      </c>
      <c r="C11" s="757">
        <v>2008</v>
      </c>
      <c r="D11" s="758">
        <v>3569115</v>
      </c>
      <c r="E11" s="759">
        <v>2031</v>
      </c>
      <c r="F11" s="760">
        <v>4965764</v>
      </c>
      <c r="G11" s="760">
        <v>0</v>
      </c>
      <c r="H11" s="760">
        <v>4965764</v>
      </c>
      <c r="I11" s="760">
        <v>5706793</v>
      </c>
      <c r="J11" s="761">
        <v>114136</v>
      </c>
    </row>
    <row r="12" spans="1:10" ht="16.5">
      <c r="A12" s="756" t="s">
        <v>838</v>
      </c>
      <c r="B12" s="749"/>
      <c r="C12" s="750"/>
      <c r="D12" s="758">
        <f>SUM(D10+D11)</f>
        <v>3687925</v>
      </c>
      <c r="E12" s="752"/>
      <c r="F12" s="760">
        <f>SUM(F10+F11)</f>
        <v>5063298</v>
      </c>
      <c r="G12" s="760">
        <f>SUM(G10+G11)</f>
        <v>21467</v>
      </c>
      <c r="H12" s="760">
        <f>SUM(H10+H11)</f>
        <v>5041831</v>
      </c>
      <c r="I12" s="760">
        <f>SUM(I10+I11)</f>
        <v>5793778</v>
      </c>
      <c r="J12" s="761">
        <f>SUM(J10+J11)</f>
        <v>134015</v>
      </c>
    </row>
    <row r="15" spans="1:6" s="763" customFormat="1" ht="15.75" customHeight="1">
      <c r="A15" s="762" t="s">
        <v>839</v>
      </c>
      <c r="B15" s="762"/>
      <c r="C15" s="762"/>
      <c r="D15" s="762"/>
      <c r="E15" s="762"/>
      <c r="F15" s="762"/>
    </row>
    <row r="16" spans="1:6" ht="16.5">
      <c r="A16" s="764"/>
      <c r="B16" s="764"/>
      <c r="C16" s="764"/>
      <c r="D16" s="764"/>
      <c r="E16" s="764"/>
      <c r="F16" s="765"/>
    </row>
    <row r="17" spans="1:6" ht="115.5" customHeight="1">
      <c r="A17" s="766" t="s">
        <v>840</v>
      </c>
      <c r="B17" s="767" t="s">
        <v>841</v>
      </c>
      <c r="C17" s="767" t="s">
        <v>842</v>
      </c>
      <c r="D17" s="767" t="s">
        <v>843</v>
      </c>
      <c r="E17" s="767" t="s">
        <v>844</v>
      </c>
      <c r="F17" s="768" t="s">
        <v>845</v>
      </c>
    </row>
    <row r="18" spans="1:6" ht="16.5">
      <c r="A18" s="769" t="s">
        <v>846</v>
      </c>
      <c r="B18" s="770">
        <v>2012</v>
      </c>
      <c r="C18" s="771">
        <v>794975</v>
      </c>
      <c r="D18" s="771">
        <v>76975</v>
      </c>
      <c r="E18" s="771">
        <v>718000</v>
      </c>
      <c r="F18" s="772">
        <v>3521</v>
      </c>
    </row>
    <row r="19" spans="1:6" ht="16.5">
      <c r="A19" s="769" t="s">
        <v>847</v>
      </c>
      <c r="B19" s="770">
        <v>2011</v>
      </c>
      <c r="C19" s="771">
        <v>74051</v>
      </c>
      <c r="D19" s="771">
        <v>63551</v>
      </c>
      <c r="E19" s="771">
        <v>10500</v>
      </c>
      <c r="F19" s="772">
        <v>10348</v>
      </c>
    </row>
    <row r="20" spans="1:6" ht="16.5">
      <c r="A20" s="769" t="s">
        <v>655</v>
      </c>
      <c r="B20" s="770">
        <v>2013</v>
      </c>
      <c r="C20" s="771">
        <v>1280605</v>
      </c>
      <c r="D20" s="771">
        <v>30605</v>
      </c>
      <c r="E20" s="771">
        <v>1250000</v>
      </c>
      <c r="F20" s="772">
        <v>1369</v>
      </c>
    </row>
    <row r="21" spans="1:6" ht="16.5">
      <c r="A21" s="769" t="s">
        <v>848</v>
      </c>
      <c r="B21" s="770">
        <v>2011</v>
      </c>
      <c r="C21" s="771">
        <v>65337</v>
      </c>
      <c r="D21" s="771">
        <v>5985</v>
      </c>
      <c r="E21" s="771">
        <v>59352</v>
      </c>
      <c r="F21" s="772">
        <v>48350</v>
      </c>
    </row>
    <row r="22" spans="1:6" ht="16.5">
      <c r="A22" s="769" t="s">
        <v>849</v>
      </c>
      <c r="B22" s="770">
        <v>2011</v>
      </c>
      <c r="C22" s="771">
        <v>155758</v>
      </c>
      <c r="D22" s="771">
        <v>9415</v>
      </c>
      <c r="E22" s="771">
        <v>146343</v>
      </c>
      <c r="F22" s="772">
        <v>86645</v>
      </c>
    </row>
    <row r="23" spans="1:6" ht="16.5">
      <c r="A23" s="769" t="s">
        <v>850</v>
      </c>
      <c r="B23" s="770">
        <v>2011</v>
      </c>
      <c r="C23" s="771">
        <v>35000</v>
      </c>
      <c r="D23" s="771">
        <v>15000</v>
      </c>
      <c r="E23" s="771">
        <v>20000</v>
      </c>
      <c r="F23" s="772">
        <v>20000</v>
      </c>
    </row>
    <row r="24" spans="1:6" ht="16.5">
      <c r="A24" s="769" t="s">
        <v>851</v>
      </c>
      <c r="B24" s="770">
        <v>2011</v>
      </c>
      <c r="C24" s="771">
        <v>7950</v>
      </c>
      <c r="D24" s="771">
        <v>0</v>
      </c>
      <c r="E24" s="771">
        <v>7950</v>
      </c>
      <c r="F24" s="772">
        <v>7950</v>
      </c>
    </row>
    <row r="25" spans="1:6" ht="16.5">
      <c r="A25" s="769" t="s">
        <v>806</v>
      </c>
      <c r="B25" s="770">
        <v>2012</v>
      </c>
      <c r="C25" s="771">
        <v>142322</v>
      </c>
      <c r="D25" s="771">
        <v>12322</v>
      </c>
      <c r="E25" s="771">
        <v>130000</v>
      </c>
      <c r="F25" s="772">
        <v>12546</v>
      </c>
    </row>
    <row r="26" spans="1:6" ht="16.5">
      <c r="A26" s="769" t="s">
        <v>852</v>
      </c>
      <c r="B26" s="770">
        <v>2011</v>
      </c>
      <c r="C26" s="771">
        <v>18000</v>
      </c>
      <c r="D26" s="771">
        <v>15000</v>
      </c>
      <c r="E26" s="771">
        <v>3000</v>
      </c>
      <c r="F26" s="772">
        <v>3000</v>
      </c>
    </row>
    <row r="27" spans="1:6" ht="16.5">
      <c r="A27" s="773" t="s">
        <v>607</v>
      </c>
      <c r="B27" s="773"/>
      <c r="C27" s="774">
        <v>2573998</v>
      </c>
      <c r="D27" s="774">
        <v>228853</v>
      </c>
      <c r="E27" s="774">
        <v>2345145</v>
      </c>
      <c r="F27" s="760">
        <f>SUM(F18:F26)</f>
        <v>193729</v>
      </c>
    </row>
  </sheetData>
  <sheetProtection selectLockedCells="1" selectUnlockedCells="1"/>
  <mergeCells count="12">
    <mergeCell ref="A2:J2"/>
    <mergeCell ref="A3:J3"/>
    <mergeCell ref="A5:A6"/>
    <mergeCell ref="B5:B6"/>
    <mergeCell ref="C5:D5"/>
    <mergeCell ref="E5:E6"/>
    <mergeCell ref="F5:F6"/>
    <mergeCell ref="G5:G6"/>
    <mergeCell ref="H5:H6"/>
    <mergeCell ref="I5:I6"/>
    <mergeCell ref="J5:J6"/>
    <mergeCell ref="A15:F15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 scale="70"/>
  <headerFooter alignWithMargins="0">
    <oddHeader>&amp;L15.melléklet 15/2012.(IV.27.)önkormányzati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57"/>
  <sheetViews>
    <sheetView zoomScaleSheetLayoutView="100" workbookViewId="0" topLeftCell="A1">
      <selection activeCell="A11" sqref="A11"/>
    </sheetView>
  </sheetViews>
  <sheetFormatPr defaultColWidth="9.00390625" defaultRowHeight="12.75"/>
  <cols>
    <col min="1" max="1" width="65.125" style="1" customWidth="1"/>
    <col min="2" max="2" width="11.875" style="3" customWidth="1"/>
    <col min="3" max="16384" width="9.125" style="1" customWidth="1"/>
  </cols>
  <sheetData>
    <row r="1" spans="1:2" ht="15.75">
      <c r="A1" s="775" t="s">
        <v>853</v>
      </c>
      <c r="B1" s="775"/>
    </row>
    <row r="2" spans="1:2" ht="15.75">
      <c r="A2" s="775" t="s">
        <v>854</v>
      </c>
      <c r="B2" s="775"/>
    </row>
    <row r="3" spans="1:2" ht="15.75" customHeight="1">
      <c r="A3" s="775"/>
      <c r="B3" s="775"/>
    </row>
    <row r="5" spans="1:2" ht="13.5">
      <c r="A5" s="776" t="s">
        <v>855</v>
      </c>
      <c r="B5" s="777"/>
    </row>
    <row r="6" spans="1:2" ht="12.75">
      <c r="A6" s="778" t="s">
        <v>856</v>
      </c>
      <c r="B6" s="242"/>
    </row>
    <row r="7" spans="1:2" ht="12.75">
      <c r="A7" s="778"/>
      <c r="B7" s="779"/>
    </row>
    <row r="8" spans="1:2" ht="12.75">
      <c r="A8" s="17" t="s">
        <v>857</v>
      </c>
      <c r="B8" s="779"/>
    </row>
    <row r="9" spans="1:2" ht="12.75">
      <c r="A9" s="27" t="s">
        <v>858</v>
      </c>
      <c r="B9" s="242"/>
    </row>
    <row r="10" spans="1:2" ht="12.75">
      <c r="A10" s="27" t="s">
        <v>859</v>
      </c>
      <c r="B10" s="242">
        <v>7812</v>
      </c>
    </row>
    <row r="11" spans="1:2" ht="12.75">
      <c r="A11" s="27" t="s">
        <v>860</v>
      </c>
      <c r="B11" s="242">
        <v>89</v>
      </c>
    </row>
    <row r="12" spans="1:2" ht="12.75">
      <c r="A12" s="27" t="s">
        <v>861</v>
      </c>
      <c r="B12" s="242"/>
    </row>
    <row r="13" spans="1:2" ht="12.75">
      <c r="A13" s="27" t="s">
        <v>862</v>
      </c>
      <c r="B13" s="242">
        <v>22124</v>
      </c>
    </row>
    <row r="14" spans="1:2" ht="12.75">
      <c r="A14" s="38" t="s">
        <v>863</v>
      </c>
      <c r="B14" s="207">
        <f>SUM(B9:B13)</f>
        <v>30025</v>
      </c>
    </row>
    <row r="15" spans="1:2" ht="12.75">
      <c r="A15" s="27"/>
      <c r="B15" s="242"/>
    </row>
    <row r="16" spans="1:2" ht="12.75">
      <c r="A16" s="38" t="s">
        <v>864</v>
      </c>
      <c r="B16" s="242"/>
    </row>
    <row r="17" spans="1:2" ht="12.75">
      <c r="A17" s="27" t="s">
        <v>858</v>
      </c>
      <c r="B17" s="242"/>
    </row>
    <row r="18" spans="1:2" ht="12.75">
      <c r="A18" s="27" t="s">
        <v>865</v>
      </c>
      <c r="B18" s="242">
        <v>4095</v>
      </c>
    </row>
    <row r="19" spans="1:2" ht="12.75">
      <c r="A19" s="38" t="s">
        <v>866</v>
      </c>
      <c r="B19" s="207">
        <v>4095</v>
      </c>
    </row>
    <row r="20" spans="1:2" ht="12.75">
      <c r="A20" s="27"/>
      <c r="B20" s="242"/>
    </row>
    <row r="21" spans="1:2" ht="26.25" customHeight="1">
      <c r="A21" s="243" t="s">
        <v>867</v>
      </c>
      <c r="B21" s="242"/>
    </row>
    <row r="22" spans="1:2" ht="12.75">
      <c r="A22" s="27"/>
      <c r="B22" s="242"/>
    </row>
    <row r="23" spans="1:2" ht="12.75">
      <c r="A23" s="38" t="s">
        <v>868</v>
      </c>
      <c r="B23" s="207">
        <v>2944</v>
      </c>
    </row>
    <row r="24" spans="1:2" ht="12.75">
      <c r="A24" s="27"/>
      <c r="B24" s="242"/>
    </row>
    <row r="25" spans="1:2" ht="12.75">
      <c r="A25" s="38" t="s">
        <v>869</v>
      </c>
      <c r="B25" s="242"/>
    </row>
    <row r="26" spans="1:2" ht="12.75">
      <c r="A26" s="27" t="s">
        <v>870</v>
      </c>
      <c r="B26" s="242">
        <v>16358</v>
      </c>
    </row>
    <row r="27" spans="1:2" ht="12.75">
      <c r="A27" s="27" t="s">
        <v>871</v>
      </c>
      <c r="B27" s="242">
        <v>11550</v>
      </c>
    </row>
    <row r="28" spans="1:2" ht="12.75">
      <c r="A28" s="27" t="s">
        <v>872</v>
      </c>
      <c r="B28" s="242">
        <v>71211</v>
      </c>
    </row>
    <row r="29" spans="1:2" ht="12.75">
      <c r="A29" s="27" t="s">
        <v>873</v>
      </c>
      <c r="B29" s="242">
        <v>63411</v>
      </c>
    </row>
    <row r="30" spans="1:2" ht="12.75">
      <c r="A30" s="27" t="s">
        <v>874</v>
      </c>
      <c r="B30" s="242">
        <v>235</v>
      </c>
    </row>
    <row r="31" spans="1:2" ht="12.75">
      <c r="A31" s="780" t="s">
        <v>875</v>
      </c>
      <c r="B31" s="242">
        <v>29</v>
      </c>
    </row>
    <row r="32" spans="1:2" ht="12.75">
      <c r="A32" s="27" t="s">
        <v>876</v>
      </c>
      <c r="B32" s="242">
        <v>180</v>
      </c>
    </row>
    <row r="33" spans="1:2" ht="12.75">
      <c r="A33" s="38" t="s">
        <v>877</v>
      </c>
      <c r="B33" s="207">
        <f>SUM(B26:B32)</f>
        <v>162974</v>
      </c>
    </row>
    <row r="34" spans="1:2" ht="12.75">
      <c r="A34" s="27"/>
      <c r="B34" s="242"/>
    </row>
    <row r="35" spans="1:2" ht="12.75">
      <c r="A35" s="38" t="s">
        <v>878</v>
      </c>
      <c r="B35" s="242"/>
    </row>
    <row r="36" spans="1:2" ht="12.75">
      <c r="A36" s="27" t="s">
        <v>870</v>
      </c>
      <c r="B36" s="242">
        <v>1582</v>
      </c>
    </row>
    <row r="37" spans="1:2" ht="12.75">
      <c r="A37" s="27" t="s">
        <v>871</v>
      </c>
      <c r="B37" s="242">
        <v>32043</v>
      </c>
    </row>
    <row r="38" spans="1:2" ht="12.75">
      <c r="A38" s="27" t="s">
        <v>872</v>
      </c>
      <c r="B38" s="242">
        <v>10654</v>
      </c>
    </row>
    <row r="39" spans="1:2" ht="12.75">
      <c r="A39" s="27" t="s">
        <v>873</v>
      </c>
      <c r="B39" s="242">
        <v>20511</v>
      </c>
    </row>
    <row r="40" spans="1:2" ht="12.75">
      <c r="A40" s="27" t="s">
        <v>874</v>
      </c>
      <c r="B40" s="242">
        <v>19488</v>
      </c>
    </row>
    <row r="41" spans="1:2" ht="12.75">
      <c r="A41" s="780" t="s">
        <v>879</v>
      </c>
      <c r="B41" s="242">
        <v>727</v>
      </c>
    </row>
    <row r="42" spans="1:2" ht="12.75">
      <c r="A42" s="780" t="s">
        <v>880</v>
      </c>
      <c r="B42" s="242">
        <v>128</v>
      </c>
    </row>
    <row r="43" spans="1:2" ht="12.75">
      <c r="A43" s="38" t="s">
        <v>881</v>
      </c>
      <c r="B43" s="207">
        <f>SUM(B36:B42)</f>
        <v>85133</v>
      </c>
    </row>
    <row r="44" spans="1:2" ht="12.75">
      <c r="A44" s="27"/>
      <c r="B44" s="242"/>
    </row>
    <row r="45" spans="1:2" ht="12.75">
      <c r="A45" s="781" t="s">
        <v>882</v>
      </c>
      <c r="B45" s="782">
        <f>SUM(B14+B19+B23+B33+B43)</f>
        <v>285171</v>
      </c>
    </row>
    <row r="46" spans="1:2" ht="12.75">
      <c r="A46" s="27"/>
      <c r="B46" s="242"/>
    </row>
    <row r="47" spans="1:2" ht="25.5">
      <c r="A47" s="783" t="s">
        <v>883</v>
      </c>
      <c r="B47" s="207">
        <v>605</v>
      </c>
    </row>
    <row r="48" spans="1:2" ht="12.75">
      <c r="A48" s="27"/>
      <c r="B48" s="242"/>
    </row>
    <row r="49" spans="1:2" ht="12.75">
      <c r="A49" s="38" t="s">
        <v>884</v>
      </c>
      <c r="B49" s="207">
        <v>0</v>
      </c>
    </row>
    <row r="50" spans="1:2" ht="12.75">
      <c r="A50" s="781"/>
      <c r="B50" s="784"/>
    </row>
    <row r="51" spans="1:2" ht="12.75">
      <c r="A51" s="781" t="s">
        <v>885</v>
      </c>
      <c r="B51" s="782">
        <v>0</v>
      </c>
    </row>
    <row r="52" spans="1:2" ht="12.75">
      <c r="A52" s="781"/>
      <c r="B52" s="782"/>
    </row>
    <row r="53" spans="1:2" ht="12.75">
      <c r="A53" s="781" t="s">
        <v>886</v>
      </c>
      <c r="B53" s="782">
        <v>20033</v>
      </c>
    </row>
    <row r="54" spans="1:2" ht="12.75">
      <c r="A54" s="785" t="s">
        <v>887</v>
      </c>
      <c r="B54" s="784">
        <v>20000</v>
      </c>
    </row>
    <row r="55" spans="1:2" ht="12.75">
      <c r="A55" s="785" t="s">
        <v>888</v>
      </c>
      <c r="B55" s="784">
        <v>33</v>
      </c>
    </row>
    <row r="56" spans="1:2" ht="12.75">
      <c r="A56" s="786"/>
      <c r="B56" s="782"/>
    </row>
    <row r="57" spans="1:2" ht="13.5">
      <c r="A57" s="787" t="s">
        <v>889</v>
      </c>
      <c r="B57" s="216">
        <f>SUM(B45,B47,B53)</f>
        <v>305809</v>
      </c>
    </row>
  </sheetData>
  <sheetProtection selectLockedCells="1" selectUnlockedCells="1"/>
  <mergeCells count="3">
    <mergeCell ref="A1:B1"/>
    <mergeCell ref="A2:B2"/>
    <mergeCell ref="A3:B3"/>
  </mergeCells>
  <printOptions horizontalCentered="1" verticalCentered="1"/>
  <pageMargins left="0.7875" right="0.7875" top="1.023611111111111" bottom="1.023611111111111" header="0.7875" footer="0.5118055555555555"/>
  <pageSetup horizontalDpi="300" verticalDpi="300" orientation="portrait" paperSize="9" scale="92"/>
  <headerFooter alignWithMargins="0">
    <oddHeader>&amp;L16.melléklet a 15/2012(IV.27.)önkormányzati rendelethez</oddHeader>
  </headerFooter>
  <rowBreaks count="1" manualBreakCount="1">
    <brk id="5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216"/>
  <sheetViews>
    <sheetView zoomScaleSheetLayoutView="100" workbookViewId="0" topLeftCell="A1">
      <selection activeCell="B8" sqref="B8"/>
    </sheetView>
  </sheetViews>
  <sheetFormatPr defaultColWidth="9.00390625" defaultRowHeight="12.75"/>
  <cols>
    <col min="1" max="1" width="45.875" style="765" customWidth="1"/>
    <col min="2" max="2" width="19.125" style="765" customWidth="1"/>
    <col min="3" max="3" width="26.125" style="591" customWidth="1"/>
    <col min="4" max="4" width="14.25390625" style="788" customWidth="1"/>
    <col min="5" max="16384" width="9.125" style="765" customWidth="1"/>
  </cols>
  <sheetData>
    <row r="1" spans="1:4" ht="15.75">
      <c r="A1" s="742" t="s">
        <v>890</v>
      </c>
      <c r="B1" s="742"/>
      <c r="C1" s="742"/>
      <c r="D1" s="742"/>
    </row>
    <row r="2" spans="1:2" ht="19.5" customHeight="1">
      <c r="A2" s="591"/>
      <c r="B2" s="591"/>
    </row>
    <row r="3" spans="1:4" ht="15" customHeight="1">
      <c r="A3" s="789" t="s">
        <v>891</v>
      </c>
      <c r="B3" s="790" t="s">
        <v>892</v>
      </c>
      <c r="C3" s="790"/>
      <c r="D3" s="790"/>
    </row>
    <row r="4" spans="1:4" ht="15" customHeight="1">
      <c r="A4" s="791" t="s">
        <v>893</v>
      </c>
      <c r="B4" s="792">
        <v>40148</v>
      </c>
      <c r="C4" s="792"/>
      <c r="D4" s="792"/>
    </row>
    <row r="5" spans="1:4" ht="15" customHeight="1">
      <c r="A5" s="791" t="s">
        <v>894</v>
      </c>
      <c r="B5" s="793" t="s">
        <v>895</v>
      </c>
      <c r="C5" s="793"/>
      <c r="D5" s="793"/>
    </row>
    <row r="6" spans="1:4" ht="15" customHeight="1">
      <c r="A6" s="791" t="s">
        <v>896</v>
      </c>
      <c r="B6" s="794">
        <f>SUM(B7:B9)</f>
        <v>767684</v>
      </c>
      <c r="C6" s="795" t="s">
        <v>897</v>
      </c>
      <c r="D6" s="796">
        <f>SUM(D7:D9)</f>
        <v>20348</v>
      </c>
    </row>
    <row r="7" spans="1:4" ht="15" customHeight="1">
      <c r="A7" s="791" t="s">
        <v>898</v>
      </c>
      <c r="B7" s="797">
        <f>B10-B9</f>
        <v>233062</v>
      </c>
      <c r="C7" s="795" t="s">
        <v>897</v>
      </c>
      <c r="D7" s="798">
        <v>1143</v>
      </c>
    </row>
    <row r="8" spans="1:4" ht="15" customHeight="1">
      <c r="A8" s="791" t="s">
        <v>899</v>
      </c>
      <c r="B8" s="797"/>
      <c r="C8" s="795"/>
      <c r="D8" s="798"/>
    </row>
    <row r="9" spans="1:4" ht="15" customHeight="1">
      <c r="A9" s="791" t="s">
        <v>900</v>
      </c>
      <c r="B9" s="797">
        <v>534622</v>
      </c>
      <c r="C9" s="795" t="s">
        <v>897</v>
      </c>
      <c r="D9" s="798">
        <v>19205</v>
      </c>
    </row>
    <row r="10" spans="1:4" ht="15" customHeight="1">
      <c r="A10" s="791" t="s">
        <v>901</v>
      </c>
      <c r="B10" s="794">
        <v>767684</v>
      </c>
      <c r="C10" s="795" t="s">
        <v>897</v>
      </c>
      <c r="D10" s="796">
        <v>6161</v>
      </c>
    </row>
    <row r="11" spans="1:4" ht="15" customHeight="1">
      <c r="A11" s="791"/>
      <c r="B11" s="799"/>
      <c r="C11" s="795"/>
      <c r="D11" s="800"/>
    </row>
    <row r="12" spans="1:4" ht="30" customHeight="1">
      <c r="A12" s="791" t="s">
        <v>891</v>
      </c>
      <c r="B12" s="801" t="s">
        <v>902</v>
      </c>
      <c r="C12" s="801"/>
      <c r="D12" s="801"/>
    </row>
    <row r="13" spans="1:4" ht="15" customHeight="1">
      <c r="A13" s="791" t="s">
        <v>893</v>
      </c>
      <c r="B13" s="793" t="s">
        <v>903</v>
      </c>
      <c r="C13" s="793"/>
      <c r="D13" s="793"/>
    </row>
    <row r="14" spans="1:4" ht="15" customHeight="1">
      <c r="A14" s="791" t="s">
        <v>894</v>
      </c>
      <c r="B14" s="793" t="s">
        <v>904</v>
      </c>
      <c r="C14" s="793"/>
      <c r="D14" s="793"/>
    </row>
    <row r="15" spans="1:4" ht="15" customHeight="1">
      <c r="A15" s="791" t="s">
        <v>896</v>
      </c>
      <c r="B15" s="794">
        <f>SUM(B16:B18)</f>
        <v>21738</v>
      </c>
      <c r="C15" s="795" t="s">
        <v>897</v>
      </c>
      <c r="D15" s="796">
        <f>SUM(D16:D18)</f>
        <v>4432</v>
      </c>
    </row>
    <row r="16" spans="1:4" ht="15" customHeight="1">
      <c r="A16" s="791" t="s">
        <v>898</v>
      </c>
      <c r="B16" s="797">
        <v>1741</v>
      </c>
      <c r="C16" s="795" t="s">
        <v>897</v>
      </c>
      <c r="D16" s="798">
        <v>1397</v>
      </c>
    </row>
    <row r="17" spans="1:4" ht="15" customHeight="1">
      <c r="A17" s="791" t="s">
        <v>899</v>
      </c>
      <c r="B17" s="797" t="s">
        <v>905</v>
      </c>
      <c r="C17" s="795"/>
      <c r="D17" s="798"/>
    </row>
    <row r="18" spans="1:4" ht="15" customHeight="1">
      <c r="A18" s="791" t="s">
        <v>900</v>
      </c>
      <c r="B18" s="797">
        <v>19997</v>
      </c>
      <c r="C18" s="795" t="s">
        <v>897</v>
      </c>
      <c r="D18" s="798">
        <v>3035</v>
      </c>
    </row>
    <row r="19" spans="1:4" ht="15" customHeight="1">
      <c r="A19" s="791" t="s">
        <v>901</v>
      </c>
      <c r="B19" s="794">
        <v>21738</v>
      </c>
      <c r="C19" s="795" t="s">
        <v>897</v>
      </c>
      <c r="D19" s="796">
        <v>4432</v>
      </c>
    </row>
    <row r="20" spans="1:4" ht="15" customHeight="1">
      <c r="A20" s="791"/>
      <c r="B20" s="802"/>
      <c r="C20" s="795"/>
      <c r="D20" s="803"/>
    </row>
    <row r="21" spans="1:4" ht="45" customHeight="1">
      <c r="A21" s="791" t="s">
        <v>891</v>
      </c>
      <c r="B21" s="801" t="s">
        <v>906</v>
      </c>
      <c r="C21" s="801"/>
      <c r="D21" s="801"/>
    </row>
    <row r="22" spans="1:4" ht="15" customHeight="1">
      <c r="A22" s="791" t="s">
        <v>893</v>
      </c>
      <c r="B22" s="792">
        <v>39993</v>
      </c>
      <c r="C22" s="792"/>
      <c r="D22" s="792"/>
    </row>
    <row r="23" spans="1:4" ht="15" customHeight="1">
      <c r="A23" s="791" t="s">
        <v>894</v>
      </c>
      <c r="B23" s="802" t="s">
        <v>907</v>
      </c>
      <c r="C23" s="795"/>
      <c r="D23" s="803"/>
    </row>
    <row r="24" spans="1:4" ht="15" customHeight="1">
      <c r="A24" s="791" t="s">
        <v>896</v>
      </c>
      <c r="B24" s="794">
        <f>SUM(B25:B27)</f>
        <v>458724</v>
      </c>
      <c r="C24" s="795" t="s">
        <v>897</v>
      </c>
      <c r="D24" s="796">
        <f>SUM(D25:D27)</f>
        <v>5627</v>
      </c>
    </row>
    <row r="25" spans="1:4" ht="15" customHeight="1">
      <c r="A25" s="791" t="s">
        <v>898</v>
      </c>
      <c r="B25" s="797">
        <f>458724-B27</f>
        <v>316127</v>
      </c>
      <c r="C25" s="795" t="s">
        <v>897</v>
      </c>
      <c r="D25" s="798"/>
    </row>
    <row r="26" spans="1:4" ht="15" customHeight="1">
      <c r="A26" s="791" t="s">
        <v>899</v>
      </c>
      <c r="B26" s="797" t="s">
        <v>905</v>
      </c>
      <c r="C26" s="795"/>
      <c r="D26" s="798"/>
    </row>
    <row r="27" spans="1:4" ht="15" customHeight="1">
      <c r="A27" s="791" t="s">
        <v>900</v>
      </c>
      <c r="B27" s="797">
        <v>142597</v>
      </c>
      <c r="C27" s="795" t="s">
        <v>897</v>
      </c>
      <c r="D27" s="798">
        <v>5627</v>
      </c>
    </row>
    <row r="28" spans="1:4" ht="15" customHeight="1">
      <c r="A28" s="791" t="s">
        <v>901</v>
      </c>
      <c r="B28" s="794">
        <v>458724</v>
      </c>
      <c r="C28" s="795" t="s">
        <v>897</v>
      </c>
      <c r="D28" s="796">
        <v>0</v>
      </c>
    </row>
    <row r="29" spans="1:4" ht="15" customHeight="1">
      <c r="A29" s="791"/>
      <c r="B29" s="802"/>
      <c r="C29" s="795"/>
      <c r="D29" s="803"/>
    </row>
    <row r="30" spans="1:4" ht="29.25" customHeight="1">
      <c r="A30" s="791" t="s">
        <v>891</v>
      </c>
      <c r="B30" s="801" t="s">
        <v>908</v>
      </c>
      <c r="C30" s="801"/>
      <c r="D30" s="801"/>
    </row>
    <row r="31" spans="1:4" ht="15" customHeight="1">
      <c r="A31" s="791" t="s">
        <v>893</v>
      </c>
      <c r="B31" s="792">
        <v>39958</v>
      </c>
      <c r="C31" s="792"/>
      <c r="D31" s="792"/>
    </row>
    <row r="32" spans="1:4" ht="15" customHeight="1">
      <c r="A32" s="791" t="s">
        <v>894</v>
      </c>
      <c r="B32" s="793" t="s">
        <v>909</v>
      </c>
      <c r="C32" s="793"/>
      <c r="D32" s="793"/>
    </row>
    <row r="33" spans="1:4" ht="15" customHeight="1">
      <c r="A33" s="791" t="s">
        <v>896</v>
      </c>
      <c r="B33" s="794">
        <f>SUM(B34:B36)</f>
        <v>524993</v>
      </c>
      <c r="C33" s="795" t="s">
        <v>897</v>
      </c>
      <c r="D33" s="796">
        <f>SUM(D34:D36)</f>
        <v>46933</v>
      </c>
    </row>
    <row r="34" spans="1:4" ht="15" customHeight="1">
      <c r="A34" s="791" t="s">
        <v>898</v>
      </c>
      <c r="B34" s="797">
        <f>B37-B36</f>
        <v>286517</v>
      </c>
      <c r="C34" s="795" t="s">
        <v>897</v>
      </c>
      <c r="D34" s="798">
        <v>9345</v>
      </c>
    </row>
    <row r="35" spans="1:4" ht="15" customHeight="1">
      <c r="A35" s="791" t="s">
        <v>899</v>
      </c>
      <c r="B35" s="797"/>
      <c r="C35" s="795"/>
      <c r="D35" s="798"/>
    </row>
    <row r="36" spans="1:4" ht="15" customHeight="1">
      <c r="A36" s="791" t="s">
        <v>900</v>
      </c>
      <c r="B36" s="797">
        <v>238476</v>
      </c>
      <c r="C36" s="795" t="s">
        <v>897</v>
      </c>
      <c r="D36" s="798">
        <v>37588</v>
      </c>
    </row>
    <row r="37" spans="1:4" ht="15" customHeight="1">
      <c r="A37" s="791" t="s">
        <v>901</v>
      </c>
      <c r="B37" s="794">
        <v>524993</v>
      </c>
      <c r="C37" s="795" t="s">
        <v>897</v>
      </c>
      <c r="D37" s="796">
        <v>46933</v>
      </c>
    </row>
    <row r="38" spans="1:4" ht="15" customHeight="1">
      <c r="A38" s="791"/>
      <c r="B38" s="802"/>
      <c r="C38" s="795"/>
      <c r="D38" s="803"/>
    </row>
    <row r="39" spans="1:4" ht="30.75" customHeight="1">
      <c r="A39" s="791" t="s">
        <v>891</v>
      </c>
      <c r="B39" s="801" t="s">
        <v>910</v>
      </c>
      <c r="C39" s="801"/>
      <c r="D39" s="801"/>
    </row>
    <row r="40" spans="1:4" ht="15" customHeight="1">
      <c r="A40" s="791" t="s">
        <v>893</v>
      </c>
      <c r="B40" s="793" t="s">
        <v>911</v>
      </c>
      <c r="C40" s="793"/>
      <c r="D40" s="793"/>
    </row>
    <row r="41" spans="1:4" ht="15" customHeight="1">
      <c r="A41" s="791" t="s">
        <v>894</v>
      </c>
      <c r="B41" s="804">
        <v>2010</v>
      </c>
      <c r="C41" s="804"/>
      <c r="D41" s="804"/>
    </row>
    <row r="42" spans="1:4" ht="15" customHeight="1">
      <c r="A42" s="791" t="s">
        <v>896</v>
      </c>
      <c r="B42" s="794">
        <f>SUM(B43:B45)</f>
        <v>74051</v>
      </c>
      <c r="C42" s="795" t="s">
        <v>897</v>
      </c>
      <c r="D42" s="796">
        <f>SUM(D43:D45)</f>
        <v>50510</v>
      </c>
    </row>
    <row r="43" spans="1:4" ht="15" customHeight="1">
      <c r="A43" s="791" t="s">
        <v>898</v>
      </c>
      <c r="B43" s="797">
        <f>B46-B45</f>
        <v>21696</v>
      </c>
      <c r="C43" s="795" t="s">
        <v>897</v>
      </c>
      <c r="D43" s="798"/>
    </row>
    <row r="44" spans="1:4" ht="15" customHeight="1">
      <c r="A44" s="791" t="s">
        <v>899</v>
      </c>
      <c r="B44" s="797"/>
      <c r="C44" s="795"/>
      <c r="D44" s="798"/>
    </row>
    <row r="45" spans="1:4" ht="15" customHeight="1">
      <c r="A45" s="791" t="s">
        <v>900</v>
      </c>
      <c r="B45" s="797">
        <v>52355</v>
      </c>
      <c r="C45" s="795" t="s">
        <v>897</v>
      </c>
      <c r="D45" s="798">
        <v>50510</v>
      </c>
    </row>
    <row r="46" spans="1:4" ht="15" customHeight="1">
      <c r="A46" s="791" t="s">
        <v>901</v>
      </c>
      <c r="B46" s="794">
        <v>74051</v>
      </c>
      <c r="C46" s="795" t="s">
        <v>897</v>
      </c>
      <c r="D46" s="796">
        <v>49681</v>
      </c>
    </row>
    <row r="47" spans="1:4" ht="15" customHeight="1">
      <c r="A47" s="791"/>
      <c r="B47" s="802"/>
      <c r="C47" s="795"/>
      <c r="D47" s="803"/>
    </row>
    <row r="48" spans="1:4" ht="30" customHeight="1">
      <c r="A48" s="791" t="s">
        <v>891</v>
      </c>
      <c r="B48" s="801" t="s">
        <v>912</v>
      </c>
      <c r="C48" s="801"/>
      <c r="D48" s="801"/>
    </row>
    <row r="49" spans="1:4" ht="15" customHeight="1">
      <c r="A49" s="791" t="s">
        <v>893</v>
      </c>
      <c r="B49" s="792" t="s">
        <v>913</v>
      </c>
      <c r="C49" s="792"/>
      <c r="D49" s="792"/>
    </row>
    <row r="50" spans="1:4" ht="15" customHeight="1">
      <c r="A50" s="791" t="s">
        <v>894</v>
      </c>
      <c r="B50" s="793" t="s">
        <v>914</v>
      </c>
      <c r="C50" s="793"/>
      <c r="D50" s="793"/>
    </row>
    <row r="51" spans="1:4" ht="15" customHeight="1">
      <c r="A51" s="791" t="s">
        <v>896</v>
      </c>
      <c r="B51" s="794">
        <f>SUM(B52:B54)</f>
        <v>1147033</v>
      </c>
      <c r="C51" s="795" t="s">
        <v>897</v>
      </c>
      <c r="D51" s="796">
        <v>0</v>
      </c>
    </row>
    <row r="52" spans="1:4" ht="15" customHeight="1">
      <c r="A52" s="791" t="s">
        <v>898</v>
      </c>
      <c r="B52" s="797">
        <f>B55-B54</f>
        <v>471717</v>
      </c>
      <c r="C52" s="795" t="s">
        <v>897</v>
      </c>
      <c r="D52" s="798">
        <v>0</v>
      </c>
    </row>
    <row r="53" spans="1:4" ht="15" customHeight="1">
      <c r="A53" s="791" t="s">
        <v>899</v>
      </c>
      <c r="B53" s="797"/>
      <c r="C53" s="795"/>
      <c r="D53" s="798"/>
    </row>
    <row r="54" spans="1:4" ht="15" customHeight="1">
      <c r="A54" s="791" t="s">
        <v>900</v>
      </c>
      <c r="B54" s="797">
        <v>675316</v>
      </c>
      <c r="C54" s="795" t="s">
        <v>897</v>
      </c>
      <c r="D54" s="798">
        <v>0</v>
      </c>
    </row>
    <row r="55" spans="1:4" ht="15" customHeight="1">
      <c r="A55" s="791" t="s">
        <v>901</v>
      </c>
      <c r="B55" s="794">
        <v>1147033</v>
      </c>
      <c r="C55" s="795" t="s">
        <v>897</v>
      </c>
      <c r="D55" s="796">
        <v>6706</v>
      </c>
    </row>
    <row r="56" spans="1:4" ht="15" customHeight="1">
      <c r="A56" s="805"/>
      <c r="B56" s="806"/>
      <c r="C56" s="807"/>
      <c r="D56" s="808"/>
    </row>
    <row r="57" spans="1:4" ht="34.5" customHeight="1">
      <c r="A57" s="809" t="s">
        <v>891</v>
      </c>
      <c r="B57" s="810" t="s">
        <v>915</v>
      </c>
      <c r="C57" s="810"/>
      <c r="D57" s="810"/>
    </row>
    <row r="58" spans="1:4" ht="15" customHeight="1">
      <c r="A58" s="791" t="s">
        <v>893</v>
      </c>
      <c r="B58" s="793" t="s">
        <v>916</v>
      </c>
      <c r="C58" s="793"/>
      <c r="D58" s="793"/>
    </row>
    <row r="59" spans="1:4" ht="15" customHeight="1">
      <c r="A59" s="791" t="s">
        <v>894</v>
      </c>
      <c r="B59" s="804" t="s">
        <v>917</v>
      </c>
      <c r="C59" s="804"/>
      <c r="D59" s="804"/>
    </row>
    <row r="60" spans="1:4" ht="15" customHeight="1">
      <c r="A60" s="791" t="s">
        <v>896</v>
      </c>
      <c r="B60" s="794">
        <f>SUM(B61:B63)</f>
        <v>64695</v>
      </c>
      <c r="C60" s="795" t="s">
        <v>897</v>
      </c>
      <c r="D60" s="796">
        <f>SUM(D61:D63)</f>
        <v>43380</v>
      </c>
    </row>
    <row r="61" spans="1:4" ht="15" customHeight="1">
      <c r="A61" s="791" t="s">
        <v>898</v>
      </c>
      <c r="B61" s="797">
        <f>B64-B63</f>
        <v>21879</v>
      </c>
      <c r="C61" s="795" t="s">
        <v>897</v>
      </c>
      <c r="D61" s="798">
        <v>13729</v>
      </c>
    </row>
    <row r="62" spans="1:4" ht="15" customHeight="1">
      <c r="A62" s="791" t="s">
        <v>899</v>
      </c>
      <c r="B62" s="797"/>
      <c r="C62" s="795"/>
      <c r="D62" s="798"/>
    </row>
    <row r="63" spans="1:4" ht="15" customHeight="1">
      <c r="A63" s="791" t="s">
        <v>918</v>
      </c>
      <c r="B63" s="797">
        <v>42816</v>
      </c>
      <c r="C63" s="795" t="s">
        <v>897</v>
      </c>
      <c r="D63" s="798">
        <v>29651</v>
      </c>
    </row>
    <row r="64" spans="1:4" ht="15" customHeight="1">
      <c r="A64" s="791" t="s">
        <v>901</v>
      </c>
      <c r="B64" s="794">
        <v>64695</v>
      </c>
      <c r="C64" s="795" t="s">
        <v>897</v>
      </c>
      <c r="D64" s="796">
        <v>43380</v>
      </c>
    </row>
    <row r="65" spans="1:4" ht="15" customHeight="1">
      <c r="A65" s="791"/>
      <c r="B65" s="802"/>
      <c r="C65" s="795"/>
      <c r="D65" s="803"/>
    </row>
    <row r="66" spans="1:4" ht="31.5" customHeight="1">
      <c r="A66" s="811" t="s">
        <v>891</v>
      </c>
      <c r="B66" s="801" t="s">
        <v>919</v>
      </c>
      <c r="C66" s="801"/>
      <c r="D66" s="801"/>
    </row>
    <row r="67" spans="1:4" ht="15" customHeight="1">
      <c r="A67" s="791" t="s">
        <v>893</v>
      </c>
      <c r="B67" s="793" t="s">
        <v>920</v>
      </c>
      <c r="C67" s="793"/>
      <c r="D67" s="793"/>
    </row>
    <row r="68" spans="1:4" ht="15" customHeight="1">
      <c r="A68" s="791" t="s">
        <v>894</v>
      </c>
      <c r="B68" s="804" t="s">
        <v>921</v>
      </c>
      <c r="C68" s="804"/>
      <c r="D68" s="804"/>
    </row>
    <row r="69" spans="1:4" ht="15" customHeight="1">
      <c r="A69" s="791" t="s">
        <v>896</v>
      </c>
      <c r="B69" s="794">
        <f>SUM(B70:B72)</f>
        <v>142413</v>
      </c>
      <c r="C69" s="795" t="s">
        <v>897</v>
      </c>
      <c r="D69" s="796">
        <f>SUM(D70:D72)</f>
        <v>87235</v>
      </c>
    </row>
    <row r="70" spans="1:4" ht="15" customHeight="1">
      <c r="A70" s="791" t="s">
        <v>898</v>
      </c>
      <c r="B70" s="797">
        <f>B73-B72</f>
        <v>10632</v>
      </c>
      <c r="C70" s="795" t="s">
        <v>897</v>
      </c>
      <c r="D70" s="798">
        <v>22517</v>
      </c>
    </row>
    <row r="71" spans="1:4" ht="15" customHeight="1">
      <c r="A71" s="791" t="s">
        <v>899</v>
      </c>
      <c r="B71" s="797"/>
      <c r="C71" s="795"/>
      <c r="D71" s="798"/>
    </row>
    <row r="72" spans="1:4" ht="15" customHeight="1">
      <c r="A72" s="791" t="s">
        <v>900</v>
      </c>
      <c r="B72" s="797">
        <v>131781</v>
      </c>
      <c r="C72" s="795" t="s">
        <v>897</v>
      </c>
      <c r="D72" s="798">
        <v>64718</v>
      </c>
    </row>
    <row r="73" spans="1:4" ht="15" customHeight="1">
      <c r="A73" s="791" t="s">
        <v>901</v>
      </c>
      <c r="B73" s="794">
        <f>110103+32310</f>
        <v>142413</v>
      </c>
      <c r="C73" s="795" t="s">
        <v>897</v>
      </c>
      <c r="D73" s="796">
        <v>87235</v>
      </c>
    </row>
    <row r="74" spans="1:4" ht="15" customHeight="1">
      <c r="A74" s="791"/>
      <c r="B74" s="802"/>
      <c r="C74" s="795"/>
      <c r="D74" s="803"/>
    </row>
    <row r="75" spans="1:4" ht="28.5" customHeight="1">
      <c r="A75" s="811" t="s">
        <v>891</v>
      </c>
      <c r="B75" s="801" t="s">
        <v>922</v>
      </c>
      <c r="C75" s="801"/>
      <c r="D75" s="801"/>
    </row>
    <row r="76" spans="1:4" ht="15" customHeight="1">
      <c r="A76" s="791" t="s">
        <v>893</v>
      </c>
      <c r="B76" s="792">
        <v>40730</v>
      </c>
      <c r="C76" s="792"/>
      <c r="D76" s="792"/>
    </row>
    <row r="77" spans="1:4" ht="15" customHeight="1">
      <c r="A77" s="791" t="s">
        <v>894</v>
      </c>
      <c r="B77" s="804">
        <v>2012</v>
      </c>
      <c r="C77" s="804"/>
      <c r="D77" s="804"/>
    </row>
    <row r="78" spans="1:4" ht="15" customHeight="1">
      <c r="A78" s="791" t="s">
        <v>896</v>
      </c>
      <c r="B78" s="794">
        <f>SUM(B79:B81)</f>
        <v>479486</v>
      </c>
      <c r="C78" s="795" t="s">
        <v>897</v>
      </c>
      <c r="D78" s="796">
        <v>9298</v>
      </c>
    </row>
    <row r="79" spans="1:4" ht="15" customHeight="1">
      <c r="A79" s="791" t="s">
        <v>923</v>
      </c>
      <c r="B79" s="797">
        <f>B82-B81</f>
        <v>34966</v>
      </c>
      <c r="C79" s="795" t="s">
        <v>897</v>
      </c>
      <c r="D79" s="798">
        <v>0</v>
      </c>
    </row>
    <row r="80" spans="1:4" ht="15" customHeight="1">
      <c r="A80" s="791" t="s">
        <v>899</v>
      </c>
      <c r="B80" s="797"/>
      <c r="C80" s="795"/>
      <c r="D80" s="798"/>
    </row>
    <row r="81" spans="1:4" ht="15" customHeight="1">
      <c r="A81" s="791" t="s">
        <v>900</v>
      </c>
      <c r="B81" s="797">
        <v>444520</v>
      </c>
      <c r="C81" s="795" t="s">
        <v>897</v>
      </c>
      <c r="D81" s="798">
        <v>9298</v>
      </c>
    </row>
    <row r="82" spans="1:4" ht="15" customHeight="1">
      <c r="A82" s="791" t="s">
        <v>901</v>
      </c>
      <c r="B82" s="794">
        <v>479486</v>
      </c>
      <c r="C82" s="795" t="s">
        <v>897</v>
      </c>
      <c r="D82" s="796">
        <v>3447</v>
      </c>
    </row>
    <row r="83" spans="1:4" ht="15" customHeight="1">
      <c r="A83" s="791"/>
      <c r="B83" s="802"/>
      <c r="C83" s="795"/>
      <c r="D83" s="803"/>
    </row>
    <row r="84" spans="1:4" ht="62.25" customHeight="1">
      <c r="A84" s="811" t="s">
        <v>891</v>
      </c>
      <c r="B84" s="801" t="s">
        <v>924</v>
      </c>
      <c r="C84" s="801"/>
      <c r="D84" s="801"/>
    </row>
    <row r="85" spans="1:4" ht="15" customHeight="1">
      <c r="A85" s="791" t="s">
        <v>894</v>
      </c>
      <c r="B85" s="804">
        <v>2011</v>
      </c>
      <c r="C85" s="804"/>
      <c r="D85" s="804"/>
    </row>
    <row r="86" spans="1:4" ht="15" customHeight="1">
      <c r="A86" s="791" t="s">
        <v>896</v>
      </c>
      <c r="B86" s="794">
        <v>64210</v>
      </c>
      <c r="C86" s="795" t="s">
        <v>897</v>
      </c>
      <c r="D86" s="796">
        <v>59944</v>
      </c>
    </row>
    <row r="87" spans="1:4" ht="15" customHeight="1">
      <c r="A87" s="791" t="s">
        <v>898</v>
      </c>
      <c r="B87" s="797">
        <v>0</v>
      </c>
      <c r="C87" s="795" t="s">
        <v>897</v>
      </c>
      <c r="D87" s="798"/>
    </row>
    <row r="88" spans="1:4" ht="15" customHeight="1">
      <c r="A88" s="791" t="s">
        <v>899</v>
      </c>
      <c r="B88" s="797"/>
      <c r="C88" s="795"/>
      <c r="D88" s="798"/>
    </row>
    <row r="89" spans="1:4" ht="15" customHeight="1">
      <c r="A89" s="791" t="s">
        <v>900</v>
      </c>
      <c r="B89" s="797">
        <v>64210</v>
      </c>
      <c r="C89" s="795" t="s">
        <v>897</v>
      </c>
      <c r="D89" s="798">
        <v>59944</v>
      </c>
    </row>
    <row r="90" spans="1:4" ht="15" customHeight="1">
      <c r="A90" s="791" t="s">
        <v>901</v>
      </c>
      <c r="B90" s="794">
        <v>64210</v>
      </c>
      <c r="C90" s="795" t="s">
        <v>897</v>
      </c>
      <c r="D90" s="796">
        <v>64210</v>
      </c>
    </row>
    <row r="91" spans="1:4" ht="15" customHeight="1">
      <c r="A91" s="791"/>
      <c r="B91" s="802"/>
      <c r="C91" s="795"/>
      <c r="D91" s="803"/>
    </row>
    <row r="92" spans="1:4" ht="30.75" customHeight="1">
      <c r="A92" s="811" t="s">
        <v>891</v>
      </c>
      <c r="B92" s="801" t="s">
        <v>925</v>
      </c>
      <c r="C92" s="801"/>
      <c r="D92" s="801"/>
    </row>
    <row r="93" spans="1:4" ht="15" customHeight="1">
      <c r="A93" s="791" t="s">
        <v>926</v>
      </c>
      <c r="B93" s="793" t="s">
        <v>927</v>
      </c>
      <c r="C93" s="793"/>
      <c r="D93" s="793"/>
    </row>
    <row r="94" spans="1:4" ht="15" customHeight="1">
      <c r="A94" s="791" t="s">
        <v>894</v>
      </c>
      <c r="B94" s="804">
        <v>2012</v>
      </c>
      <c r="C94" s="804"/>
      <c r="D94" s="804"/>
    </row>
    <row r="95" spans="1:4" ht="15" customHeight="1">
      <c r="A95" s="791" t="s">
        <v>896</v>
      </c>
      <c r="B95" s="794">
        <f>SUM(B96:B98)</f>
        <v>121629</v>
      </c>
      <c r="C95" s="795" t="s">
        <v>897</v>
      </c>
      <c r="D95" s="796">
        <v>0</v>
      </c>
    </row>
    <row r="96" spans="1:4" ht="15" customHeight="1">
      <c r="A96" s="791" t="s">
        <v>898</v>
      </c>
      <c r="B96" s="797">
        <f>B99-B98</f>
        <v>21849</v>
      </c>
      <c r="C96" s="795" t="s">
        <v>897</v>
      </c>
      <c r="D96" s="798">
        <v>0</v>
      </c>
    </row>
    <row r="97" spans="1:4" ht="15" customHeight="1">
      <c r="A97" s="791" t="s">
        <v>899</v>
      </c>
      <c r="B97" s="797"/>
      <c r="C97" s="795"/>
      <c r="D97" s="798"/>
    </row>
    <row r="98" spans="1:4" ht="15" customHeight="1">
      <c r="A98" s="791" t="s">
        <v>900</v>
      </c>
      <c r="B98" s="797">
        <v>99780</v>
      </c>
      <c r="C98" s="795" t="s">
        <v>897</v>
      </c>
      <c r="D98" s="798">
        <v>0</v>
      </c>
    </row>
    <row r="99" spans="1:4" ht="15" customHeight="1">
      <c r="A99" s="791" t="s">
        <v>901</v>
      </c>
      <c r="B99" s="794">
        <v>121629</v>
      </c>
      <c r="C99" s="795" t="s">
        <v>897</v>
      </c>
      <c r="D99" s="796">
        <v>1325</v>
      </c>
    </row>
    <row r="100" spans="1:4" ht="15" customHeight="1">
      <c r="A100" s="791"/>
      <c r="B100" s="802"/>
      <c r="C100" s="795"/>
      <c r="D100" s="803"/>
    </row>
    <row r="101" spans="1:4" ht="30.75" customHeight="1">
      <c r="A101" s="811" t="s">
        <v>891</v>
      </c>
      <c r="B101" s="801" t="s">
        <v>928</v>
      </c>
      <c r="C101" s="801"/>
      <c r="D101" s="801"/>
    </row>
    <row r="102" spans="1:4" ht="15" customHeight="1">
      <c r="A102" s="791" t="s">
        <v>926</v>
      </c>
      <c r="B102" s="793" t="s">
        <v>929</v>
      </c>
      <c r="C102" s="793"/>
      <c r="D102" s="793"/>
    </row>
    <row r="103" spans="1:4" ht="15" customHeight="1">
      <c r="A103" s="791" t="s">
        <v>894</v>
      </c>
      <c r="B103" s="804">
        <v>2012</v>
      </c>
      <c r="C103" s="804"/>
      <c r="D103" s="804"/>
    </row>
    <row r="104" spans="1:4" ht="15" customHeight="1">
      <c r="A104" s="791" t="s">
        <v>896</v>
      </c>
      <c r="B104" s="794">
        <f>SUM(B105:B107)</f>
        <v>169202</v>
      </c>
      <c r="C104" s="795" t="s">
        <v>897</v>
      </c>
      <c r="D104" s="796">
        <v>0</v>
      </c>
    </row>
    <row r="105" spans="1:4" ht="15" customHeight="1">
      <c r="A105" s="791" t="s">
        <v>898</v>
      </c>
      <c r="B105" s="797">
        <f>B108-B107</f>
        <v>20340</v>
      </c>
      <c r="C105" s="795" t="s">
        <v>897</v>
      </c>
      <c r="D105" s="798">
        <v>0</v>
      </c>
    </row>
    <row r="106" spans="1:4" ht="15" customHeight="1">
      <c r="A106" s="791" t="s">
        <v>899</v>
      </c>
      <c r="B106" s="797"/>
      <c r="C106" s="795"/>
      <c r="D106" s="798"/>
    </row>
    <row r="107" spans="1:4" ht="15" customHeight="1">
      <c r="A107" s="791" t="s">
        <v>900</v>
      </c>
      <c r="B107" s="797">
        <v>148862</v>
      </c>
      <c r="C107" s="795" t="s">
        <v>897</v>
      </c>
      <c r="D107" s="798">
        <v>0</v>
      </c>
    </row>
    <row r="108" spans="1:4" ht="15" customHeight="1">
      <c r="A108" s="791" t="s">
        <v>901</v>
      </c>
      <c r="B108" s="794">
        <v>169202</v>
      </c>
      <c r="C108" s="795" t="s">
        <v>897</v>
      </c>
      <c r="D108" s="796">
        <v>0</v>
      </c>
    </row>
    <row r="109" spans="1:4" ht="15" customHeight="1">
      <c r="A109" s="805"/>
      <c r="B109" s="806"/>
      <c r="C109" s="807"/>
      <c r="D109" s="808"/>
    </row>
    <row r="110" spans="1:4" ht="63" customHeight="1">
      <c r="A110" s="809" t="s">
        <v>891</v>
      </c>
      <c r="B110" s="810" t="s">
        <v>930</v>
      </c>
      <c r="C110" s="810"/>
      <c r="D110" s="810"/>
    </row>
    <row r="111" spans="1:4" ht="15" customHeight="1">
      <c r="A111" s="791" t="s">
        <v>926</v>
      </c>
      <c r="B111" s="793" t="s">
        <v>927</v>
      </c>
      <c r="C111" s="793"/>
      <c r="D111" s="793"/>
    </row>
    <row r="112" spans="1:4" ht="15" customHeight="1">
      <c r="A112" s="791" t="s">
        <v>894</v>
      </c>
      <c r="B112" s="804">
        <v>2013</v>
      </c>
      <c r="C112" s="804"/>
      <c r="D112" s="804"/>
    </row>
    <row r="113" spans="1:4" ht="15" customHeight="1">
      <c r="A113" s="791" t="s">
        <v>896</v>
      </c>
      <c r="B113" s="794">
        <v>100000</v>
      </c>
      <c r="C113" s="795" t="s">
        <v>897</v>
      </c>
      <c r="D113" s="796">
        <v>0</v>
      </c>
    </row>
    <row r="114" spans="1:4" ht="15" customHeight="1">
      <c r="A114" s="791" t="s">
        <v>898</v>
      </c>
      <c r="B114" s="797">
        <v>5000</v>
      </c>
      <c r="C114" s="795" t="s">
        <v>897</v>
      </c>
      <c r="D114" s="798">
        <v>0</v>
      </c>
    </row>
    <row r="115" spans="1:4" ht="15" customHeight="1">
      <c r="A115" s="791" t="s">
        <v>899</v>
      </c>
      <c r="B115" s="797"/>
      <c r="C115" s="795"/>
      <c r="D115" s="798"/>
    </row>
    <row r="116" spans="1:4" ht="15" customHeight="1">
      <c r="A116" s="791" t="s">
        <v>900</v>
      </c>
      <c r="B116" s="797">
        <v>95000</v>
      </c>
      <c r="C116" s="795" t="s">
        <v>897</v>
      </c>
      <c r="D116" s="798">
        <v>0</v>
      </c>
    </row>
    <row r="117" spans="1:4" ht="15" customHeight="1">
      <c r="A117" s="791" t="s">
        <v>901</v>
      </c>
      <c r="B117" s="794">
        <v>100000</v>
      </c>
      <c r="C117" s="795" t="s">
        <v>897</v>
      </c>
      <c r="D117" s="796">
        <v>1650</v>
      </c>
    </row>
    <row r="118" spans="1:4" ht="15" customHeight="1">
      <c r="A118" s="791"/>
      <c r="B118" s="799"/>
      <c r="C118" s="795"/>
      <c r="D118" s="803"/>
    </row>
    <row r="119" spans="1:4" ht="30.75" customHeight="1">
      <c r="A119" s="811" t="s">
        <v>891</v>
      </c>
      <c r="B119" s="801" t="s">
        <v>931</v>
      </c>
      <c r="C119" s="801"/>
      <c r="D119" s="801"/>
    </row>
    <row r="120" spans="1:4" ht="15" customHeight="1">
      <c r="A120" s="791" t="s">
        <v>926</v>
      </c>
      <c r="B120" s="793" t="s">
        <v>927</v>
      </c>
      <c r="C120" s="793"/>
      <c r="D120" s="793"/>
    </row>
    <row r="121" spans="1:4" ht="15" customHeight="1">
      <c r="A121" s="791" t="s">
        <v>894</v>
      </c>
      <c r="B121" s="804">
        <v>2013</v>
      </c>
      <c r="C121" s="804"/>
      <c r="D121" s="804"/>
    </row>
    <row r="122" spans="1:4" ht="15" customHeight="1">
      <c r="A122" s="791" t="s">
        <v>896</v>
      </c>
      <c r="B122" s="794">
        <f>SUM(B123:B125)</f>
        <v>298340</v>
      </c>
      <c r="C122" s="795" t="s">
        <v>897</v>
      </c>
      <c r="D122" s="796">
        <v>0</v>
      </c>
    </row>
    <row r="123" spans="1:4" ht="15" customHeight="1">
      <c r="A123" s="791" t="s">
        <v>898</v>
      </c>
      <c r="B123" s="797">
        <f>B126-B125</f>
        <v>14918</v>
      </c>
      <c r="C123" s="795" t="s">
        <v>897</v>
      </c>
      <c r="D123" s="798">
        <v>0</v>
      </c>
    </row>
    <row r="124" spans="1:4" ht="15" customHeight="1">
      <c r="A124" s="791" t="s">
        <v>899</v>
      </c>
      <c r="B124" s="797"/>
      <c r="C124" s="795"/>
      <c r="D124" s="798"/>
    </row>
    <row r="125" spans="1:4" ht="15" customHeight="1">
      <c r="A125" s="791" t="s">
        <v>900</v>
      </c>
      <c r="B125" s="797">
        <v>283422</v>
      </c>
      <c r="C125" s="795" t="s">
        <v>897</v>
      </c>
      <c r="D125" s="798">
        <v>0</v>
      </c>
    </row>
    <row r="126" spans="1:4" ht="15" customHeight="1">
      <c r="A126" s="791" t="s">
        <v>901</v>
      </c>
      <c r="B126" s="794">
        <v>298340</v>
      </c>
      <c r="C126" s="795" t="s">
        <v>897</v>
      </c>
      <c r="D126" s="796">
        <v>2529</v>
      </c>
    </row>
    <row r="127" spans="1:4" ht="15" customHeight="1">
      <c r="A127" s="791"/>
      <c r="B127" s="802"/>
      <c r="C127" s="795"/>
      <c r="D127" s="803"/>
    </row>
    <row r="128" spans="1:4" ht="30.75" customHeight="1">
      <c r="A128" s="811" t="s">
        <v>891</v>
      </c>
      <c r="B128" s="801" t="s">
        <v>932</v>
      </c>
      <c r="C128" s="801"/>
      <c r="D128" s="801"/>
    </row>
    <row r="129" spans="1:4" ht="15" customHeight="1">
      <c r="A129" s="791" t="s">
        <v>893</v>
      </c>
      <c r="B129" s="792" t="s">
        <v>927</v>
      </c>
      <c r="C129" s="792"/>
      <c r="D129" s="792"/>
    </row>
    <row r="130" spans="1:4" ht="15" customHeight="1">
      <c r="A130" s="791" t="s">
        <v>894</v>
      </c>
      <c r="B130" s="804">
        <v>2013</v>
      </c>
      <c r="C130" s="804"/>
      <c r="D130" s="804"/>
    </row>
    <row r="131" spans="1:4" ht="15" customHeight="1">
      <c r="A131" s="791" t="s">
        <v>896</v>
      </c>
      <c r="B131" s="794">
        <f>SUM(B132:B134)</f>
        <v>45000</v>
      </c>
      <c r="C131" s="795" t="s">
        <v>897</v>
      </c>
      <c r="D131" s="796">
        <v>0</v>
      </c>
    </row>
    <row r="132" spans="1:4" ht="15" customHeight="1">
      <c r="A132" s="791" t="s">
        <v>898</v>
      </c>
      <c r="B132" s="797">
        <f>B135-B134</f>
        <v>2400</v>
      </c>
      <c r="C132" s="795" t="s">
        <v>897</v>
      </c>
      <c r="D132" s="798">
        <v>0</v>
      </c>
    </row>
    <row r="133" spans="1:4" ht="15" customHeight="1">
      <c r="A133" s="791" t="s">
        <v>899</v>
      </c>
      <c r="B133" s="797"/>
      <c r="C133" s="795"/>
      <c r="D133" s="798"/>
    </row>
    <row r="134" spans="1:4" ht="15" customHeight="1">
      <c r="A134" s="791" t="s">
        <v>900</v>
      </c>
      <c r="B134" s="797">
        <v>42600</v>
      </c>
      <c r="C134" s="795" t="s">
        <v>897</v>
      </c>
      <c r="D134" s="798">
        <v>0</v>
      </c>
    </row>
    <row r="135" spans="1:4" ht="15" customHeight="1">
      <c r="A135" s="791" t="s">
        <v>901</v>
      </c>
      <c r="B135" s="794">
        <v>45000</v>
      </c>
      <c r="C135" s="795" t="s">
        <v>897</v>
      </c>
      <c r="D135" s="796">
        <v>0</v>
      </c>
    </row>
    <row r="136" spans="1:4" ht="15" customHeight="1">
      <c r="A136" s="791"/>
      <c r="B136" s="802"/>
      <c r="C136" s="795"/>
      <c r="D136" s="803"/>
    </row>
    <row r="137" spans="1:4" ht="60.75" customHeight="1">
      <c r="A137" s="811" t="s">
        <v>891</v>
      </c>
      <c r="B137" s="801" t="s">
        <v>933</v>
      </c>
      <c r="C137" s="801"/>
      <c r="D137" s="801"/>
    </row>
    <row r="138" spans="1:4" ht="15" customHeight="1">
      <c r="A138" s="791" t="s">
        <v>893</v>
      </c>
      <c r="B138" s="792" t="s">
        <v>934</v>
      </c>
      <c r="C138" s="792"/>
      <c r="D138" s="792"/>
    </row>
    <row r="139" spans="1:4" ht="15" customHeight="1">
      <c r="A139" s="791" t="s">
        <v>894</v>
      </c>
      <c r="B139" s="792" t="s">
        <v>914</v>
      </c>
      <c r="C139" s="792"/>
      <c r="D139" s="792"/>
    </row>
    <row r="140" spans="1:4" ht="15" customHeight="1">
      <c r="A140" s="791" t="s">
        <v>896</v>
      </c>
      <c r="B140" s="794">
        <f>SUM(B141:B143)</f>
        <v>425852</v>
      </c>
      <c r="C140" s="795" t="s">
        <v>897</v>
      </c>
      <c r="D140" s="796">
        <v>0</v>
      </c>
    </row>
    <row r="141" spans="1:4" ht="15" customHeight="1">
      <c r="A141" s="791" t="s">
        <v>898</v>
      </c>
      <c r="B141" s="797">
        <f>B144-B143</f>
        <v>113446</v>
      </c>
      <c r="C141" s="795" t="s">
        <v>897</v>
      </c>
      <c r="D141" s="798">
        <v>0</v>
      </c>
    </row>
    <row r="142" spans="1:4" ht="15" customHeight="1">
      <c r="A142" s="791" t="s">
        <v>899</v>
      </c>
      <c r="B142" s="797"/>
      <c r="C142" s="795"/>
      <c r="D142" s="798"/>
    </row>
    <row r="143" spans="1:4" ht="15" customHeight="1">
      <c r="A143" s="791" t="s">
        <v>900</v>
      </c>
      <c r="B143" s="797">
        <v>312406</v>
      </c>
      <c r="C143" s="795" t="s">
        <v>897</v>
      </c>
      <c r="D143" s="798">
        <v>0</v>
      </c>
    </row>
    <row r="144" spans="1:4" ht="15" customHeight="1">
      <c r="A144" s="791" t="s">
        <v>901</v>
      </c>
      <c r="B144" s="794">
        <v>425852</v>
      </c>
      <c r="C144" s="795" t="s">
        <v>897</v>
      </c>
      <c r="D144" s="796">
        <v>75</v>
      </c>
    </row>
    <row r="145" spans="1:4" ht="15" customHeight="1">
      <c r="A145" s="791"/>
      <c r="B145" s="802"/>
      <c r="C145" s="795"/>
      <c r="D145" s="803"/>
    </row>
    <row r="146" spans="1:4" ht="30" customHeight="1">
      <c r="A146" s="811" t="s">
        <v>891</v>
      </c>
      <c r="B146" s="801" t="s">
        <v>935</v>
      </c>
      <c r="C146" s="801"/>
      <c r="D146" s="801"/>
    </row>
    <row r="147" spans="1:4" ht="15" customHeight="1">
      <c r="A147" s="791" t="s">
        <v>893</v>
      </c>
      <c r="B147" s="793" t="s">
        <v>927</v>
      </c>
      <c r="C147" s="793"/>
      <c r="D147" s="793"/>
    </row>
    <row r="148" spans="1:4" ht="15" customHeight="1">
      <c r="A148" s="791" t="s">
        <v>894</v>
      </c>
      <c r="B148" s="793" t="s">
        <v>936</v>
      </c>
      <c r="C148" s="793"/>
      <c r="D148" s="793"/>
    </row>
    <row r="149" spans="1:4" ht="15" customHeight="1">
      <c r="A149" s="791" t="s">
        <v>896</v>
      </c>
      <c r="B149" s="794">
        <f>B150+B152</f>
        <v>16375</v>
      </c>
      <c r="C149" s="795" t="s">
        <v>897</v>
      </c>
      <c r="D149" s="796">
        <v>0</v>
      </c>
    </row>
    <row r="150" spans="1:4" ht="15" customHeight="1">
      <c r="A150" s="791" t="s">
        <v>898</v>
      </c>
      <c r="B150" s="797">
        <f>B153-B152</f>
        <v>3306</v>
      </c>
      <c r="C150" s="795" t="s">
        <v>897</v>
      </c>
      <c r="D150" s="798">
        <v>0</v>
      </c>
    </row>
    <row r="151" spans="1:4" ht="15" customHeight="1">
      <c r="A151" s="791" t="s">
        <v>899</v>
      </c>
      <c r="B151" s="797"/>
      <c r="C151" s="795"/>
      <c r="D151" s="798"/>
    </row>
    <row r="152" spans="1:4" ht="15" customHeight="1">
      <c r="A152" s="791" t="s">
        <v>900</v>
      </c>
      <c r="B152" s="797">
        <v>13069</v>
      </c>
      <c r="C152" s="795" t="s">
        <v>897</v>
      </c>
      <c r="D152" s="798">
        <v>0</v>
      </c>
    </row>
    <row r="153" spans="1:4" ht="15" customHeight="1">
      <c r="A153" s="791" t="s">
        <v>901</v>
      </c>
      <c r="B153" s="794">
        <v>16375</v>
      </c>
      <c r="C153" s="795" t="s">
        <v>897</v>
      </c>
      <c r="D153" s="796">
        <v>938</v>
      </c>
    </row>
    <row r="154" spans="1:4" ht="15" customHeight="1">
      <c r="A154" s="791"/>
      <c r="B154" s="802"/>
      <c r="C154" s="795"/>
      <c r="D154" s="803"/>
    </row>
    <row r="155" spans="1:4" ht="30" customHeight="1">
      <c r="A155" s="811" t="s">
        <v>891</v>
      </c>
      <c r="B155" s="801" t="s">
        <v>937</v>
      </c>
      <c r="C155" s="801"/>
      <c r="D155" s="801"/>
    </row>
    <row r="156" spans="1:4" ht="15" customHeight="1">
      <c r="A156" s="791" t="s">
        <v>893</v>
      </c>
      <c r="B156" s="793" t="s">
        <v>938</v>
      </c>
      <c r="C156" s="793"/>
      <c r="D156" s="793"/>
    </row>
    <row r="157" spans="1:4" ht="15" customHeight="1">
      <c r="A157" s="791" t="s">
        <v>894</v>
      </c>
      <c r="B157" s="804">
        <v>2013</v>
      </c>
      <c r="C157" s="804"/>
      <c r="D157" s="804"/>
    </row>
    <row r="158" spans="1:4" ht="15" customHeight="1">
      <c r="A158" s="791" t="s">
        <v>896</v>
      </c>
      <c r="B158" s="794">
        <f>B159+B161</f>
        <v>92725</v>
      </c>
      <c r="C158" s="795" t="s">
        <v>897</v>
      </c>
      <c r="D158" s="796">
        <v>0</v>
      </c>
    </row>
    <row r="159" spans="1:4" ht="15" customHeight="1">
      <c r="A159" s="791" t="s">
        <v>898</v>
      </c>
      <c r="B159" s="797">
        <f>B162-B161</f>
        <v>2100</v>
      </c>
      <c r="C159" s="795" t="s">
        <v>897</v>
      </c>
      <c r="D159" s="798">
        <v>0</v>
      </c>
    </row>
    <row r="160" spans="1:4" ht="15" customHeight="1">
      <c r="A160" s="791" t="s">
        <v>899</v>
      </c>
      <c r="B160" s="797"/>
      <c r="C160" s="795"/>
      <c r="D160" s="798"/>
    </row>
    <row r="161" spans="1:4" ht="15" customHeight="1">
      <c r="A161" s="791" t="s">
        <v>900</v>
      </c>
      <c r="B161" s="797">
        <v>90625</v>
      </c>
      <c r="C161" s="795" t="s">
        <v>897</v>
      </c>
      <c r="D161" s="798">
        <v>0</v>
      </c>
    </row>
    <row r="162" spans="1:4" ht="15" customHeight="1">
      <c r="A162" s="791" t="s">
        <v>901</v>
      </c>
      <c r="B162" s="794">
        <v>92725</v>
      </c>
      <c r="C162" s="795" t="s">
        <v>897</v>
      </c>
      <c r="D162" s="796">
        <v>0</v>
      </c>
    </row>
    <row r="163" spans="1:4" ht="15" customHeight="1">
      <c r="A163" s="805"/>
      <c r="B163" s="806"/>
      <c r="C163" s="807"/>
      <c r="D163" s="808"/>
    </row>
    <row r="164" spans="1:4" ht="32.25" customHeight="1">
      <c r="A164" s="809" t="s">
        <v>891</v>
      </c>
      <c r="B164" s="810" t="s">
        <v>939</v>
      </c>
      <c r="C164" s="810"/>
      <c r="D164" s="810"/>
    </row>
    <row r="165" spans="1:4" ht="15" customHeight="1">
      <c r="A165" s="791" t="s">
        <v>893</v>
      </c>
      <c r="B165" s="793" t="s">
        <v>927</v>
      </c>
      <c r="C165" s="793"/>
      <c r="D165" s="793"/>
    </row>
    <row r="166" spans="1:4" ht="15" customHeight="1">
      <c r="A166" s="791" t="s">
        <v>894</v>
      </c>
      <c r="B166" s="804">
        <v>2012</v>
      </c>
      <c r="C166" s="804"/>
      <c r="D166" s="804"/>
    </row>
    <row r="167" spans="1:4" ht="15" customHeight="1">
      <c r="A167" s="791" t="s">
        <v>896</v>
      </c>
      <c r="B167" s="794">
        <f>SUM(B168:B170)</f>
        <v>69787</v>
      </c>
      <c r="C167" s="795" t="s">
        <v>897</v>
      </c>
      <c r="D167" s="796">
        <v>0</v>
      </c>
    </row>
    <row r="168" spans="1:4" ht="15" customHeight="1">
      <c r="A168" s="791" t="s">
        <v>898</v>
      </c>
      <c r="B168" s="797">
        <f>B171-B170</f>
        <v>19818</v>
      </c>
      <c r="C168" s="795" t="s">
        <v>897</v>
      </c>
      <c r="D168" s="798">
        <v>0</v>
      </c>
    </row>
    <row r="169" spans="1:4" ht="15" customHeight="1">
      <c r="A169" s="791" t="s">
        <v>899</v>
      </c>
      <c r="B169" s="797"/>
      <c r="C169" s="795"/>
      <c r="D169" s="798"/>
    </row>
    <row r="170" spans="1:4" ht="15" customHeight="1">
      <c r="A170" s="791" t="s">
        <v>900</v>
      </c>
      <c r="B170" s="797">
        <v>49969</v>
      </c>
      <c r="C170" s="795" t="s">
        <v>897</v>
      </c>
      <c r="D170" s="798">
        <v>0</v>
      </c>
    </row>
    <row r="171" spans="1:4" ht="15" customHeight="1">
      <c r="A171" s="791" t="s">
        <v>901</v>
      </c>
      <c r="B171" s="794">
        <v>69787</v>
      </c>
      <c r="C171" s="795" t="s">
        <v>897</v>
      </c>
      <c r="D171" s="796">
        <v>0</v>
      </c>
    </row>
    <row r="172" spans="1:4" ht="15" customHeight="1">
      <c r="A172" s="791"/>
      <c r="B172" s="802"/>
      <c r="C172" s="795"/>
      <c r="D172" s="803"/>
    </row>
    <row r="173" spans="1:4" ht="15" customHeight="1">
      <c r="A173" s="811" t="s">
        <v>891</v>
      </c>
      <c r="B173" s="801" t="s">
        <v>940</v>
      </c>
      <c r="C173" s="801"/>
      <c r="D173" s="801"/>
    </row>
    <row r="174" spans="1:4" ht="15" customHeight="1">
      <c r="A174" s="791" t="s">
        <v>893</v>
      </c>
      <c r="B174" s="793" t="s">
        <v>927</v>
      </c>
      <c r="C174" s="793"/>
      <c r="D174" s="793"/>
    </row>
    <row r="175" spans="1:4" ht="15" customHeight="1">
      <c r="A175" s="791" t="s">
        <v>894</v>
      </c>
      <c r="B175" s="793" t="s">
        <v>914</v>
      </c>
      <c r="C175" s="793"/>
      <c r="D175" s="793"/>
    </row>
    <row r="176" spans="1:4" ht="15" customHeight="1">
      <c r="A176" s="791" t="s">
        <v>896</v>
      </c>
      <c r="B176" s="794">
        <f>B177+B179</f>
        <v>294000</v>
      </c>
      <c r="C176" s="795" t="s">
        <v>897</v>
      </c>
      <c r="D176" s="796">
        <v>0</v>
      </c>
    </row>
    <row r="177" spans="1:4" ht="15" customHeight="1">
      <c r="A177" s="791" t="s">
        <v>898</v>
      </c>
      <c r="B177" s="797">
        <f>B180-B179</f>
        <v>14700</v>
      </c>
      <c r="C177" s="795" t="s">
        <v>897</v>
      </c>
      <c r="D177" s="798">
        <v>0</v>
      </c>
    </row>
    <row r="178" spans="1:4" ht="15" customHeight="1">
      <c r="A178" s="791" t="s">
        <v>899</v>
      </c>
      <c r="B178" s="797"/>
      <c r="C178" s="795"/>
      <c r="D178" s="798"/>
    </row>
    <row r="179" spans="1:4" ht="15" customHeight="1">
      <c r="A179" s="791" t="s">
        <v>900</v>
      </c>
      <c r="B179" s="797">
        <v>279300</v>
      </c>
      <c r="C179" s="795" t="s">
        <v>897</v>
      </c>
      <c r="D179" s="798">
        <v>0</v>
      </c>
    </row>
    <row r="180" spans="1:4" ht="15" customHeight="1">
      <c r="A180" s="791" t="s">
        <v>901</v>
      </c>
      <c r="B180" s="794">
        <v>294000</v>
      </c>
      <c r="C180" s="795" t="s">
        <v>897</v>
      </c>
      <c r="D180" s="796">
        <v>0</v>
      </c>
    </row>
    <row r="181" spans="1:4" ht="15" customHeight="1">
      <c r="A181" s="791"/>
      <c r="B181" s="802"/>
      <c r="C181" s="795"/>
      <c r="D181" s="803"/>
    </row>
    <row r="182" spans="1:4" ht="15" customHeight="1">
      <c r="A182" s="811" t="s">
        <v>891</v>
      </c>
      <c r="B182" s="801" t="s">
        <v>941</v>
      </c>
      <c r="C182" s="801"/>
      <c r="D182" s="801"/>
    </row>
    <row r="183" spans="1:4" ht="15" customHeight="1">
      <c r="A183" s="791" t="s">
        <v>893</v>
      </c>
      <c r="B183" s="793" t="s">
        <v>927</v>
      </c>
      <c r="C183" s="793"/>
      <c r="D183" s="793"/>
    </row>
    <row r="184" spans="1:4" ht="15" customHeight="1">
      <c r="A184" s="791" t="s">
        <v>894</v>
      </c>
      <c r="B184" s="793" t="s">
        <v>914</v>
      </c>
      <c r="C184" s="793"/>
      <c r="D184" s="793"/>
    </row>
    <row r="185" spans="1:4" ht="15" customHeight="1">
      <c r="A185" s="791" t="s">
        <v>896</v>
      </c>
      <c r="B185" s="794">
        <f>B186+B188</f>
        <v>294000</v>
      </c>
      <c r="C185" s="795" t="s">
        <v>897</v>
      </c>
      <c r="D185" s="796">
        <v>0</v>
      </c>
    </row>
    <row r="186" spans="1:4" ht="15" customHeight="1">
      <c r="A186" s="791" t="s">
        <v>898</v>
      </c>
      <c r="B186" s="797">
        <v>14700</v>
      </c>
      <c r="C186" s="795" t="s">
        <v>897</v>
      </c>
      <c r="D186" s="798">
        <v>0</v>
      </c>
    </row>
    <row r="187" spans="1:4" ht="15" customHeight="1">
      <c r="A187" s="791" t="s">
        <v>899</v>
      </c>
      <c r="B187" s="797"/>
      <c r="C187" s="795"/>
      <c r="D187" s="798"/>
    </row>
    <row r="188" spans="1:4" ht="15" customHeight="1">
      <c r="A188" s="791" t="s">
        <v>900</v>
      </c>
      <c r="B188" s="797">
        <v>279300</v>
      </c>
      <c r="C188" s="795" t="s">
        <v>897</v>
      </c>
      <c r="D188" s="798">
        <v>0</v>
      </c>
    </row>
    <row r="189" spans="1:4" ht="15" customHeight="1">
      <c r="A189" s="791" t="s">
        <v>901</v>
      </c>
      <c r="B189" s="794">
        <v>294000</v>
      </c>
      <c r="C189" s="795" t="s">
        <v>897</v>
      </c>
      <c r="D189" s="796">
        <v>0</v>
      </c>
    </row>
    <row r="190" spans="1:4" ht="15" customHeight="1">
      <c r="A190" s="791"/>
      <c r="B190" s="802"/>
      <c r="C190" s="795"/>
      <c r="D190" s="803"/>
    </row>
    <row r="191" spans="1:4" ht="96" customHeight="1">
      <c r="A191" s="811" t="s">
        <v>891</v>
      </c>
      <c r="B191" s="801" t="s">
        <v>942</v>
      </c>
      <c r="C191" s="801"/>
      <c r="D191" s="801"/>
    </row>
    <row r="192" spans="1:4" ht="15" customHeight="1">
      <c r="A192" s="791" t="s">
        <v>893</v>
      </c>
      <c r="B192" s="793" t="s">
        <v>943</v>
      </c>
      <c r="C192" s="793"/>
      <c r="D192" s="793"/>
    </row>
    <row r="193" spans="1:4" ht="15" customHeight="1">
      <c r="A193" s="791" t="s">
        <v>894</v>
      </c>
      <c r="B193" s="793" t="s">
        <v>944</v>
      </c>
      <c r="C193" s="793"/>
      <c r="D193" s="793"/>
    </row>
    <row r="194" spans="1:4" ht="15" customHeight="1">
      <c r="A194" s="791" t="s">
        <v>896</v>
      </c>
      <c r="B194" s="794">
        <v>50533</v>
      </c>
      <c r="C194" s="795" t="s">
        <v>897</v>
      </c>
      <c r="D194" s="796">
        <v>5876</v>
      </c>
    </row>
    <row r="195" spans="1:4" ht="15" customHeight="1">
      <c r="A195" s="791" t="s">
        <v>898</v>
      </c>
      <c r="B195" s="797">
        <v>0</v>
      </c>
      <c r="C195" s="795" t="s">
        <v>897</v>
      </c>
      <c r="D195" s="798">
        <v>0</v>
      </c>
    </row>
    <row r="196" spans="1:4" ht="15" customHeight="1">
      <c r="A196" s="791" t="s">
        <v>899</v>
      </c>
      <c r="B196" s="794" t="s">
        <v>905</v>
      </c>
      <c r="C196" s="795"/>
      <c r="D196" s="798"/>
    </row>
    <row r="197" spans="1:4" ht="15" customHeight="1">
      <c r="A197" s="791" t="s">
        <v>900</v>
      </c>
      <c r="B197" s="797">
        <v>50533</v>
      </c>
      <c r="C197" s="795" t="s">
        <v>897</v>
      </c>
      <c r="D197" s="798">
        <v>5876</v>
      </c>
    </row>
    <row r="198" spans="1:4" ht="15" customHeight="1">
      <c r="A198" s="791" t="s">
        <v>901</v>
      </c>
      <c r="B198" s="794">
        <v>50533</v>
      </c>
      <c r="C198" s="795" t="s">
        <v>897</v>
      </c>
      <c r="D198" s="796">
        <v>3079</v>
      </c>
    </row>
    <row r="199" spans="1:4" ht="15" customHeight="1">
      <c r="A199" s="791"/>
      <c r="B199" s="802"/>
      <c r="C199" s="795"/>
      <c r="D199" s="803"/>
    </row>
    <row r="200" spans="1:4" ht="45.75" customHeight="1">
      <c r="A200" s="811" t="s">
        <v>891</v>
      </c>
      <c r="B200" s="801" t="s">
        <v>945</v>
      </c>
      <c r="C200" s="801"/>
      <c r="D200" s="801"/>
    </row>
    <row r="201" spans="1:4" ht="15" customHeight="1">
      <c r="A201" s="791" t="s">
        <v>893</v>
      </c>
      <c r="B201" s="793" t="s">
        <v>946</v>
      </c>
      <c r="C201" s="793"/>
      <c r="D201" s="793"/>
    </row>
    <row r="202" spans="1:4" ht="15" customHeight="1">
      <c r="A202" s="791" t="s">
        <v>894</v>
      </c>
      <c r="B202" s="793" t="s">
        <v>947</v>
      </c>
      <c r="C202" s="793"/>
      <c r="D202" s="793"/>
    </row>
    <row r="203" spans="1:4" ht="15" customHeight="1">
      <c r="A203" s="791" t="s">
        <v>896</v>
      </c>
      <c r="B203" s="794">
        <v>16041</v>
      </c>
      <c r="C203" s="795" t="s">
        <v>897</v>
      </c>
      <c r="D203" s="796">
        <f>SUM(D204:D206)</f>
        <v>3179</v>
      </c>
    </row>
    <row r="204" spans="1:4" ht="15" customHeight="1">
      <c r="A204" s="791" t="s">
        <v>898</v>
      </c>
      <c r="B204" s="797">
        <v>0</v>
      </c>
      <c r="C204" s="795" t="s">
        <v>897</v>
      </c>
      <c r="D204" s="798"/>
    </row>
    <row r="205" spans="1:4" ht="15" customHeight="1">
      <c r="A205" s="791" t="s">
        <v>899</v>
      </c>
      <c r="B205" s="794" t="s">
        <v>905</v>
      </c>
      <c r="C205" s="795"/>
      <c r="D205" s="798"/>
    </row>
    <row r="206" spans="1:4" ht="15" customHeight="1">
      <c r="A206" s="791" t="s">
        <v>900</v>
      </c>
      <c r="B206" s="797">
        <f>6739+9302</f>
        <v>16041</v>
      </c>
      <c r="C206" s="795" t="s">
        <v>897</v>
      </c>
      <c r="D206" s="798">
        <v>3179</v>
      </c>
    </row>
    <row r="207" spans="1:4" ht="15" customHeight="1">
      <c r="A207" s="791" t="s">
        <v>901</v>
      </c>
      <c r="B207" s="794">
        <v>16041</v>
      </c>
      <c r="C207" s="795" t="s">
        <v>897</v>
      </c>
      <c r="D207" s="796">
        <v>4310</v>
      </c>
    </row>
    <row r="208" spans="1:4" ht="15" customHeight="1">
      <c r="A208" s="791"/>
      <c r="B208" s="802"/>
      <c r="C208" s="795"/>
      <c r="D208" s="798"/>
    </row>
    <row r="209" spans="1:4" ht="93.75" customHeight="1">
      <c r="A209" s="811" t="s">
        <v>891</v>
      </c>
      <c r="B209" s="801" t="s">
        <v>948</v>
      </c>
      <c r="C209" s="801"/>
      <c r="D209" s="801"/>
    </row>
    <row r="210" spans="1:4" ht="15" customHeight="1">
      <c r="A210" s="791" t="s">
        <v>893</v>
      </c>
      <c r="B210" s="793" t="s">
        <v>949</v>
      </c>
      <c r="C210" s="793"/>
      <c r="D210" s="793"/>
    </row>
    <row r="211" spans="1:4" ht="15" customHeight="1">
      <c r="A211" s="791" t="s">
        <v>894</v>
      </c>
      <c r="B211" s="804">
        <v>2010</v>
      </c>
      <c r="C211" s="804"/>
      <c r="D211" s="804"/>
    </row>
    <row r="212" spans="1:4" ht="15" customHeight="1">
      <c r="A212" s="791" t="s">
        <v>896</v>
      </c>
      <c r="B212" s="794">
        <v>4351</v>
      </c>
      <c r="C212" s="795" t="s">
        <v>897</v>
      </c>
      <c r="D212" s="796">
        <v>0</v>
      </c>
    </row>
    <row r="213" spans="1:4" ht="15" customHeight="1">
      <c r="A213" s="791" t="s">
        <v>898</v>
      </c>
      <c r="B213" s="797">
        <v>0</v>
      </c>
      <c r="C213" s="795" t="s">
        <v>897</v>
      </c>
      <c r="D213" s="798">
        <v>0</v>
      </c>
    </row>
    <row r="214" spans="1:4" ht="15" customHeight="1">
      <c r="A214" s="791" t="s">
        <v>899</v>
      </c>
      <c r="B214" s="797"/>
      <c r="C214" s="795"/>
      <c r="D214" s="798"/>
    </row>
    <row r="215" spans="1:4" ht="15" customHeight="1">
      <c r="A215" s="791" t="s">
        <v>900</v>
      </c>
      <c r="B215" s="797">
        <v>4351</v>
      </c>
      <c r="C215" s="795" t="s">
        <v>897</v>
      </c>
      <c r="D215" s="798">
        <v>0</v>
      </c>
    </row>
    <row r="216" spans="1:4" ht="15" customHeight="1">
      <c r="A216" s="805" t="s">
        <v>901</v>
      </c>
      <c r="B216" s="812">
        <v>4351</v>
      </c>
      <c r="C216" s="807" t="s">
        <v>897</v>
      </c>
      <c r="D216" s="813">
        <v>0</v>
      </c>
    </row>
  </sheetData>
  <sheetProtection selectLockedCells="1" selectUnlockedCells="1"/>
  <mergeCells count="71">
    <mergeCell ref="A1:D1"/>
    <mergeCell ref="B3:D3"/>
    <mergeCell ref="B4:D4"/>
    <mergeCell ref="B5:D5"/>
    <mergeCell ref="B12:D12"/>
    <mergeCell ref="B13:D13"/>
    <mergeCell ref="B14:D14"/>
    <mergeCell ref="B21:D21"/>
    <mergeCell ref="B22:D22"/>
    <mergeCell ref="B30:D30"/>
    <mergeCell ref="B31:D31"/>
    <mergeCell ref="B32:D32"/>
    <mergeCell ref="B39:D39"/>
    <mergeCell ref="B40:D40"/>
    <mergeCell ref="B41:D41"/>
    <mergeCell ref="B48:D48"/>
    <mergeCell ref="B49:D49"/>
    <mergeCell ref="B50:D50"/>
    <mergeCell ref="B57:D57"/>
    <mergeCell ref="B58:D58"/>
    <mergeCell ref="B59:D59"/>
    <mergeCell ref="B66:D66"/>
    <mergeCell ref="B67:D67"/>
    <mergeCell ref="B68:D68"/>
    <mergeCell ref="B75:D75"/>
    <mergeCell ref="B76:D76"/>
    <mergeCell ref="B77:D77"/>
    <mergeCell ref="B84:D84"/>
    <mergeCell ref="B85:D85"/>
    <mergeCell ref="B92:D92"/>
    <mergeCell ref="B93:D93"/>
    <mergeCell ref="B94:D94"/>
    <mergeCell ref="B101:D101"/>
    <mergeCell ref="B102:D102"/>
    <mergeCell ref="B103:D103"/>
    <mergeCell ref="B110:D110"/>
    <mergeCell ref="B111:D111"/>
    <mergeCell ref="B112:D112"/>
    <mergeCell ref="B119:D119"/>
    <mergeCell ref="B120:D120"/>
    <mergeCell ref="B121:D121"/>
    <mergeCell ref="B128:D128"/>
    <mergeCell ref="B129:D129"/>
    <mergeCell ref="B130:D130"/>
    <mergeCell ref="B137:D137"/>
    <mergeCell ref="B138:D138"/>
    <mergeCell ref="B139:D139"/>
    <mergeCell ref="B146:D146"/>
    <mergeCell ref="B147:D147"/>
    <mergeCell ref="B148:D148"/>
    <mergeCell ref="B155:D155"/>
    <mergeCell ref="B156:D156"/>
    <mergeCell ref="B157:D157"/>
    <mergeCell ref="B164:D164"/>
    <mergeCell ref="B165:D165"/>
    <mergeCell ref="B166:D166"/>
    <mergeCell ref="B173:D173"/>
    <mergeCell ref="B174:D174"/>
    <mergeCell ref="B175:D175"/>
    <mergeCell ref="B182:D182"/>
    <mergeCell ref="B183:D183"/>
    <mergeCell ref="B184:D184"/>
    <mergeCell ref="B191:D191"/>
    <mergeCell ref="B192:D192"/>
    <mergeCell ref="B193:D193"/>
    <mergeCell ref="B200:D200"/>
    <mergeCell ref="B201:D201"/>
    <mergeCell ref="B202:D202"/>
    <mergeCell ref="B209:D209"/>
    <mergeCell ref="B210:D210"/>
    <mergeCell ref="B211:D21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1"/>
  <headerFooter alignWithMargins="0">
    <oddHeader>&amp;L17.melléklet a 15/2012.(IV.27.)önkormányzati rendelethez</oddHeader>
  </headerFooter>
  <rowBreaks count="3" manualBreakCount="3">
    <brk id="56" max="255" man="1"/>
    <brk id="109" max="255" man="1"/>
    <brk id="16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I26" sqref="I26"/>
    </sheetView>
  </sheetViews>
  <sheetFormatPr defaultColWidth="9.00390625" defaultRowHeight="12.75"/>
  <cols>
    <col min="1" max="1" width="52.625" style="412" customWidth="1"/>
    <col min="2" max="7" width="9.125" style="412" customWidth="1"/>
    <col min="8" max="8" width="13.625" style="412" customWidth="1"/>
    <col min="9" max="16384" width="9.125" style="412" customWidth="1"/>
  </cols>
  <sheetData>
    <row r="2" spans="1:9" ht="14.25" customHeight="1">
      <c r="A2" s="592" t="s">
        <v>950</v>
      </c>
      <c r="B2" s="592"/>
      <c r="C2" s="592"/>
      <c r="D2" s="592"/>
      <c r="E2" s="592"/>
      <c r="F2" s="592"/>
      <c r="G2" s="592"/>
      <c r="H2" s="592"/>
      <c r="I2" s="592"/>
    </row>
    <row r="3" spans="1:9" ht="14.25">
      <c r="A3" s="814"/>
      <c r="B3" s="814"/>
      <c r="C3" s="814"/>
      <c r="D3" s="814"/>
      <c r="E3" s="814"/>
      <c r="F3" s="814"/>
      <c r="G3" s="814"/>
      <c r="H3" s="814"/>
      <c r="I3" s="814"/>
    </row>
    <row r="4" ht="13.5"/>
    <row r="5" spans="1:9" ht="13.5" customHeight="1">
      <c r="A5" s="595" t="s">
        <v>3</v>
      </c>
      <c r="B5" s="622" t="s">
        <v>951</v>
      </c>
      <c r="C5" s="622"/>
      <c r="D5" s="622"/>
      <c r="E5" s="622"/>
      <c r="F5" s="622"/>
      <c r="G5" s="622"/>
      <c r="H5" s="187" t="s">
        <v>952</v>
      </c>
      <c r="I5" s="596" t="s">
        <v>184</v>
      </c>
    </row>
    <row r="6" spans="1:9" ht="38.25">
      <c r="A6" s="595"/>
      <c r="B6" s="815" t="s">
        <v>953</v>
      </c>
      <c r="C6" s="815" t="s">
        <v>954</v>
      </c>
      <c r="D6" s="815" t="s">
        <v>955</v>
      </c>
      <c r="E6" s="815" t="s">
        <v>956</v>
      </c>
      <c r="F6" s="815" t="s">
        <v>957</v>
      </c>
      <c r="G6" s="418" t="s">
        <v>958</v>
      </c>
      <c r="H6" s="187"/>
      <c r="I6" s="596"/>
    </row>
    <row r="7" spans="1:9" ht="12.75">
      <c r="A7" s="492" t="s">
        <v>959</v>
      </c>
      <c r="B7" s="414">
        <v>114136</v>
      </c>
      <c r="C7" s="414">
        <v>114136</v>
      </c>
      <c r="D7" s="414">
        <v>136963</v>
      </c>
      <c r="E7" s="414">
        <v>148377</v>
      </c>
      <c r="F7" s="414">
        <v>171204</v>
      </c>
      <c r="G7" s="414">
        <v>5021977</v>
      </c>
      <c r="H7" s="638">
        <v>5592657</v>
      </c>
      <c r="I7" s="639">
        <v>5706793</v>
      </c>
    </row>
    <row r="8" spans="1:9" ht="12.75">
      <c r="A8" s="492" t="s">
        <v>960</v>
      </c>
      <c r="B8" s="414">
        <v>114136</v>
      </c>
      <c r="C8" s="414">
        <v>114136</v>
      </c>
      <c r="D8" s="414">
        <v>136963</v>
      </c>
      <c r="E8" s="414">
        <v>148377</v>
      </c>
      <c r="F8" s="414">
        <v>171204</v>
      </c>
      <c r="G8" s="414">
        <v>5021977</v>
      </c>
      <c r="H8" s="638">
        <v>5592657</v>
      </c>
      <c r="I8" s="639">
        <v>5706793</v>
      </c>
    </row>
    <row r="9" spans="1:9" ht="12.75">
      <c r="A9" s="492" t="s">
        <v>961</v>
      </c>
      <c r="B9" s="414">
        <v>2170</v>
      </c>
      <c r="C9" s="414">
        <v>732</v>
      </c>
      <c r="D9" s="414">
        <v>0</v>
      </c>
      <c r="E9" s="414">
        <v>0</v>
      </c>
      <c r="F9" s="414">
        <v>0</v>
      </c>
      <c r="G9" s="414">
        <v>0</v>
      </c>
      <c r="H9" s="638">
        <v>732</v>
      </c>
      <c r="I9" s="639">
        <v>2902</v>
      </c>
    </row>
    <row r="10" spans="1:9" ht="12.75">
      <c r="A10" s="492" t="s">
        <v>962</v>
      </c>
      <c r="B10" s="414">
        <v>17709</v>
      </c>
      <c r="C10" s="414">
        <v>17709</v>
      </c>
      <c r="D10" s="414">
        <v>17709</v>
      </c>
      <c r="E10" s="414">
        <v>17709</v>
      </c>
      <c r="F10" s="414">
        <v>13247</v>
      </c>
      <c r="G10" s="414">
        <v>0</v>
      </c>
      <c r="H10" s="638">
        <v>66374</v>
      </c>
      <c r="I10" s="639">
        <v>84083</v>
      </c>
    </row>
    <row r="11" spans="1:9" ht="12.75">
      <c r="A11" s="492" t="s">
        <v>963</v>
      </c>
      <c r="B11" s="414">
        <v>17709</v>
      </c>
      <c r="C11" s="414">
        <v>17709</v>
      </c>
      <c r="D11" s="414">
        <v>17709</v>
      </c>
      <c r="E11" s="414">
        <v>17709</v>
      </c>
      <c r="F11" s="414">
        <v>13247</v>
      </c>
      <c r="G11" s="414">
        <v>0</v>
      </c>
      <c r="H11" s="638">
        <v>66374</v>
      </c>
      <c r="I11" s="639">
        <v>84083</v>
      </c>
    </row>
    <row r="12" spans="1:9" ht="12.75">
      <c r="A12" s="492" t="s">
        <v>964</v>
      </c>
      <c r="B12" s="414">
        <v>48091</v>
      </c>
      <c r="C12" s="414">
        <v>0</v>
      </c>
      <c r="D12" s="414">
        <v>0</v>
      </c>
      <c r="E12" s="414">
        <v>0</v>
      </c>
      <c r="F12" s="414">
        <v>0</v>
      </c>
      <c r="G12" s="414">
        <v>0</v>
      </c>
      <c r="H12" s="638"/>
      <c r="I12" s="639">
        <v>48091</v>
      </c>
    </row>
    <row r="13" spans="1:9" ht="25.5">
      <c r="A13" s="816" t="s">
        <v>965</v>
      </c>
      <c r="B13" s="638">
        <v>50261</v>
      </c>
      <c r="C13" s="638">
        <v>732</v>
      </c>
      <c r="D13" s="638">
        <v>0</v>
      </c>
      <c r="E13" s="638">
        <v>0</v>
      </c>
      <c r="F13" s="638">
        <v>0</v>
      </c>
      <c r="G13" s="638">
        <v>0</v>
      </c>
      <c r="H13" s="638">
        <v>732</v>
      </c>
      <c r="I13" s="639">
        <v>50993</v>
      </c>
    </row>
    <row r="14" spans="1:9" ht="25.5">
      <c r="A14" s="817" t="s">
        <v>966</v>
      </c>
      <c r="B14" s="638">
        <v>131845</v>
      </c>
      <c r="C14" s="638">
        <v>131845</v>
      </c>
      <c r="D14" s="638">
        <v>154672</v>
      </c>
      <c r="E14" s="638">
        <v>166086</v>
      </c>
      <c r="F14" s="638">
        <v>184451</v>
      </c>
      <c r="G14" s="638">
        <v>5021977</v>
      </c>
      <c r="H14" s="638">
        <v>5659031</v>
      </c>
      <c r="I14" s="639">
        <v>5790876</v>
      </c>
    </row>
    <row r="15" spans="1:9" ht="27.75" customHeight="1">
      <c r="A15" s="818" t="s">
        <v>967</v>
      </c>
      <c r="B15" s="643">
        <v>131845</v>
      </c>
      <c r="C15" s="643">
        <v>131845</v>
      </c>
      <c r="D15" s="643">
        <v>154672</v>
      </c>
      <c r="E15" s="643">
        <v>166086</v>
      </c>
      <c r="F15" s="643">
        <v>184451</v>
      </c>
      <c r="G15" s="643">
        <v>5021977</v>
      </c>
      <c r="H15" s="643">
        <v>5659031</v>
      </c>
      <c r="I15" s="644">
        <v>5790876</v>
      </c>
    </row>
  </sheetData>
  <sheetProtection selectLockedCells="1" selectUnlockedCells="1"/>
  <mergeCells count="5">
    <mergeCell ref="A2:I2"/>
    <mergeCell ref="A5:A6"/>
    <mergeCell ref="B5:G5"/>
    <mergeCell ref="H5:H6"/>
    <mergeCell ref="I5:I6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 scale="90"/>
  <headerFooter alignWithMargins="0">
    <oddHeader>&amp;L18.melléklet a 15/2012.(IV.27.)önkormányzati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22">
      <selection activeCell="A1" sqref="A1"/>
    </sheetView>
  </sheetViews>
  <sheetFormatPr defaultColWidth="9.00390625" defaultRowHeight="12.75"/>
  <cols>
    <col min="1" max="1" width="56.375" style="248" customWidth="1"/>
    <col min="2" max="2" width="9.75390625" style="819" customWidth="1"/>
    <col min="3" max="3" width="9.25390625" style="819" customWidth="1"/>
    <col min="4" max="7" width="12.625" style="820" customWidth="1"/>
    <col min="8" max="8" width="12.00390625" style="248" customWidth="1"/>
    <col min="9" max="16384" width="9.125" style="248" customWidth="1"/>
  </cols>
  <sheetData>
    <row r="1" spans="1:8" ht="12.75">
      <c r="A1" s="4" t="s">
        <v>968</v>
      </c>
      <c r="B1" s="4"/>
      <c r="C1" s="4"/>
      <c r="D1" s="4"/>
      <c r="E1" s="4"/>
      <c r="F1" s="4"/>
      <c r="G1" s="4"/>
      <c r="H1" s="4"/>
    </row>
    <row r="3" spans="1:8" ht="12.75" customHeight="1">
      <c r="A3" s="821" t="s">
        <v>969</v>
      </c>
      <c r="B3" s="822" t="s">
        <v>970</v>
      </c>
      <c r="C3" s="822"/>
      <c r="D3" s="822"/>
      <c r="E3" s="823" t="s">
        <v>971</v>
      </c>
      <c r="F3" s="823"/>
      <c r="G3" s="823"/>
      <c r="H3" s="824" t="s">
        <v>972</v>
      </c>
    </row>
    <row r="4" spans="1:8" ht="27" customHeight="1">
      <c r="A4" s="825"/>
      <c r="B4" s="826" t="s">
        <v>973</v>
      </c>
      <c r="C4" s="826" t="s">
        <v>974</v>
      </c>
      <c r="D4" s="827" t="s">
        <v>975</v>
      </c>
      <c r="E4" s="828" t="s">
        <v>973</v>
      </c>
      <c r="F4" s="828" t="s">
        <v>974</v>
      </c>
      <c r="G4" s="829" t="s">
        <v>975</v>
      </c>
      <c r="H4" s="830" t="s">
        <v>976</v>
      </c>
    </row>
    <row r="5" spans="1:8" ht="17.25" customHeight="1">
      <c r="A5" s="831" t="s">
        <v>977</v>
      </c>
      <c r="B5" s="832"/>
      <c r="C5" s="832"/>
      <c r="D5" s="827"/>
      <c r="E5" s="827"/>
      <c r="F5" s="827"/>
      <c r="G5" s="827"/>
      <c r="H5" s="833"/>
    </row>
    <row r="6" spans="1:8" ht="18" customHeight="1">
      <c r="A6" s="834" t="s">
        <v>978</v>
      </c>
      <c r="B6" s="832">
        <v>23831</v>
      </c>
      <c r="C6" s="832">
        <v>2769</v>
      </c>
      <c r="D6" s="827">
        <f>B6*C6</f>
        <v>65988039</v>
      </c>
      <c r="E6" s="835">
        <v>23831</v>
      </c>
      <c r="F6" s="835">
        <v>2769</v>
      </c>
      <c r="G6" s="827">
        <v>65988039</v>
      </c>
      <c r="H6" s="836">
        <f>G6-D6</f>
        <v>0</v>
      </c>
    </row>
    <row r="7" spans="1:8" ht="17.25" customHeight="1">
      <c r="A7" s="834" t="s">
        <v>979</v>
      </c>
      <c r="B7" s="832">
        <v>641</v>
      </c>
      <c r="C7" s="832">
        <v>2612</v>
      </c>
      <c r="D7" s="827">
        <f>B7*C7</f>
        <v>1674292</v>
      </c>
      <c r="E7" s="835">
        <v>641</v>
      </c>
      <c r="F7" s="835">
        <v>2612</v>
      </c>
      <c r="G7" s="827">
        <v>1674292</v>
      </c>
      <c r="H7" s="836">
        <f>G7-D7</f>
        <v>0</v>
      </c>
    </row>
    <row r="8" spans="1:8" ht="17.25" customHeight="1">
      <c r="A8" s="834" t="s">
        <v>980</v>
      </c>
      <c r="B8" s="832"/>
      <c r="C8" s="832"/>
      <c r="D8" s="837">
        <v>33274461</v>
      </c>
      <c r="E8" s="838"/>
      <c r="F8" s="838"/>
      <c r="G8" s="837">
        <v>33274461</v>
      </c>
      <c r="H8" s="836">
        <f>G8-D8</f>
        <v>0</v>
      </c>
    </row>
    <row r="9" spans="1:8" ht="17.25" customHeight="1">
      <c r="A9" s="834" t="s">
        <v>981</v>
      </c>
      <c r="B9" s="832">
        <v>15000000</v>
      </c>
      <c r="C9" s="839">
        <v>1.5</v>
      </c>
      <c r="D9" s="827">
        <f>B9*C9</f>
        <v>22500000</v>
      </c>
      <c r="E9" s="835">
        <v>15399400</v>
      </c>
      <c r="F9" s="840">
        <v>1.5</v>
      </c>
      <c r="G9" s="827">
        <v>23099100</v>
      </c>
      <c r="H9" s="836">
        <f>G9-D9</f>
        <v>599100</v>
      </c>
    </row>
    <row r="10" spans="1:8" s="1" customFormat="1" ht="17.25" customHeight="1">
      <c r="A10" s="841" t="s">
        <v>982</v>
      </c>
      <c r="B10" s="29"/>
      <c r="C10" s="29"/>
      <c r="D10" s="842">
        <f>SUM(D6:D9)</f>
        <v>123436792</v>
      </c>
      <c r="E10" s="843"/>
      <c r="F10" s="843"/>
      <c r="G10" s="842">
        <f>SUM(G6:G9)</f>
        <v>124035892</v>
      </c>
      <c r="H10" s="844">
        <f>G10-D10</f>
        <v>599100</v>
      </c>
    </row>
    <row r="11" spans="1:8" ht="17.25" customHeight="1">
      <c r="A11" s="845"/>
      <c r="B11" s="832"/>
      <c r="C11" s="832"/>
      <c r="D11" s="827"/>
      <c r="E11" s="835"/>
      <c r="F11" s="835"/>
      <c r="G11" s="827"/>
      <c r="H11" s="836"/>
    </row>
    <row r="12" spans="1:8" ht="18" customHeight="1">
      <c r="A12" s="834" t="s">
        <v>983</v>
      </c>
      <c r="B12" s="832"/>
      <c r="C12" s="832"/>
      <c r="D12" s="837">
        <v>115127561</v>
      </c>
      <c r="E12" s="838"/>
      <c r="F12" s="838"/>
      <c r="G12" s="837">
        <v>115127561</v>
      </c>
      <c r="H12" s="836">
        <f aca="true" t="shared" si="0" ref="H12:H20">G12-D12</f>
        <v>0</v>
      </c>
    </row>
    <row r="13" spans="1:8" ht="17.25" customHeight="1">
      <c r="A13" s="834" t="s">
        <v>984</v>
      </c>
      <c r="B13" s="832">
        <v>39439</v>
      </c>
      <c r="C13" s="832"/>
      <c r="D13" s="827">
        <v>31156810</v>
      </c>
      <c r="E13" s="835">
        <v>39439</v>
      </c>
      <c r="F13" s="835"/>
      <c r="G13" s="827">
        <v>31156810</v>
      </c>
      <c r="H13" s="836">
        <f t="shared" si="0"/>
        <v>0</v>
      </c>
    </row>
    <row r="14" spans="1:8" ht="17.25" customHeight="1">
      <c r="A14" s="834" t="s">
        <v>985</v>
      </c>
      <c r="B14" s="846">
        <v>120</v>
      </c>
      <c r="C14" s="846">
        <v>55360</v>
      </c>
      <c r="D14" s="837">
        <f aca="true" t="shared" si="1" ref="D14:D19">B14*C14</f>
        <v>6643200</v>
      </c>
      <c r="E14" s="838">
        <v>90</v>
      </c>
      <c r="F14" s="838">
        <v>55360</v>
      </c>
      <c r="G14" s="837">
        <v>4982400</v>
      </c>
      <c r="H14" s="836">
        <f t="shared" si="0"/>
        <v>-1660800</v>
      </c>
    </row>
    <row r="15" spans="1:8" ht="18" customHeight="1">
      <c r="A15" s="834" t="s">
        <v>335</v>
      </c>
      <c r="B15" s="846">
        <v>28</v>
      </c>
      <c r="C15" s="846">
        <v>166080</v>
      </c>
      <c r="D15" s="837">
        <f t="shared" si="1"/>
        <v>4650240</v>
      </c>
      <c r="E15" s="838">
        <v>26</v>
      </c>
      <c r="F15" s="838">
        <v>166080</v>
      </c>
      <c r="G15" s="837">
        <v>4318080</v>
      </c>
      <c r="H15" s="836">
        <f t="shared" si="0"/>
        <v>-332160</v>
      </c>
    </row>
    <row r="16" spans="1:8" ht="16.5" customHeight="1">
      <c r="A16" s="834" t="s">
        <v>986</v>
      </c>
      <c r="B16" s="846">
        <v>65</v>
      </c>
      <c r="C16" s="846">
        <v>88580</v>
      </c>
      <c r="D16" s="837">
        <f t="shared" si="1"/>
        <v>5757700</v>
      </c>
      <c r="E16" s="838">
        <v>65</v>
      </c>
      <c r="F16" s="838">
        <v>88580</v>
      </c>
      <c r="G16" s="837">
        <v>5757700</v>
      </c>
      <c r="H16" s="836">
        <f t="shared" si="0"/>
        <v>0</v>
      </c>
    </row>
    <row r="17" spans="1:8" ht="17.25" customHeight="1">
      <c r="A17" s="834" t="s">
        <v>987</v>
      </c>
      <c r="B17" s="846">
        <v>25</v>
      </c>
      <c r="C17" s="846">
        <v>405600</v>
      </c>
      <c r="D17" s="837">
        <f t="shared" si="1"/>
        <v>10140000</v>
      </c>
      <c r="E17" s="838">
        <v>24</v>
      </c>
      <c r="F17" s="838">
        <v>405600</v>
      </c>
      <c r="G17" s="837">
        <v>9734400</v>
      </c>
      <c r="H17" s="836">
        <f t="shared" si="0"/>
        <v>-405600</v>
      </c>
    </row>
    <row r="18" spans="1:8" ht="17.25" customHeight="1">
      <c r="A18" s="834" t="s">
        <v>988</v>
      </c>
      <c r="B18" s="846">
        <v>36</v>
      </c>
      <c r="C18" s="846">
        <v>206100</v>
      </c>
      <c r="D18" s="837">
        <f t="shared" si="1"/>
        <v>7419600</v>
      </c>
      <c r="E18" s="838">
        <v>45</v>
      </c>
      <c r="F18" s="838">
        <v>206100</v>
      </c>
      <c r="G18" s="837">
        <v>9274500</v>
      </c>
      <c r="H18" s="836">
        <f t="shared" si="0"/>
        <v>1854900</v>
      </c>
    </row>
    <row r="19" spans="1:8" ht="16.5" customHeight="1">
      <c r="A19" s="834" t="s">
        <v>989</v>
      </c>
      <c r="B19" s="846">
        <v>27</v>
      </c>
      <c r="C19" s="846">
        <v>468350</v>
      </c>
      <c r="D19" s="837">
        <f t="shared" si="1"/>
        <v>12645450</v>
      </c>
      <c r="E19" s="838">
        <v>27</v>
      </c>
      <c r="F19" s="838">
        <v>468350</v>
      </c>
      <c r="G19" s="837">
        <v>12645450</v>
      </c>
      <c r="H19" s="836">
        <f t="shared" si="0"/>
        <v>0</v>
      </c>
    </row>
    <row r="20" spans="1:8" s="1" customFormat="1" ht="17.25" customHeight="1">
      <c r="A20" s="841" t="s">
        <v>990</v>
      </c>
      <c r="B20" s="29"/>
      <c r="C20" s="29"/>
      <c r="D20" s="842">
        <f>SUM(D12:D19)</f>
        <v>193540561</v>
      </c>
      <c r="E20" s="843"/>
      <c r="F20" s="843"/>
      <c r="G20" s="842">
        <f>SUM(G12:G19)</f>
        <v>192996901</v>
      </c>
      <c r="H20" s="844">
        <f t="shared" si="0"/>
        <v>-543660</v>
      </c>
    </row>
    <row r="21" spans="1:8" ht="17.25" customHeight="1">
      <c r="A21" s="834"/>
      <c r="B21" s="832"/>
      <c r="C21" s="832"/>
      <c r="D21" s="827"/>
      <c r="E21" s="835"/>
      <c r="F21" s="835"/>
      <c r="G21" s="827"/>
      <c r="H21" s="836"/>
    </row>
    <row r="22" spans="1:8" ht="17.25" customHeight="1">
      <c r="A22" s="834" t="s">
        <v>991</v>
      </c>
      <c r="B22" s="832">
        <v>51</v>
      </c>
      <c r="C22" s="832">
        <v>494100</v>
      </c>
      <c r="D22" s="827">
        <f>B22*C22</f>
        <v>25199100</v>
      </c>
      <c r="E22" s="835">
        <v>61</v>
      </c>
      <c r="F22" s="835">
        <v>494100</v>
      </c>
      <c r="G22" s="827">
        <v>30140100</v>
      </c>
      <c r="H22" s="836">
        <f aca="true" t="shared" si="2" ref="H22:H46">G22-D22</f>
        <v>4941000</v>
      </c>
    </row>
    <row r="23" spans="1:8" ht="17.25" customHeight="1">
      <c r="A23" s="834" t="s">
        <v>992</v>
      </c>
      <c r="B23" s="832">
        <v>6</v>
      </c>
      <c r="C23" s="832">
        <v>68000</v>
      </c>
      <c r="D23" s="827">
        <f>B23*C23</f>
        <v>408000</v>
      </c>
      <c r="E23" s="835">
        <v>7</v>
      </c>
      <c r="F23" s="835">
        <v>68000</v>
      </c>
      <c r="G23" s="827">
        <v>476000</v>
      </c>
      <c r="H23" s="836">
        <f t="shared" si="2"/>
        <v>68000</v>
      </c>
    </row>
    <row r="24" spans="1:8" ht="17.25" customHeight="1">
      <c r="A24" s="834" t="s">
        <v>993</v>
      </c>
      <c r="B24" s="832">
        <v>689</v>
      </c>
      <c r="C24" s="832">
        <v>2350000</v>
      </c>
      <c r="D24" s="827">
        <v>131130000</v>
      </c>
      <c r="E24" s="835">
        <v>625</v>
      </c>
      <c r="F24" s="835">
        <v>2350000</v>
      </c>
      <c r="G24" s="827">
        <v>124706667</v>
      </c>
      <c r="H24" s="836">
        <f t="shared" si="2"/>
        <v>-6423333</v>
      </c>
    </row>
    <row r="25" spans="1:8" ht="17.25" customHeight="1">
      <c r="A25" s="834" t="s">
        <v>994</v>
      </c>
      <c r="B25" s="846">
        <v>967</v>
      </c>
      <c r="C25" s="846">
        <v>2350000</v>
      </c>
      <c r="D25" s="837">
        <v>135594999</v>
      </c>
      <c r="E25" s="838">
        <v>948</v>
      </c>
      <c r="F25" s="838">
        <v>2350000</v>
      </c>
      <c r="G25" s="837">
        <v>132931666</v>
      </c>
      <c r="H25" s="836">
        <f t="shared" si="2"/>
        <v>-2663333</v>
      </c>
    </row>
    <row r="26" spans="1:8" ht="17.25" customHeight="1">
      <c r="A26" s="834" t="s">
        <v>995</v>
      </c>
      <c r="B26" s="846">
        <v>929</v>
      </c>
      <c r="C26" s="846">
        <v>2350000</v>
      </c>
      <c r="D26" s="837">
        <v>157606666</v>
      </c>
      <c r="E26" s="838">
        <v>919</v>
      </c>
      <c r="F26" s="838">
        <v>2350000</v>
      </c>
      <c r="G26" s="837">
        <v>155805000</v>
      </c>
      <c r="H26" s="836">
        <f t="shared" si="2"/>
        <v>-1801666</v>
      </c>
    </row>
    <row r="27" spans="1:8" ht="17.25" customHeight="1">
      <c r="A27" s="847" t="s">
        <v>996</v>
      </c>
      <c r="B27" s="846">
        <v>0</v>
      </c>
      <c r="C27" s="846">
        <v>358400</v>
      </c>
      <c r="D27" s="837">
        <v>0</v>
      </c>
      <c r="E27" s="838">
        <v>0</v>
      </c>
      <c r="F27" s="838">
        <v>358400</v>
      </c>
      <c r="G27" s="837">
        <v>0</v>
      </c>
      <c r="H27" s="836">
        <f t="shared" si="2"/>
        <v>0</v>
      </c>
    </row>
    <row r="28" spans="1:8" ht="17.25" customHeight="1">
      <c r="A28" s="847" t="s">
        <v>997</v>
      </c>
      <c r="B28" s="846">
        <v>3</v>
      </c>
      <c r="C28" s="846">
        <v>358400</v>
      </c>
      <c r="D28" s="837">
        <v>955733</v>
      </c>
      <c r="E28" s="838">
        <v>3</v>
      </c>
      <c r="F28" s="838">
        <v>358400</v>
      </c>
      <c r="G28" s="837">
        <v>716800</v>
      </c>
      <c r="H28" s="836">
        <f t="shared" si="2"/>
        <v>-238933</v>
      </c>
    </row>
    <row r="29" spans="1:8" ht="17.25" customHeight="1">
      <c r="A29" s="847" t="s">
        <v>998</v>
      </c>
      <c r="B29" s="846">
        <v>2</v>
      </c>
      <c r="C29" s="846">
        <v>179200</v>
      </c>
      <c r="D29" s="837">
        <v>298666</v>
      </c>
      <c r="E29" s="838">
        <v>3</v>
      </c>
      <c r="F29" s="838">
        <v>179200</v>
      </c>
      <c r="G29" s="837">
        <v>477867</v>
      </c>
      <c r="H29" s="836">
        <f t="shared" si="2"/>
        <v>179201</v>
      </c>
    </row>
    <row r="30" spans="1:8" ht="17.25" customHeight="1">
      <c r="A30" s="847" t="s">
        <v>999</v>
      </c>
      <c r="B30" s="846">
        <v>7</v>
      </c>
      <c r="C30" s="846">
        <v>156800</v>
      </c>
      <c r="D30" s="837">
        <v>1202133</v>
      </c>
      <c r="E30" s="838">
        <v>8</v>
      </c>
      <c r="F30" s="838">
        <v>156800</v>
      </c>
      <c r="G30" s="837">
        <v>1306667</v>
      </c>
      <c r="H30" s="836">
        <f t="shared" si="2"/>
        <v>104534</v>
      </c>
    </row>
    <row r="31" spans="1:8" ht="17.25" customHeight="1">
      <c r="A31" s="847" t="s">
        <v>1000</v>
      </c>
      <c r="B31" s="846">
        <v>14</v>
      </c>
      <c r="C31" s="846">
        <v>134400</v>
      </c>
      <c r="D31" s="837">
        <f>B31*C31</f>
        <v>1881600</v>
      </c>
      <c r="E31" s="838">
        <v>9</v>
      </c>
      <c r="F31" s="838">
        <v>134400</v>
      </c>
      <c r="G31" s="837">
        <v>1254400</v>
      </c>
      <c r="H31" s="836">
        <f t="shared" si="2"/>
        <v>-627200</v>
      </c>
    </row>
    <row r="32" spans="1:8" ht="17.25" customHeight="1">
      <c r="A32" s="847" t="s">
        <v>1001</v>
      </c>
      <c r="B32" s="846">
        <v>2</v>
      </c>
      <c r="C32" s="846">
        <v>224000</v>
      </c>
      <c r="D32" s="837">
        <v>298667</v>
      </c>
      <c r="E32" s="838">
        <v>1</v>
      </c>
      <c r="F32" s="838">
        <v>224000</v>
      </c>
      <c r="G32" s="837">
        <v>701867</v>
      </c>
      <c r="H32" s="836">
        <f t="shared" si="2"/>
        <v>403200</v>
      </c>
    </row>
    <row r="33" spans="1:8" ht="17.25" customHeight="1">
      <c r="A33" s="847" t="s">
        <v>1002</v>
      </c>
      <c r="B33" s="846">
        <v>286</v>
      </c>
      <c r="C33" s="846">
        <v>2350000</v>
      </c>
      <c r="D33" s="837">
        <v>9556667</v>
      </c>
      <c r="E33" s="838">
        <v>309</v>
      </c>
      <c r="F33" s="838">
        <v>2350000</v>
      </c>
      <c r="G33" s="837">
        <v>10340000</v>
      </c>
      <c r="H33" s="836">
        <f t="shared" si="2"/>
        <v>783333</v>
      </c>
    </row>
    <row r="34" spans="1:8" ht="17.25" customHeight="1">
      <c r="A34" s="847" t="s">
        <v>1003</v>
      </c>
      <c r="B34" s="846">
        <v>287</v>
      </c>
      <c r="C34" s="846">
        <v>2350000</v>
      </c>
      <c r="D34" s="837">
        <v>10105000</v>
      </c>
      <c r="E34" s="838">
        <v>321</v>
      </c>
      <c r="F34" s="838">
        <v>2350000</v>
      </c>
      <c r="G34" s="837">
        <v>11280000</v>
      </c>
      <c r="H34" s="836">
        <f t="shared" si="2"/>
        <v>1175000</v>
      </c>
    </row>
    <row r="35" spans="1:9" ht="17.25" customHeight="1">
      <c r="A35" s="847" t="s">
        <v>1004</v>
      </c>
      <c r="B35" s="846">
        <v>83</v>
      </c>
      <c r="C35" s="846">
        <v>2350000</v>
      </c>
      <c r="D35" s="837">
        <v>1096667</v>
      </c>
      <c r="E35" s="838">
        <v>70</v>
      </c>
      <c r="F35" s="838">
        <v>2350000</v>
      </c>
      <c r="G35" s="837">
        <v>940000</v>
      </c>
      <c r="H35" s="836">
        <f t="shared" si="2"/>
        <v>-156667</v>
      </c>
      <c r="I35" s="848"/>
    </row>
    <row r="36" spans="1:9" ht="17.25" customHeight="1">
      <c r="A36" s="847" t="s">
        <v>1005</v>
      </c>
      <c r="B36" s="846">
        <v>83</v>
      </c>
      <c r="C36" s="846">
        <v>2350000</v>
      </c>
      <c r="D36" s="837">
        <v>1175000</v>
      </c>
      <c r="E36" s="838">
        <v>60</v>
      </c>
      <c r="F36" s="838">
        <v>2350000</v>
      </c>
      <c r="G36" s="837">
        <v>861667</v>
      </c>
      <c r="H36" s="836">
        <f t="shared" si="2"/>
        <v>-313333</v>
      </c>
      <c r="I36" s="848"/>
    </row>
    <row r="37" spans="1:8" ht="17.25" customHeight="1">
      <c r="A37" s="847" t="s">
        <v>1006</v>
      </c>
      <c r="B37" s="846">
        <v>91</v>
      </c>
      <c r="C37" s="846">
        <v>68000</v>
      </c>
      <c r="D37" s="837">
        <f>B37*C37</f>
        <v>6188000</v>
      </c>
      <c r="E37" s="838">
        <v>170</v>
      </c>
      <c r="F37" s="838">
        <v>68000</v>
      </c>
      <c r="G37" s="837">
        <f>E37*F37</f>
        <v>11560000</v>
      </c>
      <c r="H37" s="836">
        <f t="shared" si="2"/>
        <v>5372000</v>
      </c>
    </row>
    <row r="38" spans="1:8" ht="17.25" customHeight="1">
      <c r="A38" s="847" t="s">
        <v>1007</v>
      </c>
      <c r="B38" s="846">
        <v>453</v>
      </c>
      <c r="C38" s="846">
        <v>68000</v>
      </c>
      <c r="D38" s="837">
        <f>B38*C38</f>
        <v>30804000</v>
      </c>
      <c r="E38" s="838">
        <v>628</v>
      </c>
      <c r="F38" s="838">
        <v>68000</v>
      </c>
      <c r="G38" s="837">
        <f>E38*F38</f>
        <v>42704000</v>
      </c>
      <c r="H38" s="836">
        <f t="shared" si="2"/>
        <v>11900000</v>
      </c>
    </row>
    <row r="39" spans="1:8" ht="17.25" customHeight="1">
      <c r="A39" s="847" t="s">
        <v>1008</v>
      </c>
      <c r="B39" s="846">
        <v>683</v>
      </c>
      <c r="C39" s="846">
        <v>2350000</v>
      </c>
      <c r="D39" s="837">
        <v>9948333</v>
      </c>
      <c r="E39" s="838">
        <v>953</v>
      </c>
      <c r="F39" s="838">
        <v>2350000</v>
      </c>
      <c r="G39" s="837">
        <v>20366666</v>
      </c>
      <c r="H39" s="836">
        <f t="shared" si="2"/>
        <v>10418333</v>
      </c>
    </row>
    <row r="40" spans="1:8" ht="17.25" customHeight="1">
      <c r="A40" s="847" t="s">
        <v>1009</v>
      </c>
      <c r="B40" s="846">
        <v>191</v>
      </c>
      <c r="C40" s="846">
        <v>44900</v>
      </c>
      <c r="D40" s="837">
        <v>8560933</v>
      </c>
      <c r="E40" s="838">
        <v>206</v>
      </c>
      <c r="F40" s="838">
        <v>44900</v>
      </c>
      <c r="G40" s="837">
        <v>9249400</v>
      </c>
      <c r="H40" s="836">
        <f t="shared" si="2"/>
        <v>688467</v>
      </c>
    </row>
    <row r="41" spans="1:8" ht="17.25" customHeight="1">
      <c r="A41" s="847" t="s">
        <v>1010</v>
      </c>
      <c r="B41" s="846">
        <v>55</v>
      </c>
      <c r="C41" s="846">
        <v>17600</v>
      </c>
      <c r="D41" s="837">
        <v>973867</v>
      </c>
      <c r="E41" s="838">
        <v>47</v>
      </c>
      <c r="F41" s="838">
        <v>17600</v>
      </c>
      <c r="G41" s="837">
        <v>821333</v>
      </c>
      <c r="H41" s="836">
        <f t="shared" si="2"/>
        <v>-152534</v>
      </c>
    </row>
    <row r="42" spans="1:8" ht="17.25" customHeight="1">
      <c r="A42" s="847" t="s">
        <v>1011</v>
      </c>
      <c r="B42" s="846">
        <v>810</v>
      </c>
      <c r="C42" s="846">
        <v>12000</v>
      </c>
      <c r="D42" s="837">
        <f>B42*C42</f>
        <v>9720000</v>
      </c>
      <c r="E42" s="838">
        <v>786</v>
      </c>
      <c r="F42" s="838">
        <v>12000</v>
      </c>
      <c r="G42" s="837">
        <v>9432000</v>
      </c>
      <c r="H42" s="836">
        <f t="shared" si="2"/>
        <v>-288000</v>
      </c>
    </row>
    <row r="43" spans="1:8" ht="17.25" customHeight="1">
      <c r="A43" s="847" t="s">
        <v>1012</v>
      </c>
      <c r="B43" s="846">
        <v>98</v>
      </c>
      <c r="C43" s="846">
        <v>40000</v>
      </c>
      <c r="D43" s="837">
        <v>4106667</v>
      </c>
      <c r="E43" s="838">
        <v>102</v>
      </c>
      <c r="F43" s="838">
        <v>40000</v>
      </c>
      <c r="G43" s="837">
        <v>4093333</v>
      </c>
      <c r="H43" s="836">
        <f t="shared" si="2"/>
        <v>-13334</v>
      </c>
    </row>
    <row r="44" spans="1:8" ht="17.25" customHeight="1">
      <c r="A44" s="847" t="s">
        <v>1013</v>
      </c>
      <c r="B44" s="846">
        <v>98</v>
      </c>
      <c r="C44" s="846">
        <v>32000</v>
      </c>
      <c r="D44" s="837">
        <v>0</v>
      </c>
      <c r="E44" s="838">
        <v>98</v>
      </c>
      <c r="F44" s="838">
        <v>32000</v>
      </c>
      <c r="G44" s="837">
        <v>1045333</v>
      </c>
      <c r="H44" s="836">
        <f t="shared" si="2"/>
        <v>1045333</v>
      </c>
    </row>
    <row r="45" spans="1:8" ht="17.25" customHeight="1">
      <c r="A45" s="847" t="s">
        <v>1014</v>
      </c>
      <c r="B45" s="846">
        <v>1894</v>
      </c>
      <c r="C45" s="846">
        <v>1750</v>
      </c>
      <c r="D45" s="837">
        <f>B45*C45</f>
        <v>3314500</v>
      </c>
      <c r="E45" s="838">
        <v>1879</v>
      </c>
      <c r="F45" s="838">
        <v>1750</v>
      </c>
      <c r="G45" s="837">
        <v>3288250</v>
      </c>
      <c r="H45" s="836">
        <f t="shared" si="2"/>
        <v>-26250</v>
      </c>
    </row>
    <row r="46" spans="1:8" s="1" customFormat="1" ht="17.25" customHeight="1">
      <c r="A46" s="849" t="s">
        <v>1015</v>
      </c>
      <c r="B46" s="850"/>
      <c r="C46" s="850"/>
      <c r="D46" s="851">
        <f>SUM(D22:D45)</f>
        <v>550125198</v>
      </c>
      <c r="E46" s="852"/>
      <c r="F46" s="852"/>
      <c r="G46" s="851">
        <f>SUM(G22:G45)</f>
        <v>574499016</v>
      </c>
      <c r="H46" s="844">
        <f t="shared" si="2"/>
        <v>24373818</v>
      </c>
    </row>
    <row r="47" spans="1:8" ht="17.25" customHeight="1">
      <c r="A47" s="834"/>
      <c r="B47" s="832"/>
      <c r="C47" s="832"/>
      <c r="D47" s="827"/>
      <c r="E47" s="835"/>
      <c r="F47" s="835"/>
      <c r="G47" s="827"/>
      <c r="H47" s="836"/>
    </row>
    <row r="48" spans="1:8" s="257" customFormat="1" ht="17.25" customHeight="1">
      <c r="A48" s="841" t="s">
        <v>1016</v>
      </c>
      <c r="B48" s="49"/>
      <c r="C48" s="49"/>
      <c r="D48" s="842">
        <f>D10+D20+D46</f>
        <v>867102551</v>
      </c>
      <c r="E48" s="843"/>
      <c r="F48" s="843"/>
      <c r="G48" s="842">
        <f>G10+G20+G46</f>
        <v>891531809</v>
      </c>
      <c r="H48" s="844">
        <f>G48-D48</f>
        <v>24429258</v>
      </c>
    </row>
    <row r="49" spans="1:8" ht="17.25" customHeight="1">
      <c r="A49" s="834"/>
      <c r="B49" s="832"/>
      <c r="C49" s="832"/>
      <c r="D49" s="827"/>
      <c r="E49" s="835"/>
      <c r="F49" s="835"/>
      <c r="G49" s="827"/>
      <c r="H49" s="836"/>
    </row>
    <row r="50" spans="1:8" ht="17.25" customHeight="1">
      <c r="A50" s="847" t="s">
        <v>1017</v>
      </c>
      <c r="B50" s="846">
        <v>234</v>
      </c>
      <c r="C50" s="846">
        <v>10500</v>
      </c>
      <c r="D50" s="837">
        <f>B50*C50</f>
        <v>2457000</v>
      </c>
      <c r="E50" s="838">
        <v>242</v>
      </c>
      <c r="F50" s="838">
        <v>10500</v>
      </c>
      <c r="G50" s="837">
        <v>2102520</v>
      </c>
      <c r="H50" s="836">
        <f aca="true" t="shared" si="3" ref="H50:H60">G50-D50</f>
        <v>-354480</v>
      </c>
    </row>
    <row r="51" spans="1:8" ht="17.25" customHeight="1">
      <c r="A51" s="834" t="s">
        <v>1018</v>
      </c>
      <c r="B51" s="832">
        <v>6</v>
      </c>
      <c r="C51" s="832">
        <v>1200000</v>
      </c>
      <c r="D51" s="827">
        <f>B51*C51</f>
        <v>7200000</v>
      </c>
      <c r="E51" s="835">
        <v>6</v>
      </c>
      <c r="F51" s="835">
        <v>1200000</v>
      </c>
      <c r="G51" s="827">
        <v>7200000</v>
      </c>
      <c r="H51" s="836">
        <f t="shared" si="3"/>
        <v>0</v>
      </c>
    </row>
    <row r="52" spans="1:8" ht="17.25" customHeight="1">
      <c r="A52" s="847" t="s">
        <v>1019</v>
      </c>
      <c r="B52" s="846">
        <v>28</v>
      </c>
      <c r="C52" s="846">
        <v>9400</v>
      </c>
      <c r="D52" s="837">
        <f>B52*C52</f>
        <v>263200</v>
      </c>
      <c r="E52" s="838">
        <v>24</v>
      </c>
      <c r="F52" s="838">
        <v>9400</v>
      </c>
      <c r="G52" s="837">
        <v>225600</v>
      </c>
      <c r="H52" s="836">
        <f t="shared" si="3"/>
        <v>-37600</v>
      </c>
    </row>
    <row r="53" spans="1:8" ht="17.25" customHeight="1">
      <c r="A53" s="847" t="s">
        <v>1020</v>
      </c>
      <c r="B53" s="846">
        <v>79</v>
      </c>
      <c r="C53" s="846">
        <v>26000</v>
      </c>
      <c r="D53" s="837">
        <v>2071333</v>
      </c>
      <c r="E53" s="838">
        <v>79</v>
      </c>
      <c r="F53" s="838">
        <v>26000</v>
      </c>
      <c r="G53" s="837">
        <v>2054000</v>
      </c>
      <c r="H53" s="836">
        <f t="shared" si="3"/>
        <v>-17333</v>
      </c>
    </row>
    <row r="54" spans="1:8" ht="17.25" customHeight="1">
      <c r="A54" s="847" t="s">
        <v>1021</v>
      </c>
      <c r="B54" s="846">
        <v>3</v>
      </c>
      <c r="C54" s="846">
        <v>65000</v>
      </c>
      <c r="D54" s="837">
        <f>B54*C54</f>
        <v>195000</v>
      </c>
      <c r="E54" s="838">
        <v>3</v>
      </c>
      <c r="F54" s="838">
        <v>65000</v>
      </c>
      <c r="G54" s="837">
        <v>195000</v>
      </c>
      <c r="H54" s="836">
        <f t="shared" si="3"/>
        <v>0</v>
      </c>
    </row>
    <row r="55" spans="1:8" s="254" customFormat="1" ht="17.25" customHeight="1">
      <c r="A55" s="849" t="s">
        <v>1022</v>
      </c>
      <c r="B55" s="853"/>
      <c r="C55" s="853"/>
      <c r="D55" s="851">
        <f>SUM(D50:D54)</f>
        <v>12186533</v>
      </c>
      <c r="E55" s="852"/>
      <c r="F55" s="852"/>
      <c r="G55" s="851">
        <f>SUM(G50:G54)</f>
        <v>11777120</v>
      </c>
      <c r="H55" s="844">
        <f t="shared" si="3"/>
        <v>-409413</v>
      </c>
    </row>
    <row r="56" spans="1:8" s="250" customFormat="1" ht="17.25" customHeight="1">
      <c r="A56" s="845"/>
      <c r="B56" s="854"/>
      <c r="C56" s="854"/>
      <c r="D56" s="855"/>
      <c r="E56" s="856"/>
      <c r="F56" s="856"/>
      <c r="G56" s="855"/>
      <c r="H56" s="836">
        <f t="shared" si="3"/>
        <v>0</v>
      </c>
    </row>
    <row r="57" spans="1:8" s="254" customFormat="1" ht="17.25" customHeight="1">
      <c r="A57" s="841" t="s">
        <v>1023</v>
      </c>
      <c r="B57" s="209"/>
      <c r="C57" s="209"/>
      <c r="D57" s="842">
        <f>D48+D55</f>
        <v>879289084</v>
      </c>
      <c r="E57" s="843"/>
      <c r="F57" s="843"/>
      <c r="G57" s="842">
        <f>G48+G55</f>
        <v>903308929</v>
      </c>
      <c r="H57" s="844">
        <f t="shared" si="3"/>
        <v>24019845</v>
      </c>
    </row>
    <row r="58" spans="1:8" s="250" customFormat="1" ht="17.25" customHeight="1">
      <c r="A58" s="845"/>
      <c r="B58" s="854"/>
      <c r="C58" s="854"/>
      <c r="D58" s="855"/>
      <c r="E58" s="856"/>
      <c r="F58" s="856"/>
      <c r="G58" s="855"/>
      <c r="H58" s="836">
        <f t="shared" si="3"/>
        <v>0</v>
      </c>
    </row>
    <row r="59" spans="1:8" s="861" customFormat="1" ht="17.25" customHeight="1">
      <c r="A59" s="857" t="s">
        <v>1024</v>
      </c>
      <c r="B59" s="858"/>
      <c r="C59" s="858"/>
      <c r="D59" s="859">
        <v>404938800</v>
      </c>
      <c r="E59" s="860"/>
      <c r="F59" s="860"/>
      <c r="G59" s="859">
        <v>404938800</v>
      </c>
      <c r="H59" s="836">
        <f t="shared" si="3"/>
        <v>0</v>
      </c>
    </row>
    <row r="60" spans="1:8" s="864" customFormat="1" ht="17.25" customHeight="1">
      <c r="A60" s="862"/>
      <c r="B60" s="863"/>
      <c r="C60" s="863"/>
      <c r="D60" s="855"/>
      <c r="E60" s="856"/>
      <c r="F60" s="856"/>
      <c r="G60" s="855"/>
      <c r="H60" s="836">
        <f t="shared" si="3"/>
        <v>0</v>
      </c>
    </row>
    <row r="61" spans="1:8" s="864" customFormat="1" ht="17.25" customHeight="1">
      <c r="A61" s="865" t="s">
        <v>1025</v>
      </c>
      <c r="B61" s="866"/>
      <c r="C61" s="866"/>
      <c r="D61" s="867"/>
      <c r="E61" s="868"/>
      <c r="F61" s="868"/>
      <c r="G61" s="867"/>
      <c r="H61" s="869">
        <v>8320850</v>
      </c>
    </row>
    <row r="62" spans="1:22" s="876" customFormat="1" ht="18" customHeight="1">
      <c r="A62" s="870" t="s">
        <v>1026</v>
      </c>
      <c r="B62" s="871"/>
      <c r="C62" s="871"/>
      <c r="D62" s="872">
        <f>D10+D20+D46+D55+D59</f>
        <v>1284227884</v>
      </c>
      <c r="E62" s="873"/>
      <c r="F62" s="873"/>
      <c r="G62" s="872">
        <f>G57+G59</f>
        <v>1308247729</v>
      </c>
      <c r="H62" s="874">
        <f>SUM(H57:H61)</f>
        <v>32340695</v>
      </c>
      <c r="I62" s="875"/>
      <c r="J62" s="875"/>
      <c r="K62" s="875"/>
      <c r="L62" s="875"/>
      <c r="M62" s="875"/>
      <c r="N62" s="875"/>
      <c r="O62" s="875"/>
      <c r="P62" s="875"/>
      <c r="Q62" s="875"/>
      <c r="R62" s="875"/>
      <c r="S62" s="875"/>
      <c r="T62" s="875"/>
      <c r="U62" s="875"/>
      <c r="V62" s="875"/>
    </row>
    <row r="63" spans="1:8" s="220" customFormat="1" ht="12.75">
      <c r="A63" s="877"/>
      <c r="B63" s="878"/>
      <c r="C63" s="878"/>
      <c r="D63" s="879"/>
      <c r="E63" s="879"/>
      <c r="F63" s="879"/>
      <c r="G63" s="879"/>
      <c r="H63" s="878"/>
    </row>
  </sheetData>
  <sheetProtection selectLockedCells="1" selectUnlockedCells="1"/>
  <mergeCells count="3">
    <mergeCell ref="A1:H1"/>
    <mergeCell ref="B3:D3"/>
    <mergeCell ref="E3:G3"/>
  </mergeCells>
  <printOptions/>
  <pageMargins left="0.7875" right="0.7875" top="1.025" bottom="1.025" header="0.7875" footer="0.5118055555555555"/>
  <pageSetup horizontalDpi="300" verticalDpi="300" orientation="portrait" paperSize="9" scale="63"/>
  <headerFooter alignWithMargins="0">
    <oddHeader>&amp;L19.melléklet a 15/2012.(IV.27.)önkormányzati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zoomScale="75" zoomScaleNormal="75" zoomScaleSheetLayoutView="100" workbookViewId="0" topLeftCell="A1">
      <selection activeCell="A51" sqref="A51"/>
    </sheetView>
  </sheetViews>
  <sheetFormatPr defaultColWidth="9.00390625" defaultRowHeight="12" customHeight="1"/>
  <cols>
    <col min="1" max="1" width="52.375" style="92" customWidth="1"/>
    <col min="2" max="2" width="11.75390625" style="92" customWidth="1"/>
    <col min="3" max="3" width="10.75390625" style="92" customWidth="1"/>
    <col min="4" max="4" width="11.75390625" style="92" customWidth="1"/>
    <col min="5" max="5" width="52.375" style="92" customWidth="1"/>
    <col min="6" max="7" width="11.75390625" style="92" customWidth="1"/>
    <col min="8" max="8" width="11.75390625" style="93" customWidth="1"/>
    <col min="9" max="16384" width="9.125" style="92" customWidth="1"/>
  </cols>
  <sheetData>
    <row r="1" spans="1:5" ht="12.75" customHeight="1">
      <c r="A1" s="94"/>
      <c r="B1" s="95"/>
      <c r="C1" s="95"/>
      <c r="D1" s="95"/>
      <c r="E1" s="96"/>
    </row>
    <row r="3" spans="1:8" s="98" customFormat="1" ht="12.75" customHeight="1">
      <c r="A3" s="97" t="s">
        <v>109</v>
      </c>
      <c r="B3" s="97"/>
      <c r="C3" s="97"/>
      <c r="D3" s="97"/>
      <c r="E3" s="97"/>
      <c r="F3" s="97"/>
      <c r="G3" s="97"/>
      <c r="H3" s="97"/>
    </row>
    <row r="4" ht="13.5" customHeight="1"/>
    <row r="5" spans="1:8" ht="12.75" customHeight="1">
      <c r="A5" s="99" t="s">
        <v>1</v>
      </c>
      <c r="B5" s="99"/>
      <c r="C5" s="99"/>
      <c r="D5" s="100"/>
      <c r="E5" s="101" t="s">
        <v>2</v>
      </c>
      <c r="F5" s="101"/>
      <c r="G5" s="101"/>
      <c r="H5" s="101"/>
    </row>
    <row r="6" spans="1:8" ht="28.5" customHeight="1">
      <c r="A6" s="102"/>
      <c r="B6" s="103" t="s">
        <v>4</v>
      </c>
      <c r="C6" s="104" t="s">
        <v>5</v>
      </c>
      <c r="D6" s="104" t="s">
        <v>6</v>
      </c>
      <c r="E6" s="105"/>
      <c r="F6" s="103" t="s">
        <v>4</v>
      </c>
      <c r="G6" s="104" t="s">
        <v>5</v>
      </c>
      <c r="H6" s="106" t="s">
        <v>6</v>
      </c>
    </row>
    <row r="7" spans="1:8" ht="12.75" customHeight="1">
      <c r="A7" s="107" t="s">
        <v>9</v>
      </c>
      <c r="B7" s="108">
        <f>228452-20480</f>
        <v>207972</v>
      </c>
      <c r="C7" s="108">
        <v>304441</v>
      </c>
      <c r="D7" s="108">
        <v>315762</v>
      </c>
      <c r="E7" s="109" t="s">
        <v>110</v>
      </c>
      <c r="F7" s="108">
        <v>1757298</v>
      </c>
      <c r="G7" s="108">
        <v>1766865</v>
      </c>
      <c r="H7" s="110">
        <v>1719781</v>
      </c>
    </row>
    <row r="8" spans="1:8" ht="12.75" customHeight="1">
      <c r="A8" s="111" t="s">
        <v>111</v>
      </c>
      <c r="B8" s="112">
        <v>1949303</v>
      </c>
      <c r="C8" s="112">
        <v>1960480</v>
      </c>
      <c r="D8" s="112">
        <v>1966393</v>
      </c>
      <c r="E8" s="113" t="s">
        <v>112</v>
      </c>
      <c r="F8" s="112">
        <v>485937</v>
      </c>
      <c r="G8" s="112">
        <v>488390</v>
      </c>
      <c r="H8" s="114">
        <v>460822</v>
      </c>
    </row>
    <row r="9" spans="1:8" ht="12.75" customHeight="1">
      <c r="A9" s="111" t="s">
        <v>113</v>
      </c>
      <c r="B9" s="112">
        <v>982909</v>
      </c>
      <c r="C9" s="112">
        <v>999223</v>
      </c>
      <c r="D9" s="112">
        <v>999223</v>
      </c>
      <c r="E9" s="115" t="s">
        <v>114</v>
      </c>
      <c r="F9" s="112">
        <f>1272890-F59</f>
        <v>1245689</v>
      </c>
      <c r="G9" s="112">
        <v>1568448</v>
      </c>
      <c r="H9" s="114">
        <v>1451698</v>
      </c>
    </row>
    <row r="10" spans="1:8" ht="12.75" customHeight="1">
      <c r="A10" s="111" t="s">
        <v>115</v>
      </c>
      <c r="B10" s="112">
        <v>941908</v>
      </c>
      <c r="C10" s="112">
        <v>1026789</v>
      </c>
      <c r="D10" s="112">
        <v>1003338</v>
      </c>
      <c r="E10" s="113" t="s">
        <v>116</v>
      </c>
      <c r="F10" s="112">
        <v>326856</v>
      </c>
      <c r="G10" s="112">
        <v>348772</v>
      </c>
      <c r="H10" s="114">
        <v>329339</v>
      </c>
    </row>
    <row r="11" spans="1:8" ht="12.75" customHeight="1">
      <c r="A11" s="111" t="s">
        <v>117</v>
      </c>
      <c r="B11" s="112">
        <f>SUM(B12:B21)</f>
        <v>96754</v>
      </c>
      <c r="C11" s="112">
        <f>SUM(C12:C23)</f>
        <v>35634</v>
      </c>
      <c r="D11" s="112">
        <v>35634</v>
      </c>
      <c r="E11" s="113" t="s">
        <v>118</v>
      </c>
      <c r="F11" s="112"/>
      <c r="G11" s="112"/>
      <c r="H11" s="114">
        <v>8105</v>
      </c>
    </row>
    <row r="12" spans="1:8" ht="12.75" customHeight="1">
      <c r="A12" s="111" t="s">
        <v>119</v>
      </c>
      <c r="B12" s="116">
        <v>15000</v>
      </c>
      <c r="C12" s="116">
        <v>0</v>
      </c>
      <c r="D12" s="116">
        <v>0</v>
      </c>
      <c r="E12" s="113" t="s">
        <v>120</v>
      </c>
      <c r="F12" s="112"/>
      <c r="G12" s="116"/>
      <c r="H12" s="117"/>
    </row>
    <row r="13" spans="1:8" ht="12.75" customHeight="1">
      <c r="A13" s="111" t="s">
        <v>121</v>
      </c>
      <c r="B13" s="116">
        <v>2000</v>
      </c>
      <c r="C13" s="116">
        <v>2000</v>
      </c>
      <c r="D13" s="116">
        <v>2000</v>
      </c>
      <c r="E13" s="113" t="s">
        <v>122</v>
      </c>
      <c r="F13" s="112">
        <v>153115</v>
      </c>
      <c r="G13" s="112">
        <v>171275</v>
      </c>
      <c r="H13" s="114">
        <v>161951</v>
      </c>
    </row>
    <row r="14" spans="1:8" ht="12.75" customHeight="1">
      <c r="A14" s="111" t="s">
        <v>123</v>
      </c>
      <c r="B14" s="116">
        <v>2654</v>
      </c>
      <c r="C14" s="116">
        <v>2654</v>
      </c>
      <c r="D14" s="116">
        <v>2654</v>
      </c>
      <c r="E14" s="113" t="s">
        <v>30</v>
      </c>
      <c r="F14" s="112">
        <v>10200</v>
      </c>
      <c r="G14" s="112">
        <v>8040</v>
      </c>
      <c r="H14" s="114">
        <v>8040</v>
      </c>
    </row>
    <row r="15" spans="1:8" ht="12.75" customHeight="1">
      <c r="A15" s="111" t="s">
        <v>124</v>
      </c>
      <c r="B15" s="116">
        <v>5000</v>
      </c>
      <c r="C15" s="116">
        <v>20000</v>
      </c>
      <c r="D15" s="116">
        <v>20000</v>
      </c>
      <c r="E15" s="113" t="s">
        <v>44</v>
      </c>
      <c r="F15" s="112">
        <v>11000</v>
      </c>
      <c r="G15" s="112">
        <v>0</v>
      </c>
      <c r="H15" s="114">
        <v>0</v>
      </c>
    </row>
    <row r="16" spans="1:8" ht="12.75" customHeight="1">
      <c r="A16" s="111" t="s">
        <v>125</v>
      </c>
      <c r="B16" s="116">
        <v>34100</v>
      </c>
      <c r="C16" s="116">
        <v>0</v>
      </c>
      <c r="D16" s="116">
        <v>0</v>
      </c>
      <c r="E16" s="28" t="s">
        <v>126</v>
      </c>
      <c r="F16" s="112">
        <v>139986</v>
      </c>
      <c r="G16" s="112">
        <v>94652</v>
      </c>
      <c r="H16" s="114">
        <v>0</v>
      </c>
    </row>
    <row r="17" spans="1:8" ht="12.75" customHeight="1">
      <c r="A17" s="111" t="s">
        <v>127</v>
      </c>
      <c r="B17" s="116">
        <v>10000</v>
      </c>
      <c r="C17" s="116">
        <v>0</v>
      </c>
      <c r="D17" s="116">
        <v>0</v>
      </c>
      <c r="E17" s="118" t="s">
        <v>128</v>
      </c>
      <c r="F17" s="112">
        <v>840</v>
      </c>
      <c r="G17" s="112">
        <v>840</v>
      </c>
      <c r="H17" s="114">
        <v>0</v>
      </c>
    </row>
    <row r="18" spans="1:8" ht="12.75" customHeight="1">
      <c r="A18" s="119" t="s">
        <v>129</v>
      </c>
      <c r="B18" s="116">
        <v>8000</v>
      </c>
      <c r="C18" s="116">
        <v>0</v>
      </c>
      <c r="D18" s="116">
        <v>0</v>
      </c>
      <c r="E18" s="118" t="s">
        <v>130</v>
      </c>
      <c r="F18" s="112"/>
      <c r="G18" s="112">
        <v>20000</v>
      </c>
      <c r="H18" s="114">
        <v>0</v>
      </c>
    </row>
    <row r="19" spans="1:8" ht="12.75" customHeight="1">
      <c r="A19" s="119" t="s">
        <v>131</v>
      </c>
      <c r="B19" s="116">
        <v>5000</v>
      </c>
      <c r="C19" s="116">
        <v>0</v>
      </c>
      <c r="D19" s="116">
        <v>0</v>
      </c>
      <c r="E19" s="113" t="s">
        <v>132</v>
      </c>
      <c r="F19" s="112">
        <f>SUM(F20:F27)</f>
        <v>84754</v>
      </c>
      <c r="G19" s="112">
        <f>SUM(G20:G30)</f>
        <v>146705</v>
      </c>
      <c r="H19" s="114">
        <v>140705</v>
      </c>
    </row>
    <row r="20" spans="1:8" ht="12.75" customHeight="1">
      <c r="A20" s="119" t="s">
        <v>133</v>
      </c>
      <c r="B20" s="116">
        <v>7500</v>
      </c>
      <c r="C20" s="116">
        <v>0</v>
      </c>
      <c r="D20" s="116">
        <v>0</v>
      </c>
      <c r="E20" s="120" t="s">
        <v>134</v>
      </c>
      <c r="F20" s="116">
        <v>2000</v>
      </c>
      <c r="G20" s="116">
        <v>2000</v>
      </c>
      <c r="H20" s="117">
        <v>2000</v>
      </c>
    </row>
    <row r="21" spans="1:8" ht="12.75" customHeight="1">
      <c r="A21" s="111" t="s">
        <v>135</v>
      </c>
      <c r="B21" s="116">
        <v>7500</v>
      </c>
      <c r="C21" s="116">
        <v>0</v>
      </c>
      <c r="D21" s="116">
        <v>0</v>
      </c>
      <c r="E21" s="120" t="s">
        <v>136</v>
      </c>
      <c r="F21" s="116">
        <v>6000</v>
      </c>
      <c r="G21" s="116">
        <v>6000</v>
      </c>
      <c r="H21" s="117">
        <v>0</v>
      </c>
    </row>
    <row r="22" spans="1:8" ht="12.75" customHeight="1">
      <c r="A22" s="111" t="s">
        <v>137</v>
      </c>
      <c r="B22" s="113"/>
      <c r="C22" s="116">
        <v>10980</v>
      </c>
      <c r="D22" s="116">
        <v>10980</v>
      </c>
      <c r="E22" s="120" t="s">
        <v>123</v>
      </c>
      <c r="F22" s="116">
        <f>2654+10000</f>
        <v>12654</v>
      </c>
      <c r="G22" s="116">
        <v>2654</v>
      </c>
      <c r="H22" s="117">
        <v>2654</v>
      </c>
    </row>
    <row r="23" spans="1:8" ht="12.75" customHeight="1">
      <c r="A23" s="111" t="s">
        <v>138</v>
      </c>
      <c r="B23" s="113"/>
      <c r="C23" s="116">
        <v>0</v>
      </c>
      <c r="D23" s="116">
        <v>0</v>
      </c>
      <c r="E23" s="120" t="s">
        <v>139</v>
      </c>
      <c r="F23" s="116">
        <v>34100</v>
      </c>
      <c r="G23" s="116"/>
      <c r="H23" s="117"/>
    </row>
    <row r="24" spans="1:8" ht="12.75" customHeight="1">
      <c r="A24" s="111" t="s">
        <v>140</v>
      </c>
      <c r="B24" s="113"/>
      <c r="C24" s="113"/>
      <c r="D24" s="113">
        <v>35160</v>
      </c>
      <c r="E24" s="120" t="s">
        <v>141</v>
      </c>
      <c r="F24" s="116">
        <v>15000</v>
      </c>
      <c r="G24" s="116">
        <v>68000</v>
      </c>
      <c r="H24" s="117">
        <v>68000</v>
      </c>
    </row>
    <row r="25" spans="1:8" ht="12.75" customHeight="1">
      <c r="A25" s="111"/>
      <c r="B25" s="113"/>
      <c r="C25" s="113"/>
      <c r="D25" s="113"/>
      <c r="E25" s="120" t="s">
        <v>142</v>
      </c>
      <c r="F25" s="116">
        <v>7500</v>
      </c>
      <c r="G25" s="120"/>
      <c r="H25" s="121"/>
    </row>
    <row r="26" spans="1:8" ht="12.75" customHeight="1">
      <c r="A26" s="111"/>
      <c r="B26" s="113"/>
      <c r="C26" s="113"/>
      <c r="D26" s="113"/>
      <c r="E26" s="116" t="s">
        <v>143</v>
      </c>
      <c r="F26" s="116">
        <v>7500</v>
      </c>
      <c r="G26" s="120"/>
      <c r="H26" s="121"/>
    </row>
    <row r="27" spans="1:8" ht="12.75" customHeight="1">
      <c r="A27" s="111"/>
      <c r="B27" s="113"/>
      <c r="C27" s="113"/>
      <c r="D27" s="113"/>
      <c r="E27" s="116" t="s">
        <v>144</v>
      </c>
      <c r="F27" s="116"/>
      <c r="G27" s="116">
        <v>49571</v>
      </c>
      <c r="H27" s="117">
        <v>49571</v>
      </c>
    </row>
    <row r="28" spans="1:8" ht="12.75" customHeight="1">
      <c r="A28" s="111"/>
      <c r="B28" s="113"/>
      <c r="C28" s="113"/>
      <c r="D28" s="113"/>
      <c r="E28" s="116" t="s">
        <v>145</v>
      </c>
      <c r="F28" s="116"/>
      <c r="G28" s="116">
        <v>10980</v>
      </c>
      <c r="H28" s="117">
        <v>10980</v>
      </c>
    </row>
    <row r="29" spans="1:8" ht="12.75" customHeight="1">
      <c r="A29" s="111"/>
      <c r="B29" s="113"/>
      <c r="C29" s="113"/>
      <c r="D29" s="113"/>
      <c r="E29" s="116" t="s">
        <v>146</v>
      </c>
      <c r="F29" s="116"/>
      <c r="G29" s="116">
        <v>4500</v>
      </c>
      <c r="H29" s="117">
        <v>4500</v>
      </c>
    </row>
    <row r="30" spans="1:8" ht="13.5" customHeight="1">
      <c r="A30" s="122"/>
      <c r="B30" s="123"/>
      <c r="C30" s="123"/>
      <c r="D30" s="123"/>
      <c r="E30" s="124" t="s">
        <v>147</v>
      </c>
      <c r="F30" s="124"/>
      <c r="G30" s="124">
        <v>3000</v>
      </c>
      <c r="H30" s="125">
        <v>3000</v>
      </c>
    </row>
    <row r="31" spans="1:8" ht="13.5" customHeight="1">
      <c r="A31" s="126" t="s">
        <v>89</v>
      </c>
      <c r="B31" s="127">
        <f>SUM(B7:B11)</f>
        <v>4178846</v>
      </c>
      <c r="C31" s="128">
        <f>SUM(C7:C11)</f>
        <v>4326567</v>
      </c>
      <c r="D31" s="128">
        <v>4355510</v>
      </c>
      <c r="E31" s="129" t="s">
        <v>90</v>
      </c>
      <c r="F31" s="127">
        <f>SUM(F7+F8+F9+F10+F13+F14+F15+F16+F17+F19)</f>
        <v>4215675</v>
      </c>
      <c r="G31" s="127">
        <f>SUM(G7:G19)</f>
        <v>4613987</v>
      </c>
      <c r="H31" s="130">
        <v>4280441</v>
      </c>
    </row>
    <row r="32" spans="1:256" s="134" customFormat="1" ht="12.75" customHeight="1">
      <c r="A32" s="131" t="s">
        <v>148</v>
      </c>
      <c r="B32" s="132"/>
      <c r="C32" s="132"/>
      <c r="D32" s="132"/>
      <c r="E32" s="133"/>
      <c r="F32" s="132"/>
      <c r="G32" s="108"/>
      <c r="H32" s="110"/>
      <c r="IT32" s="135"/>
      <c r="IU32" s="135"/>
      <c r="IV32" s="135"/>
    </row>
    <row r="33" spans="1:8" s="134" customFormat="1" ht="12.75" customHeight="1">
      <c r="A33" s="136" t="s">
        <v>149</v>
      </c>
      <c r="B33" s="137">
        <f>SUM(B34:B35)</f>
        <v>36829</v>
      </c>
      <c r="C33" s="137">
        <f>SUM(C34:C35)</f>
        <v>251543</v>
      </c>
      <c r="D33" s="138">
        <v>259651</v>
      </c>
      <c r="E33" s="139" t="s">
        <v>150</v>
      </c>
      <c r="F33" s="137"/>
      <c r="G33" s="112"/>
      <c r="H33" s="114">
        <v>-120223</v>
      </c>
    </row>
    <row r="34" spans="1:8" s="134" customFormat="1" ht="12.75" customHeight="1">
      <c r="A34" s="111" t="s">
        <v>151</v>
      </c>
      <c r="B34" s="112">
        <v>24829</v>
      </c>
      <c r="C34" s="112">
        <v>251543</v>
      </c>
      <c r="D34" s="112">
        <v>259651</v>
      </c>
      <c r="E34" s="140"/>
      <c r="F34" s="137"/>
      <c r="G34" s="112"/>
      <c r="H34" s="114"/>
    </row>
    <row r="35" spans="1:8" s="134" customFormat="1" ht="25.5" customHeight="1">
      <c r="A35" s="141" t="s">
        <v>152</v>
      </c>
      <c r="B35" s="112">
        <v>12000</v>
      </c>
      <c r="C35" s="112"/>
      <c r="D35" s="112"/>
      <c r="E35" s="140"/>
      <c r="F35" s="137"/>
      <c r="G35" s="108"/>
      <c r="H35" s="110"/>
    </row>
    <row r="36" spans="1:8" s="134" customFormat="1" ht="13.5" customHeight="1">
      <c r="A36" s="142" t="s">
        <v>150</v>
      </c>
      <c r="B36" s="143"/>
      <c r="C36" s="143"/>
      <c r="D36" s="143">
        <v>-866</v>
      </c>
      <c r="E36" s="144"/>
      <c r="F36" s="145"/>
      <c r="G36" s="146"/>
      <c r="H36" s="147"/>
    </row>
    <row r="37" spans="1:8" s="134" customFormat="1" ht="13.5" customHeight="1">
      <c r="A37" s="148" t="s">
        <v>153</v>
      </c>
      <c r="B37" s="149">
        <f>SUM(B31+B33)</f>
        <v>4215675</v>
      </c>
      <c r="C37" s="149">
        <f>SUM(C31+C33+C36)</f>
        <v>4578110</v>
      </c>
      <c r="D37" s="149">
        <v>4614295</v>
      </c>
      <c r="E37" s="150" t="s">
        <v>153</v>
      </c>
      <c r="F37" s="127">
        <f>SUM(F31)</f>
        <v>4215675</v>
      </c>
      <c r="G37" s="127">
        <f>SUM(G31)</f>
        <v>4613987</v>
      </c>
      <c r="H37" s="130">
        <v>4160218</v>
      </c>
    </row>
    <row r="38" spans="1:8" s="134" customFormat="1" ht="12.75" customHeight="1">
      <c r="A38" s="1"/>
      <c r="B38" s="1"/>
      <c r="C38" s="1"/>
      <c r="D38" s="1"/>
      <c r="E38" s="1"/>
      <c r="H38" s="151"/>
    </row>
    <row r="39" spans="1:8" s="134" customFormat="1" ht="12.75" customHeight="1">
      <c r="A39" s="1"/>
      <c r="B39" s="1"/>
      <c r="C39" s="1"/>
      <c r="D39" s="1"/>
      <c r="E39" s="1"/>
      <c r="H39" s="151"/>
    </row>
    <row r="40" spans="1:8" s="134" customFormat="1" ht="12.75" customHeight="1">
      <c r="A40" s="1"/>
      <c r="B40" s="1"/>
      <c r="C40" s="1"/>
      <c r="D40" s="1"/>
      <c r="E40" s="92"/>
      <c r="H40" s="151"/>
    </row>
    <row r="41" spans="1:8" s="134" customFormat="1" ht="12.75" customHeight="1">
      <c r="A41" s="94"/>
      <c r="B41" s="95"/>
      <c r="C41" s="95"/>
      <c r="D41" s="95"/>
      <c r="E41" s="92"/>
      <c r="F41" s="93"/>
      <c r="G41" s="93"/>
      <c r="H41" s="93"/>
    </row>
    <row r="42" ht="12.75" customHeight="1">
      <c r="E42" s="96"/>
    </row>
    <row r="43" spans="1:8" ht="13.5" customHeight="1">
      <c r="A43" s="97" t="s">
        <v>154</v>
      </c>
      <c r="B43" s="97"/>
      <c r="C43" s="97"/>
      <c r="D43" s="97"/>
      <c r="E43" s="97"/>
      <c r="F43" s="97"/>
      <c r="G43" s="97"/>
      <c r="H43" s="97"/>
    </row>
    <row r="44" spans="1:8" s="98" customFormat="1" ht="13.5" customHeight="1">
      <c r="A44" s="92"/>
      <c r="B44" s="92"/>
      <c r="C44" s="92"/>
      <c r="D44" s="92"/>
      <c r="E44" s="152"/>
      <c r="F44" s="92"/>
      <c r="G44" s="92"/>
      <c r="H44" s="93"/>
    </row>
    <row r="45" spans="1:8" ht="14.25" customHeight="1">
      <c r="A45" s="153" t="s">
        <v>1</v>
      </c>
      <c r="B45" s="153"/>
      <c r="C45" s="153"/>
      <c r="D45" s="154"/>
      <c r="E45" s="155" t="s">
        <v>2</v>
      </c>
      <c r="F45" s="155"/>
      <c r="G45" s="155"/>
      <c r="H45" s="155"/>
    </row>
    <row r="46" spans="1:8" s="98" customFormat="1" ht="30.75" customHeight="1">
      <c r="A46" s="156"/>
      <c r="B46" s="103" t="s">
        <v>4</v>
      </c>
      <c r="C46" s="104" t="s">
        <v>155</v>
      </c>
      <c r="D46" s="104" t="s">
        <v>6</v>
      </c>
      <c r="E46" s="103"/>
      <c r="F46" s="103" t="s">
        <v>8</v>
      </c>
      <c r="G46" s="157" t="s">
        <v>5</v>
      </c>
      <c r="H46" s="158" t="s">
        <v>6</v>
      </c>
    </row>
    <row r="47" spans="1:8" s="98" customFormat="1" ht="12.75" customHeight="1">
      <c r="A47" s="107" t="s">
        <v>54</v>
      </c>
      <c r="B47" s="159">
        <v>503910</v>
      </c>
      <c r="C47" s="108">
        <v>464061</v>
      </c>
      <c r="D47" s="108">
        <v>89784</v>
      </c>
      <c r="E47" s="160" t="s">
        <v>156</v>
      </c>
      <c r="F47" s="108">
        <v>2518644</v>
      </c>
      <c r="G47" s="108">
        <v>916818</v>
      </c>
      <c r="H47" s="110">
        <v>577489</v>
      </c>
    </row>
    <row r="48" spans="1:8" s="98" customFormat="1" ht="12.75" customHeight="1">
      <c r="A48" s="111" t="s">
        <v>157</v>
      </c>
      <c r="B48" s="161">
        <v>20480</v>
      </c>
      <c r="C48" s="112">
        <v>58699</v>
      </c>
      <c r="D48" s="112">
        <v>49821</v>
      </c>
      <c r="E48" s="113" t="s">
        <v>158</v>
      </c>
      <c r="F48" s="112">
        <v>117796</v>
      </c>
      <c r="G48" s="112">
        <v>108286</v>
      </c>
      <c r="H48" s="114">
        <v>62911</v>
      </c>
    </row>
    <row r="49" spans="1:8" s="98" customFormat="1" ht="12.75" customHeight="1">
      <c r="A49" s="107" t="s">
        <v>159</v>
      </c>
      <c r="B49" s="159">
        <v>1351178</v>
      </c>
      <c r="C49" s="112">
        <v>310740</v>
      </c>
      <c r="D49" s="112">
        <v>298139</v>
      </c>
      <c r="E49" s="162" t="s">
        <v>160</v>
      </c>
      <c r="F49" s="112">
        <v>303871</v>
      </c>
      <c r="G49" s="112">
        <v>242979</v>
      </c>
      <c r="H49" s="114">
        <v>121722</v>
      </c>
    </row>
    <row r="50" spans="1:8" ht="12.75" customHeight="1">
      <c r="A50" s="111" t="s">
        <v>161</v>
      </c>
      <c r="B50" s="161">
        <f>SUM(B51:B55)</f>
        <v>11379</v>
      </c>
      <c r="C50" s="161">
        <f>SUM(C51:C55)</f>
        <v>136379</v>
      </c>
      <c r="D50" s="161">
        <v>136847</v>
      </c>
      <c r="E50" s="113" t="s">
        <v>162</v>
      </c>
      <c r="F50" s="112">
        <v>2102</v>
      </c>
      <c r="G50" s="112">
        <v>1677</v>
      </c>
      <c r="H50" s="114">
        <v>497</v>
      </c>
    </row>
    <row r="51" spans="1:8" ht="12.75" customHeight="1">
      <c r="A51" s="111" t="s">
        <v>163</v>
      </c>
      <c r="B51" s="163">
        <v>2500</v>
      </c>
      <c r="C51" s="116">
        <v>2500</v>
      </c>
      <c r="D51" s="116">
        <v>5072</v>
      </c>
      <c r="E51" s="113" t="s">
        <v>164</v>
      </c>
      <c r="F51" s="112">
        <f>SUM(F52:F56)</f>
        <v>18579</v>
      </c>
      <c r="G51" s="112">
        <f>SUM(G52:G56)</f>
        <v>139079</v>
      </c>
      <c r="H51" s="114">
        <v>130679</v>
      </c>
    </row>
    <row r="52" spans="1:8" ht="12.75" customHeight="1">
      <c r="A52" s="111" t="s">
        <v>165</v>
      </c>
      <c r="B52" s="163">
        <v>1500</v>
      </c>
      <c r="C52" s="116">
        <v>1500</v>
      </c>
      <c r="D52" s="116">
        <v>1360</v>
      </c>
      <c r="E52" s="120" t="s">
        <v>166</v>
      </c>
      <c r="F52" s="116">
        <v>5300</v>
      </c>
      <c r="G52" s="116">
        <v>800</v>
      </c>
      <c r="H52" s="117">
        <v>600</v>
      </c>
    </row>
    <row r="53" spans="1:8" ht="12.75" customHeight="1">
      <c r="A53" s="111" t="s">
        <v>167</v>
      </c>
      <c r="B53" s="163">
        <v>600</v>
      </c>
      <c r="C53" s="116">
        <v>128600</v>
      </c>
      <c r="D53" s="116">
        <v>128000</v>
      </c>
      <c r="E53" s="120" t="s">
        <v>168</v>
      </c>
      <c r="F53" s="116">
        <v>1500</v>
      </c>
      <c r="G53" s="116">
        <v>1500</v>
      </c>
      <c r="H53" s="117">
        <v>300</v>
      </c>
    </row>
    <row r="54" spans="1:8" ht="12.75" customHeight="1">
      <c r="A54" s="111" t="s">
        <v>123</v>
      </c>
      <c r="B54" s="163">
        <v>1779</v>
      </c>
      <c r="C54" s="116">
        <v>1779</v>
      </c>
      <c r="D54" s="116">
        <v>1779</v>
      </c>
      <c r="E54" s="120" t="s">
        <v>169</v>
      </c>
      <c r="F54" s="116">
        <v>5000</v>
      </c>
      <c r="G54" s="116">
        <v>133000</v>
      </c>
      <c r="H54" s="117">
        <v>128000</v>
      </c>
    </row>
    <row r="55" spans="1:8" ht="12.75" customHeight="1">
      <c r="A55" s="164" t="s">
        <v>138</v>
      </c>
      <c r="B55" s="116">
        <v>5000</v>
      </c>
      <c r="C55" s="116">
        <v>2000</v>
      </c>
      <c r="D55" s="116"/>
      <c r="E55" s="120" t="s">
        <v>123</v>
      </c>
      <c r="F55" s="116">
        <v>1779</v>
      </c>
      <c r="G55" s="116">
        <v>1779</v>
      </c>
      <c r="H55" s="117">
        <v>1779</v>
      </c>
    </row>
    <row r="56" spans="1:8" ht="25.5" customHeight="1">
      <c r="A56" s="165" t="s">
        <v>170</v>
      </c>
      <c r="B56" s="113"/>
      <c r="C56" s="113"/>
      <c r="D56" s="113">
        <v>636</v>
      </c>
      <c r="E56" s="120" t="s">
        <v>171</v>
      </c>
      <c r="F56" s="116">
        <v>5000</v>
      </c>
      <c r="G56" s="116">
        <v>2000</v>
      </c>
      <c r="H56" s="117"/>
    </row>
    <row r="57" spans="1:8" ht="12.75" customHeight="1">
      <c r="A57" s="111"/>
      <c r="B57" s="113"/>
      <c r="C57" s="113"/>
      <c r="D57" s="113"/>
      <c r="E57" s="113" t="s">
        <v>172</v>
      </c>
      <c r="F57" s="112">
        <v>380285</v>
      </c>
      <c r="G57" s="112">
        <v>62323</v>
      </c>
      <c r="H57" s="114"/>
    </row>
    <row r="58" spans="1:8" ht="12.75" customHeight="1">
      <c r="A58" s="111"/>
      <c r="B58" s="113"/>
      <c r="C58" s="113"/>
      <c r="D58" s="113"/>
      <c r="E58" s="113" t="s">
        <v>62</v>
      </c>
      <c r="F58" s="112"/>
      <c r="G58" s="112"/>
      <c r="H58" s="114"/>
    </row>
    <row r="59" spans="1:8" ht="12.75" customHeight="1">
      <c r="A59" s="111"/>
      <c r="B59" s="113"/>
      <c r="C59" s="113"/>
      <c r="D59" s="113"/>
      <c r="E59" s="113" t="s">
        <v>173</v>
      </c>
      <c r="F59" s="112">
        <v>27201</v>
      </c>
      <c r="G59" s="112">
        <v>58742</v>
      </c>
      <c r="H59" s="114">
        <v>52124</v>
      </c>
    </row>
    <row r="60" spans="1:8" ht="12.75" customHeight="1">
      <c r="A60" s="111"/>
      <c r="B60" s="113"/>
      <c r="C60" s="113"/>
      <c r="D60" s="113"/>
      <c r="E60" s="113" t="s">
        <v>174</v>
      </c>
      <c r="F60" s="112">
        <v>62072</v>
      </c>
      <c r="G60" s="112">
        <v>52072</v>
      </c>
      <c r="H60" s="114">
        <v>50725</v>
      </c>
    </row>
    <row r="61" spans="1:8" ht="13.5" customHeight="1">
      <c r="A61" s="122"/>
      <c r="B61" s="146"/>
      <c r="C61" s="146"/>
      <c r="D61" s="146"/>
      <c r="E61" s="123" t="s">
        <v>175</v>
      </c>
      <c r="F61" s="146">
        <v>1123</v>
      </c>
      <c r="G61" s="146">
        <v>4398</v>
      </c>
      <c r="H61" s="147">
        <v>3142</v>
      </c>
    </row>
    <row r="62" spans="1:8" ht="13.5" customHeight="1">
      <c r="A62" s="126" t="s">
        <v>89</v>
      </c>
      <c r="B62" s="127">
        <f>SUM(B47:B50)</f>
        <v>1886947</v>
      </c>
      <c r="C62" s="166">
        <f>SUM(C47:C50)</f>
        <v>969879</v>
      </c>
      <c r="D62" s="166">
        <f>SUM(D47:D50)</f>
        <v>574591</v>
      </c>
      <c r="E62" s="129" t="s">
        <v>90</v>
      </c>
      <c r="F62" s="127">
        <f>SUM(F47:F51,F57:F61)</f>
        <v>3431673</v>
      </c>
      <c r="G62" s="127">
        <f>SUM(G47:G51,G57:G61)</f>
        <v>1586374</v>
      </c>
      <c r="H62" s="130">
        <f>SUM(H47:H51,H57:H61)</f>
        <v>999289</v>
      </c>
    </row>
    <row r="63" spans="1:8" ht="12.75" customHeight="1">
      <c r="A63" s="131" t="s">
        <v>176</v>
      </c>
      <c r="B63" s="167"/>
      <c r="C63" s="167"/>
      <c r="D63" s="167"/>
      <c r="E63" s="133"/>
      <c r="F63" s="133"/>
      <c r="G63" s="132"/>
      <c r="H63" s="168"/>
    </row>
    <row r="64" spans="1:8" ht="12.75" customHeight="1">
      <c r="A64" s="136" t="s">
        <v>149</v>
      </c>
      <c r="B64" s="167">
        <f>SUM(B65:B66)</f>
        <v>1565103</v>
      </c>
      <c r="C64" s="167">
        <f>SUM(C65:C66)</f>
        <v>674499</v>
      </c>
      <c r="D64" s="167"/>
      <c r="E64" s="140"/>
      <c r="F64" s="140"/>
      <c r="G64" s="132"/>
      <c r="H64" s="168"/>
    </row>
    <row r="65" spans="1:8" ht="12.75" customHeight="1">
      <c r="A65" s="111" t="s">
        <v>177</v>
      </c>
      <c r="B65" s="161">
        <f>565103</f>
        <v>565103</v>
      </c>
      <c r="C65" s="161">
        <v>674499</v>
      </c>
      <c r="D65" s="161">
        <v>674499</v>
      </c>
      <c r="E65" s="140"/>
      <c r="F65" s="137"/>
      <c r="G65" s="112"/>
      <c r="H65" s="114"/>
    </row>
    <row r="66" spans="1:8" ht="13.5" customHeight="1">
      <c r="A66" s="169" t="s">
        <v>178</v>
      </c>
      <c r="B66" s="170">
        <v>1000000</v>
      </c>
      <c r="C66" s="170"/>
      <c r="D66" s="170"/>
      <c r="E66" s="144" t="s">
        <v>179</v>
      </c>
      <c r="F66" s="145">
        <v>20377</v>
      </c>
      <c r="G66" s="145">
        <v>22127</v>
      </c>
      <c r="H66" s="171">
        <v>21467</v>
      </c>
    </row>
    <row r="67" spans="1:8" ht="14.25" customHeight="1">
      <c r="A67" s="126" t="s">
        <v>153</v>
      </c>
      <c r="B67" s="166">
        <f>SUM(B62+B64)</f>
        <v>3452050</v>
      </c>
      <c r="C67" s="166">
        <f>SUM(C62+C64)</f>
        <v>1644378</v>
      </c>
      <c r="D67" s="166">
        <f>SUM(D62:D65)</f>
        <v>1249090</v>
      </c>
      <c r="E67" s="129" t="s">
        <v>153</v>
      </c>
      <c r="F67" s="127">
        <f>SUM(F62+F66)</f>
        <v>3452050</v>
      </c>
      <c r="G67" s="127">
        <f>SUM(G62+G66)</f>
        <v>1608501</v>
      </c>
      <c r="H67" s="130">
        <f>SUM(H62:H66)</f>
        <v>1020756</v>
      </c>
    </row>
    <row r="68" spans="1:8" ht="12.75" customHeight="1">
      <c r="A68" s="172"/>
      <c r="B68" s="173"/>
      <c r="C68" s="173"/>
      <c r="D68" s="173"/>
      <c r="E68" s="172"/>
      <c r="F68" s="173"/>
      <c r="G68" s="173"/>
      <c r="H68" s="173"/>
    </row>
    <row r="69" spans="1:8" ht="12.75" customHeight="1">
      <c r="A69" s="172"/>
      <c r="B69" s="173"/>
      <c r="C69" s="173"/>
      <c r="D69" s="173"/>
      <c r="E69" s="172"/>
      <c r="F69" s="173"/>
      <c r="G69" s="173"/>
      <c r="H69" s="173"/>
    </row>
    <row r="70" spans="1:8" ht="12.75" customHeight="1">
      <c r="A70" s="174" t="s">
        <v>180</v>
      </c>
      <c r="B70" s="175">
        <f>SUM(B67,B37)</f>
        <v>7667725</v>
      </c>
      <c r="C70" s="175">
        <f>SUM(C67,C37)</f>
        <v>6222488</v>
      </c>
      <c r="D70" s="175">
        <f>SUM(D67,D37)</f>
        <v>5863385</v>
      </c>
      <c r="E70" s="174" t="s">
        <v>181</v>
      </c>
      <c r="F70" s="176">
        <f>SUM(F31,F67)</f>
        <v>7667725</v>
      </c>
      <c r="G70" s="176">
        <f>SUM(G37,G67)</f>
        <v>6222488</v>
      </c>
      <c r="H70" s="176">
        <f>SUM(H37,H67)</f>
        <v>5180974</v>
      </c>
    </row>
  </sheetData>
  <sheetProtection selectLockedCells="1" selectUnlockedCells="1"/>
  <mergeCells count="6">
    <mergeCell ref="A3:H3"/>
    <mergeCell ref="A5:C5"/>
    <mergeCell ref="E5:H5"/>
    <mergeCell ref="A43:H43"/>
    <mergeCell ref="A45:C45"/>
    <mergeCell ref="E45:H45"/>
  </mergeCells>
  <printOptions horizontalCentered="1"/>
  <pageMargins left="0.2361111111111111" right="0.15763888888888888" top="0.5118055555555555" bottom="0.5097222222222222" header="0.5118055555555555" footer="0.5118055555555555"/>
  <pageSetup horizontalDpi="300" verticalDpi="300" orientation="landscape" paperSize="9" scale="56"/>
  <headerFooter alignWithMargins="0">
    <oddHeader>&amp;L2.melléklet a 15/2012.(IV.27.)önkormányzati rendelethez</oddHeader>
  </headerFooter>
  <colBreaks count="1" manualBreakCount="1">
    <brk id="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M32"/>
  <sheetViews>
    <sheetView workbookViewId="0" topLeftCell="B1">
      <selection activeCell="J4" sqref="J4"/>
    </sheetView>
  </sheetViews>
  <sheetFormatPr defaultColWidth="9.00390625" defaultRowHeight="12.75"/>
  <cols>
    <col min="1" max="1" width="38.25390625" style="412" customWidth="1"/>
    <col min="2" max="2" width="11.875" style="413" customWidth="1"/>
    <col min="3" max="3" width="10.75390625" style="412" customWidth="1"/>
    <col min="4" max="4" width="11.00390625" style="412" customWidth="1"/>
    <col min="5" max="8" width="9.875" style="412" customWidth="1"/>
    <col min="9" max="9" width="11.75390625" style="412" customWidth="1"/>
    <col min="10" max="10" width="11.25390625" style="412" customWidth="1"/>
    <col min="11" max="11" width="16.25390625" style="412" customWidth="1"/>
    <col min="12" max="12" width="17.375" style="880" customWidth="1"/>
    <col min="13" max="16384" width="9.125" style="412" customWidth="1"/>
  </cols>
  <sheetData>
    <row r="3" spans="1:10" ht="14.25" customHeight="1">
      <c r="A3" s="620" t="s">
        <v>1027</v>
      </c>
      <c r="B3" s="620"/>
      <c r="C3" s="620"/>
      <c r="D3" s="620"/>
      <c r="E3" s="620"/>
      <c r="F3" s="620"/>
      <c r="G3" s="620"/>
      <c r="H3" s="620"/>
      <c r="I3" s="620"/>
      <c r="J3" s="620"/>
    </row>
    <row r="5" ht="13.5">
      <c r="J5" s="660"/>
    </row>
    <row r="6" spans="1:12" ht="15.75" customHeight="1">
      <c r="A6" s="881" t="s">
        <v>1028</v>
      </c>
      <c r="B6" s="882" t="s">
        <v>1029</v>
      </c>
      <c r="C6" s="883" t="s">
        <v>1030</v>
      </c>
      <c r="D6" s="883" t="s">
        <v>1031</v>
      </c>
      <c r="E6" s="884" t="s">
        <v>1032</v>
      </c>
      <c r="F6" s="884"/>
      <c r="G6" s="884" t="s">
        <v>1033</v>
      </c>
      <c r="H6" s="884"/>
      <c r="I6" s="885" t="s">
        <v>1034</v>
      </c>
      <c r="J6" s="885"/>
      <c r="K6" s="187" t="s">
        <v>1035</v>
      </c>
      <c r="L6" s="886" t="s">
        <v>1036</v>
      </c>
    </row>
    <row r="7" spans="1:12" ht="12.75">
      <c r="A7" s="881"/>
      <c r="B7" s="882"/>
      <c r="C7" s="883"/>
      <c r="D7" s="883"/>
      <c r="E7" s="884"/>
      <c r="F7" s="884"/>
      <c r="G7" s="884"/>
      <c r="H7" s="884"/>
      <c r="I7" s="885"/>
      <c r="J7" s="885"/>
      <c r="K7" s="187"/>
      <c r="L7" s="886"/>
    </row>
    <row r="8" spans="1:12" ht="12.75" customHeight="1">
      <c r="A8" s="881"/>
      <c r="B8" s="882"/>
      <c r="C8" s="883"/>
      <c r="D8" s="883"/>
      <c r="E8" s="887" t="s">
        <v>1037</v>
      </c>
      <c r="F8" s="887" t="s">
        <v>1038</v>
      </c>
      <c r="G8" s="887" t="s">
        <v>1037</v>
      </c>
      <c r="H8" s="887" t="s">
        <v>1038</v>
      </c>
      <c r="I8" s="888" t="s">
        <v>1037</v>
      </c>
      <c r="J8" s="889" t="s">
        <v>1038</v>
      </c>
      <c r="K8" s="890" t="s">
        <v>1039</v>
      </c>
      <c r="L8" s="891" t="s">
        <v>1039</v>
      </c>
    </row>
    <row r="9" spans="1:12" ht="13.5">
      <c r="A9" s="881"/>
      <c r="B9" s="882"/>
      <c r="C9" s="883"/>
      <c r="D9" s="883"/>
      <c r="E9" s="887"/>
      <c r="F9" s="887"/>
      <c r="G9" s="887"/>
      <c r="H9" s="887"/>
      <c r="I9" s="888"/>
      <c r="J9" s="889"/>
      <c r="K9" s="890"/>
      <c r="L9" s="891"/>
    </row>
    <row r="10" spans="1:13" ht="13.5">
      <c r="A10" s="892" t="s">
        <v>679</v>
      </c>
      <c r="B10" s="893">
        <v>123</v>
      </c>
      <c r="C10" s="893">
        <v>63132</v>
      </c>
      <c r="D10" s="894">
        <f>C10/B10</f>
        <v>513.2682926829268</v>
      </c>
      <c r="E10" s="893">
        <v>9774</v>
      </c>
      <c r="F10" s="895">
        <v>15.5</v>
      </c>
      <c r="G10" s="893">
        <v>25388</v>
      </c>
      <c r="H10" s="895">
        <v>40.2</v>
      </c>
      <c r="I10" s="896">
        <v>27970</v>
      </c>
      <c r="J10" s="897">
        <v>44.3</v>
      </c>
      <c r="K10" s="898">
        <f>G10/B10</f>
        <v>206.40650406504065</v>
      </c>
      <c r="L10" s="899">
        <f>I10/B10</f>
        <v>227.39837398373984</v>
      </c>
      <c r="M10" s="618"/>
    </row>
    <row r="11" spans="1:13" ht="12.75">
      <c r="A11" s="492" t="s">
        <v>680</v>
      </c>
      <c r="B11" s="414">
        <v>66</v>
      </c>
      <c r="C11" s="414">
        <v>30236</v>
      </c>
      <c r="D11" s="894">
        <f aca="true" t="shared" si="0" ref="D11:D18">C11/B11</f>
        <v>458.1212121212121</v>
      </c>
      <c r="E11" s="414">
        <v>2225</v>
      </c>
      <c r="F11" s="895">
        <v>7.3</v>
      </c>
      <c r="G11" s="414">
        <v>14125</v>
      </c>
      <c r="H11" s="895">
        <v>46.7</v>
      </c>
      <c r="I11" s="414">
        <v>13886</v>
      </c>
      <c r="J11" s="897">
        <v>46</v>
      </c>
      <c r="K11" s="900">
        <f aca="true" t="shared" si="1" ref="K11:K18">G11/B11</f>
        <v>214.0151515151515</v>
      </c>
      <c r="L11" s="901">
        <f aca="true" t="shared" si="2" ref="L11:L18">I11/B11</f>
        <v>210.3939393939394</v>
      </c>
      <c r="M11" s="618"/>
    </row>
    <row r="12" spans="1:13" ht="12.75">
      <c r="A12" s="492" t="s">
        <v>681</v>
      </c>
      <c r="B12" s="414">
        <v>52</v>
      </c>
      <c r="C12" s="414">
        <v>22447</v>
      </c>
      <c r="D12" s="894">
        <f t="shared" si="0"/>
        <v>431.6730769230769</v>
      </c>
      <c r="E12" s="414">
        <v>2368</v>
      </c>
      <c r="F12" s="895">
        <v>10.5</v>
      </c>
      <c r="G12" s="414">
        <v>10993</v>
      </c>
      <c r="H12" s="895">
        <v>49</v>
      </c>
      <c r="I12" s="414">
        <v>9086</v>
      </c>
      <c r="J12" s="897">
        <v>40.5</v>
      </c>
      <c r="K12" s="900">
        <f t="shared" si="1"/>
        <v>211.40384615384616</v>
      </c>
      <c r="L12" s="901">
        <f t="shared" si="2"/>
        <v>174.73076923076923</v>
      </c>
      <c r="M12" s="618"/>
    </row>
    <row r="13" spans="1:13" ht="12.75">
      <c r="A13" s="492" t="s">
        <v>682</v>
      </c>
      <c r="B13" s="414">
        <v>100</v>
      </c>
      <c r="C13" s="414">
        <v>47912</v>
      </c>
      <c r="D13" s="894">
        <f t="shared" si="0"/>
        <v>479.12</v>
      </c>
      <c r="E13" s="414">
        <v>6214</v>
      </c>
      <c r="F13" s="895">
        <v>13</v>
      </c>
      <c r="G13" s="414">
        <v>20729</v>
      </c>
      <c r="H13" s="895">
        <v>42.3</v>
      </c>
      <c r="I13" s="414">
        <v>20969</v>
      </c>
      <c r="J13" s="897">
        <v>43.7</v>
      </c>
      <c r="K13" s="900">
        <f t="shared" si="1"/>
        <v>207.29</v>
      </c>
      <c r="L13" s="901">
        <f t="shared" si="2"/>
        <v>209.69</v>
      </c>
      <c r="M13" s="618"/>
    </row>
    <row r="14" spans="1:13" ht="12.75">
      <c r="A14" s="492" t="s">
        <v>1040</v>
      </c>
      <c r="B14" s="414">
        <v>125</v>
      </c>
      <c r="C14" s="414">
        <v>66278</v>
      </c>
      <c r="D14" s="894">
        <f t="shared" si="0"/>
        <v>530.224</v>
      </c>
      <c r="E14" s="414">
        <v>7829</v>
      </c>
      <c r="F14" s="895">
        <v>11.8</v>
      </c>
      <c r="G14" s="414">
        <v>26040</v>
      </c>
      <c r="H14" s="895">
        <v>39.3</v>
      </c>
      <c r="I14" s="414">
        <v>32409</v>
      </c>
      <c r="J14" s="897">
        <v>48.9</v>
      </c>
      <c r="K14" s="900">
        <f t="shared" si="1"/>
        <v>208.32</v>
      </c>
      <c r="L14" s="901">
        <f t="shared" si="2"/>
        <v>259.272</v>
      </c>
      <c r="M14" s="618"/>
    </row>
    <row r="15" spans="1:13" ht="12.75">
      <c r="A15" s="492" t="s">
        <v>684</v>
      </c>
      <c r="B15" s="414">
        <v>69</v>
      </c>
      <c r="C15" s="414">
        <v>48061</v>
      </c>
      <c r="D15" s="894">
        <f t="shared" si="0"/>
        <v>696.536231884058</v>
      </c>
      <c r="E15" s="414">
        <v>9673</v>
      </c>
      <c r="F15" s="895">
        <v>20.1</v>
      </c>
      <c r="G15" s="414">
        <v>14223</v>
      </c>
      <c r="H15" s="895">
        <v>29.6</v>
      </c>
      <c r="I15" s="414">
        <v>24165</v>
      </c>
      <c r="J15" s="897">
        <v>50.3</v>
      </c>
      <c r="K15" s="900">
        <f t="shared" si="1"/>
        <v>206.1304347826087</v>
      </c>
      <c r="L15" s="901">
        <f t="shared" si="2"/>
        <v>350.2173913043478</v>
      </c>
      <c r="M15" s="618"/>
    </row>
    <row r="16" spans="1:13" ht="12.75">
      <c r="A16" s="492" t="s">
        <v>685</v>
      </c>
      <c r="B16" s="414">
        <v>100</v>
      </c>
      <c r="C16" s="414">
        <v>45599</v>
      </c>
      <c r="D16" s="894">
        <f t="shared" si="0"/>
        <v>455.99</v>
      </c>
      <c r="E16" s="414">
        <v>5481</v>
      </c>
      <c r="F16" s="895">
        <v>12</v>
      </c>
      <c r="G16" s="414">
        <v>21007</v>
      </c>
      <c r="H16" s="895">
        <v>46.1</v>
      </c>
      <c r="I16" s="414">
        <v>19111</v>
      </c>
      <c r="J16" s="897">
        <v>41.9</v>
      </c>
      <c r="K16" s="900">
        <f t="shared" si="1"/>
        <v>210.07</v>
      </c>
      <c r="L16" s="901">
        <f t="shared" si="2"/>
        <v>191.11</v>
      </c>
      <c r="M16" s="618"/>
    </row>
    <row r="17" spans="1:13" ht="12.75">
      <c r="A17" s="492" t="s">
        <v>686</v>
      </c>
      <c r="B17" s="414">
        <v>20</v>
      </c>
      <c r="C17" s="414">
        <v>12263</v>
      </c>
      <c r="D17" s="894">
        <f t="shared" si="0"/>
        <v>613.15</v>
      </c>
      <c r="E17" s="414">
        <v>1301</v>
      </c>
      <c r="F17" s="895">
        <v>10.6</v>
      </c>
      <c r="G17" s="414">
        <v>4077</v>
      </c>
      <c r="H17" s="895">
        <v>33.2</v>
      </c>
      <c r="I17" s="414">
        <v>6885</v>
      </c>
      <c r="J17" s="897">
        <v>56.2</v>
      </c>
      <c r="K17" s="900">
        <f t="shared" si="1"/>
        <v>203.85</v>
      </c>
      <c r="L17" s="901">
        <f t="shared" si="2"/>
        <v>344.25</v>
      </c>
      <c r="M17" s="618"/>
    </row>
    <row r="18" spans="1:13" ht="12.75">
      <c r="A18" s="902" t="s">
        <v>1041</v>
      </c>
      <c r="B18" s="638">
        <f>SUM(B10:B17)</f>
        <v>655</v>
      </c>
      <c r="C18" s="638">
        <f>SUM(C10:C17)</f>
        <v>335928</v>
      </c>
      <c r="D18" s="903">
        <f t="shared" si="0"/>
        <v>512.867175572519</v>
      </c>
      <c r="E18" s="638">
        <f>SUM(E10:E17)</f>
        <v>44865</v>
      </c>
      <c r="F18" s="904">
        <v>13.4</v>
      </c>
      <c r="G18" s="638">
        <f>SUM(G10:G17)</f>
        <v>136582</v>
      </c>
      <c r="H18" s="904">
        <v>40.7</v>
      </c>
      <c r="I18" s="638">
        <f>SUM(I10:I17)</f>
        <v>154481</v>
      </c>
      <c r="J18" s="905">
        <v>45.9</v>
      </c>
      <c r="K18" s="903">
        <f t="shared" si="1"/>
        <v>208.52213740458015</v>
      </c>
      <c r="L18" s="906">
        <f t="shared" si="2"/>
        <v>235.84885496183207</v>
      </c>
      <c r="M18" s="618"/>
    </row>
    <row r="19" spans="1:13" ht="12.75">
      <c r="A19" s="492"/>
      <c r="B19" s="414"/>
      <c r="C19" s="652"/>
      <c r="D19" s="907"/>
      <c r="E19" s="652"/>
      <c r="F19" s="895"/>
      <c r="G19" s="652"/>
      <c r="H19" s="895"/>
      <c r="I19" s="414"/>
      <c r="J19" s="897"/>
      <c r="K19" s="900"/>
      <c r="L19" s="901"/>
      <c r="M19" s="618"/>
    </row>
    <row r="20" spans="1:13" ht="12.75">
      <c r="A20" s="902" t="s">
        <v>687</v>
      </c>
      <c r="B20" s="638">
        <v>61</v>
      </c>
      <c r="C20" s="638">
        <v>73235</v>
      </c>
      <c r="D20" s="907">
        <f>C20/B20</f>
        <v>1200.5737704918033</v>
      </c>
      <c r="E20" s="638">
        <v>8904</v>
      </c>
      <c r="F20" s="904">
        <v>12.2</v>
      </c>
      <c r="G20" s="638">
        <v>30891</v>
      </c>
      <c r="H20" s="904">
        <v>42.2</v>
      </c>
      <c r="I20" s="638">
        <v>33440</v>
      </c>
      <c r="J20" s="905">
        <v>45.6</v>
      </c>
      <c r="K20" s="907">
        <f>G20/B20</f>
        <v>506.40983606557376</v>
      </c>
      <c r="L20" s="906">
        <f>I20/B20</f>
        <v>548.1967213114754</v>
      </c>
      <c r="M20" s="618"/>
    </row>
    <row r="21" spans="1:13" ht="12.75">
      <c r="A21" s="492"/>
      <c r="B21" s="414"/>
      <c r="C21" s="652"/>
      <c r="D21" s="907"/>
      <c r="E21" s="652"/>
      <c r="F21" s="895"/>
      <c r="G21" s="652"/>
      <c r="H21" s="895"/>
      <c r="I21" s="414"/>
      <c r="J21" s="897"/>
      <c r="K21" s="900"/>
      <c r="L21" s="901"/>
      <c r="M21" s="618"/>
    </row>
    <row r="22" spans="1:13" ht="12.75">
      <c r="A22" s="492" t="s">
        <v>1042</v>
      </c>
      <c r="B22" s="414">
        <v>623</v>
      </c>
      <c r="C22" s="414">
        <v>324729</v>
      </c>
      <c r="D22" s="900">
        <f>C22/B22</f>
        <v>521.2343499197432</v>
      </c>
      <c r="E22" s="414">
        <v>48544</v>
      </c>
      <c r="F22" s="895">
        <v>15</v>
      </c>
      <c r="G22" s="414">
        <v>123020</v>
      </c>
      <c r="H22" s="895">
        <v>37.9</v>
      </c>
      <c r="I22" s="414">
        <v>153165</v>
      </c>
      <c r="J22" s="897">
        <v>47.1</v>
      </c>
      <c r="K22" s="900">
        <f>G22/B22</f>
        <v>197.46388443017656</v>
      </c>
      <c r="L22" s="901">
        <f>I22/B22</f>
        <v>245.85072231139648</v>
      </c>
      <c r="M22" s="618"/>
    </row>
    <row r="23" spans="1:13" ht="12.75">
      <c r="A23" s="492" t="s">
        <v>1043</v>
      </c>
      <c r="B23" s="414">
        <v>194</v>
      </c>
      <c r="C23" s="414">
        <v>95917</v>
      </c>
      <c r="D23" s="900">
        <f aca="true" t="shared" si="3" ref="D23:D28">C23/B23</f>
        <v>494.41752577319585</v>
      </c>
      <c r="E23" s="414">
        <v>5752</v>
      </c>
      <c r="F23" s="895">
        <v>6</v>
      </c>
      <c r="G23" s="414">
        <v>43006</v>
      </c>
      <c r="H23" s="895">
        <v>44.8</v>
      </c>
      <c r="I23" s="414">
        <v>47159</v>
      </c>
      <c r="J23" s="897">
        <v>49.2</v>
      </c>
      <c r="K23" s="900">
        <f aca="true" t="shared" si="4" ref="K23:K28">G23/B23</f>
        <v>221.68041237113403</v>
      </c>
      <c r="L23" s="901">
        <f aca="true" t="shared" si="5" ref="L23:L28">I23/B23</f>
        <v>243.08762886597938</v>
      </c>
      <c r="M23" s="618"/>
    </row>
    <row r="24" spans="1:13" ht="12.75">
      <c r="A24" s="492" t="s">
        <v>1044</v>
      </c>
      <c r="B24" s="414">
        <v>753</v>
      </c>
      <c r="C24" s="414">
        <v>323931</v>
      </c>
      <c r="D24" s="900">
        <f t="shared" si="3"/>
        <v>430.18725099601596</v>
      </c>
      <c r="E24" s="414">
        <v>33493</v>
      </c>
      <c r="F24" s="895">
        <v>10.3</v>
      </c>
      <c r="G24" s="414">
        <v>156016</v>
      </c>
      <c r="H24" s="895">
        <v>48.2</v>
      </c>
      <c r="I24" s="414">
        <v>134422</v>
      </c>
      <c r="J24" s="897">
        <v>41.5</v>
      </c>
      <c r="K24" s="900">
        <f t="shared" si="4"/>
        <v>207.1925630810093</v>
      </c>
      <c r="L24" s="901">
        <f t="shared" si="5"/>
        <v>178.5152722443559</v>
      </c>
      <c r="M24" s="618"/>
    </row>
    <row r="25" spans="1:13" ht="12.75">
      <c r="A25" s="492" t="s">
        <v>1045</v>
      </c>
      <c r="B25" s="414">
        <v>195</v>
      </c>
      <c r="C25" s="414">
        <v>83166</v>
      </c>
      <c r="D25" s="900">
        <f t="shared" si="3"/>
        <v>426.4923076923077</v>
      </c>
      <c r="E25" s="414">
        <v>10877</v>
      </c>
      <c r="F25" s="895">
        <v>13.1</v>
      </c>
      <c r="G25" s="414">
        <v>37298</v>
      </c>
      <c r="H25" s="895">
        <v>44.8</v>
      </c>
      <c r="I25" s="414">
        <v>34991</v>
      </c>
      <c r="J25" s="897">
        <v>42.1</v>
      </c>
      <c r="K25" s="900">
        <f t="shared" si="4"/>
        <v>191.27179487179487</v>
      </c>
      <c r="L25" s="901">
        <f t="shared" si="5"/>
        <v>179.44102564102565</v>
      </c>
      <c r="M25" s="618"/>
    </row>
    <row r="26" spans="1:13" ht="12.75">
      <c r="A26" s="492" t="s">
        <v>1046</v>
      </c>
      <c r="B26" s="414">
        <v>103</v>
      </c>
      <c r="C26" s="414">
        <v>56889</v>
      </c>
      <c r="D26" s="900">
        <f t="shared" si="3"/>
        <v>552.3203883495146</v>
      </c>
      <c r="E26" s="414">
        <v>3635</v>
      </c>
      <c r="F26" s="895">
        <v>6.4</v>
      </c>
      <c r="G26" s="414">
        <v>25269</v>
      </c>
      <c r="H26" s="895">
        <v>44.4</v>
      </c>
      <c r="I26" s="414">
        <v>27985</v>
      </c>
      <c r="J26" s="897">
        <v>49.2</v>
      </c>
      <c r="K26" s="900">
        <f t="shared" si="4"/>
        <v>245.33009708737865</v>
      </c>
      <c r="L26" s="901">
        <f t="shared" si="5"/>
        <v>271.6990291262136</v>
      </c>
      <c r="M26" s="618"/>
    </row>
    <row r="27" spans="1:13" ht="12.75">
      <c r="A27" s="492" t="s">
        <v>511</v>
      </c>
      <c r="B27" s="414">
        <v>337</v>
      </c>
      <c r="C27" s="414">
        <v>71843</v>
      </c>
      <c r="D27" s="900">
        <f t="shared" si="3"/>
        <v>213.18397626112758</v>
      </c>
      <c r="E27" s="414">
        <v>6496</v>
      </c>
      <c r="F27" s="895">
        <v>9</v>
      </c>
      <c r="G27" s="414">
        <v>33783</v>
      </c>
      <c r="H27" s="895">
        <v>47</v>
      </c>
      <c r="I27" s="414">
        <v>31564</v>
      </c>
      <c r="J27" s="897">
        <v>44</v>
      </c>
      <c r="K27" s="900">
        <f t="shared" si="4"/>
        <v>100.24629080118694</v>
      </c>
      <c r="L27" s="901">
        <f t="shared" si="5"/>
        <v>93.66172106824926</v>
      </c>
      <c r="M27" s="618"/>
    </row>
    <row r="28" spans="1:13" ht="12.75">
      <c r="A28" s="902" t="s">
        <v>1047</v>
      </c>
      <c r="B28" s="638">
        <f>SUM(B22:B27)</f>
        <v>2205</v>
      </c>
      <c r="C28" s="638">
        <f>SUM(C22:C27)</f>
        <v>956475</v>
      </c>
      <c r="D28" s="907">
        <f t="shared" si="3"/>
        <v>433.7755102040816</v>
      </c>
      <c r="E28" s="638">
        <f>SUM(E22:E27)</f>
        <v>108797</v>
      </c>
      <c r="F28" s="904">
        <v>11.4</v>
      </c>
      <c r="G28" s="638">
        <f>SUM(G22:G27)</f>
        <v>418392</v>
      </c>
      <c r="H28" s="904">
        <v>43.7</v>
      </c>
      <c r="I28" s="638">
        <f>SUM(I22:I27)</f>
        <v>429286</v>
      </c>
      <c r="J28" s="905">
        <v>44.9</v>
      </c>
      <c r="K28" s="907">
        <f t="shared" si="4"/>
        <v>189.74693877551022</v>
      </c>
      <c r="L28" s="906">
        <f t="shared" si="5"/>
        <v>194.6875283446712</v>
      </c>
      <c r="M28" s="618"/>
    </row>
    <row r="29" spans="1:13" ht="12.75">
      <c r="A29" s="902"/>
      <c r="B29" s="638"/>
      <c r="C29" s="638"/>
      <c r="D29" s="900"/>
      <c r="E29" s="638"/>
      <c r="F29" s="895"/>
      <c r="G29" s="638"/>
      <c r="H29" s="895"/>
      <c r="I29" s="414"/>
      <c r="J29" s="897"/>
      <c r="K29" s="900"/>
      <c r="L29" s="901"/>
      <c r="M29" s="618"/>
    </row>
    <row r="30" spans="1:13" ht="12.75">
      <c r="A30" s="902" t="s">
        <v>1048</v>
      </c>
      <c r="B30" s="638">
        <v>279</v>
      </c>
      <c r="C30" s="638">
        <v>155155</v>
      </c>
      <c r="D30" s="907">
        <f>C30/B30</f>
        <v>556.1111111111111</v>
      </c>
      <c r="E30" s="638">
        <v>35812</v>
      </c>
      <c r="F30" s="904">
        <v>23.1</v>
      </c>
      <c r="G30" s="638">
        <v>78240</v>
      </c>
      <c r="H30" s="904">
        <v>40.4</v>
      </c>
      <c r="I30" s="638">
        <f>C30-E30-G30</f>
        <v>41103</v>
      </c>
      <c r="J30" s="905">
        <v>26.5</v>
      </c>
      <c r="K30" s="907">
        <f>G30/B30</f>
        <v>280.4301075268817</v>
      </c>
      <c r="L30" s="906">
        <f>I30/B30</f>
        <v>147.32258064516128</v>
      </c>
      <c r="M30" s="618"/>
    </row>
    <row r="31" spans="1:13" ht="12.75">
      <c r="A31" s="908"/>
      <c r="B31" s="909"/>
      <c r="C31" s="910"/>
      <c r="D31" s="907"/>
      <c r="E31" s="910"/>
      <c r="F31" s="911"/>
      <c r="G31" s="910"/>
      <c r="H31" s="904"/>
      <c r="I31" s="414"/>
      <c r="J31" s="905"/>
      <c r="K31" s="894"/>
      <c r="L31" s="901"/>
      <c r="M31" s="618"/>
    </row>
    <row r="32" spans="1:13" ht="14.25">
      <c r="A32" s="870" t="s">
        <v>153</v>
      </c>
      <c r="B32" s="912"/>
      <c r="C32" s="912">
        <f>C18+C20+C28+C30</f>
        <v>1520793</v>
      </c>
      <c r="D32" s="913"/>
      <c r="E32" s="912">
        <f>E18+E20+E28+E30</f>
        <v>198378</v>
      </c>
      <c r="F32" s="914"/>
      <c r="G32" s="912">
        <f>G18+G20+G28+G30</f>
        <v>664105</v>
      </c>
      <c r="H32" s="914"/>
      <c r="I32" s="912">
        <f>I18+I20+I28+I30</f>
        <v>658310</v>
      </c>
      <c r="J32" s="915"/>
      <c r="K32" s="916"/>
      <c r="L32" s="917"/>
      <c r="M32" s="618"/>
    </row>
  </sheetData>
  <sheetProtection selectLockedCells="1" selectUnlockedCells="1"/>
  <mergeCells count="18">
    <mergeCell ref="A3:J3"/>
    <mergeCell ref="A6:A9"/>
    <mergeCell ref="B6:B9"/>
    <mergeCell ref="C6:C9"/>
    <mergeCell ref="D6:D9"/>
    <mergeCell ref="E6:F7"/>
    <mergeCell ref="G6:H7"/>
    <mergeCell ref="I6:J7"/>
    <mergeCell ref="K6:K7"/>
    <mergeCell ref="L6:L7"/>
    <mergeCell ref="E8:E9"/>
    <mergeCell ref="F8:F9"/>
    <mergeCell ref="G8:G9"/>
    <mergeCell ref="H8:H9"/>
    <mergeCell ref="I8:I9"/>
    <mergeCell ref="J8:J9"/>
    <mergeCell ref="K8:K9"/>
    <mergeCell ref="L8:L9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 scale="78"/>
  <headerFooter alignWithMargins="0">
    <oddHeader>&amp;L20.melléklet 15/2012(IV.27.)önkormányzati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16">
      <selection activeCell="A4" sqref="A4"/>
    </sheetView>
  </sheetViews>
  <sheetFormatPr defaultColWidth="9.00390625" defaultRowHeight="12.75"/>
  <cols>
    <col min="1" max="1" width="3.875" style="0" customWidth="1"/>
    <col min="2" max="2" width="33.125" style="0" customWidth="1"/>
    <col min="3" max="3" width="11.125" style="0" customWidth="1"/>
    <col min="5" max="5" width="12.375" style="0" customWidth="1"/>
    <col min="6" max="6" width="11.875" style="0" customWidth="1"/>
    <col min="7" max="7" width="11.625" style="0" customWidth="1"/>
    <col min="8" max="8" width="10.00390625" style="0" customWidth="1"/>
  </cols>
  <sheetData>
    <row r="1" spans="1:8" ht="12.75">
      <c r="A1" s="918"/>
      <c r="B1" s="1"/>
      <c r="C1" s="3"/>
      <c r="D1" s="3"/>
      <c r="E1" s="3"/>
      <c r="F1" s="3"/>
      <c r="G1" s="3"/>
      <c r="H1" s="3"/>
    </row>
    <row r="2" spans="1:8" ht="13.5">
      <c r="A2" s="919" t="s">
        <v>1049</v>
      </c>
      <c r="B2" s="919"/>
      <c r="C2" s="919"/>
      <c r="D2" s="919"/>
      <c r="E2" s="919"/>
      <c r="F2" s="919"/>
      <c r="G2" s="919"/>
      <c r="H2" s="919"/>
    </row>
    <row r="3" spans="1:8" ht="13.5" customHeight="1">
      <c r="A3" s="919" t="s">
        <v>1050</v>
      </c>
      <c r="B3" s="919"/>
      <c r="C3" s="919"/>
      <c r="D3" s="919"/>
      <c r="E3" s="919"/>
      <c r="F3" s="919"/>
      <c r="G3" s="919"/>
      <c r="H3" s="919"/>
    </row>
    <row r="4" spans="1:8" ht="15.75" customHeight="1">
      <c r="A4" s="920" t="s">
        <v>1051</v>
      </c>
      <c r="B4" s="920"/>
      <c r="C4" s="920"/>
      <c r="D4" s="920"/>
      <c r="E4" s="920"/>
      <c r="F4" s="920"/>
      <c r="G4" s="920"/>
      <c r="H4" s="920"/>
    </row>
    <row r="5" spans="1:8" ht="15.75">
      <c r="A5" s="921"/>
      <c r="B5" s="921"/>
      <c r="C5" s="921"/>
      <c r="D5" s="921"/>
      <c r="E5" s="921"/>
      <c r="F5" s="921"/>
      <c r="G5" s="921"/>
      <c r="H5" s="921"/>
    </row>
    <row r="6" spans="1:8" ht="16.5">
      <c r="A6" s="185"/>
      <c r="B6" s="922"/>
      <c r="C6" s="923"/>
      <c r="D6" s="923"/>
      <c r="E6" s="923"/>
      <c r="F6" s="923"/>
      <c r="G6" s="923"/>
      <c r="H6" s="924" t="s">
        <v>103</v>
      </c>
    </row>
    <row r="7" spans="1:8" ht="52.5">
      <c r="A7" s="925" t="s">
        <v>1051</v>
      </c>
      <c r="B7" s="925"/>
      <c r="C7" s="926" t="s">
        <v>1052</v>
      </c>
      <c r="D7" s="926" t="s">
        <v>1053</v>
      </c>
      <c r="E7" s="926" t="s">
        <v>1054</v>
      </c>
      <c r="F7" s="926" t="s">
        <v>1055</v>
      </c>
      <c r="G7" s="926" t="s">
        <v>1056</v>
      </c>
      <c r="H7" s="927" t="s">
        <v>1057</v>
      </c>
    </row>
    <row r="8" spans="1:8" ht="13.5">
      <c r="A8" s="928" t="s">
        <v>1058</v>
      </c>
      <c r="B8" s="23" t="s">
        <v>1059</v>
      </c>
      <c r="C8" s="929">
        <f>SUM(C9:C12)</f>
        <v>16553712</v>
      </c>
      <c r="D8" s="929"/>
      <c r="E8" s="930">
        <f>SUM(E9:E12)</f>
        <v>16553712</v>
      </c>
      <c r="F8" s="929">
        <f>SUM(F9:F12)</f>
        <v>16860458</v>
      </c>
      <c r="G8" s="929"/>
      <c r="H8" s="930">
        <f>SUM(H9:H12)</f>
        <v>16860458</v>
      </c>
    </row>
    <row r="9" spans="1:8" ht="12.75">
      <c r="A9" s="27" t="s">
        <v>1060</v>
      </c>
      <c r="B9" s="28" t="s">
        <v>1061</v>
      </c>
      <c r="C9" s="29">
        <v>19079</v>
      </c>
      <c r="D9" s="29"/>
      <c r="E9" s="242">
        <v>19079</v>
      </c>
      <c r="F9" s="29">
        <v>20714</v>
      </c>
      <c r="G9" s="29"/>
      <c r="H9" s="242">
        <f>F9</f>
        <v>20714</v>
      </c>
    </row>
    <row r="10" spans="1:8" ht="12.75">
      <c r="A10" s="27" t="s">
        <v>1062</v>
      </c>
      <c r="B10" s="28" t="s">
        <v>1063</v>
      </c>
      <c r="C10" s="29">
        <v>11688972</v>
      </c>
      <c r="D10" s="29"/>
      <c r="E10" s="242">
        <v>11688972</v>
      </c>
      <c r="F10" s="29">
        <v>11917949</v>
      </c>
      <c r="G10" s="29"/>
      <c r="H10" s="242">
        <f>F10</f>
        <v>11917949</v>
      </c>
    </row>
    <row r="11" spans="1:8" ht="12.75">
      <c r="A11" s="27" t="s">
        <v>1064</v>
      </c>
      <c r="B11" s="28" t="s">
        <v>1065</v>
      </c>
      <c r="C11" s="29">
        <v>264538</v>
      </c>
      <c r="D11" s="29"/>
      <c r="E11" s="242">
        <v>264538</v>
      </c>
      <c r="F11" s="29">
        <v>404624</v>
      </c>
      <c r="G11" s="29"/>
      <c r="H11" s="242">
        <f>F11</f>
        <v>404624</v>
      </c>
    </row>
    <row r="12" spans="1:8" ht="12.75">
      <c r="A12" s="27" t="s">
        <v>1066</v>
      </c>
      <c r="B12" s="28" t="s">
        <v>1067</v>
      </c>
      <c r="C12" s="29">
        <v>4581123</v>
      </c>
      <c r="D12" s="29"/>
      <c r="E12" s="242">
        <v>4581123</v>
      </c>
      <c r="F12" s="29">
        <f>4102099+415072</f>
        <v>4517171</v>
      </c>
      <c r="G12" s="29"/>
      <c r="H12" s="242">
        <f>F12</f>
        <v>4517171</v>
      </c>
    </row>
    <row r="13" spans="1:8" ht="12.75">
      <c r="A13" s="27"/>
      <c r="B13" s="28"/>
      <c r="C13" s="29"/>
      <c r="D13" s="29"/>
      <c r="E13" s="242"/>
      <c r="F13" s="29"/>
      <c r="G13" s="29"/>
      <c r="H13" s="242"/>
    </row>
    <row r="14" spans="1:8" ht="12.75">
      <c r="A14" s="27" t="s">
        <v>1068</v>
      </c>
      <c r="B14" s="28" t="s">
        <v>1069</v>
      </c>
      <c r="C14" s="29">
        <f>SUM(C15:C19)</f>
        <v>1412553</v>
      </c>
      <c r="D14" s="29"/>
      <c r="E14" s="242">
        <f>SUM(E15:E19)</f>
        <v>1412553</v>
      </c>
      <c r="F14" s="29">
        <f>SUM(F15:F19)</f>
        <v>1256560</v>
      </c>
      <c r="G14" s="29"/>
      <c r="H14" s="242">
        <f>F14</f>
        <v>1256560</v>
      </c>
    </row>
    <row r="15" spans="1:8" ht="12.75">
      <c r="A15" s="27" t="s">
        <v>1060</v>
      </c>
      <c r="B15" s="28" t="s">
        <v>1070</v>
      </c>
      <c r="C15" s="29">
        <v>11303</v>
      </c>
      <c r="D15" s="29"/>
      <c r="E15" s="242">
        <v>11303</v>
      </c>
      <c r="F15" s="29">
        <v>9926</v>
      </c>
      <c r="G15" s="29"/>
      <c r="H15" s="242">
        <f>F15</f>
        <v>9926</v>
      </c>
    </row>
    <row r="16" spans="1:8" ht="12.75">
      <c r="A16" s="27" t="s">
        <v>1062</v>
      </c>
      <c r="B16" s="28" t="s">
        <v>1071</v>
      </c>
      <c r="C16" s="29">
        <v>396128</v>
      </c>
      <c r="D16" s="29"/>
      <c r="E16" s="242">
        <v>396128</v>
      </c>
      <c r="F16" s="29">
        <v>613129</v>
      </c>
      <c r="G16" s="29"/>
      <c r="H16" s="242">
        <f>F16</f>
        <v>613129</v>
      </c>
    </row>
    <row r="17" spans="1:8" ht="12.75">
      <c r="A17" s="27" t="s">
        <v>1064</v>
      </c>
      <c r="B17" s="28" t="s">
        <v>1072</v>
      </c>
      <c r="C17" s="29"/>
      <c r="D17" s="29"/>
      <c r="E17" s="242"/>
      <c r="F17" s="29"/>
      <c r="G17" s="29"/>
      <c r="H17" s="242"/>
    </row>
    <row r="18" spans="1:8" ht="12.75">
      <c r="A18" s="27" t="s">
        <v>1066</v>
      </c>
      <c r="B18" s="28" t="s">
        <v>1073</v>
      </c>
      <c r="C18" s="29">
        <v>766327</v>
      </c>
      <c r="D18" s="29"/>
      <c r="E18" s="242">
        <v>766327</v>
      </c>
      <c r="F18" s="29">
        <v>514933</v>
      </c>
      <c r="G18" s="29"/>
      <c r="H18" s="242">
        <f>F18</f>
        <v>514933</v>
      </c>
    </row>
    <row r="19" spans="1:8" ht="12.75">
      <c r="A19" s="27" t="s">
        <v>1074</v>
      </c>
      <c r="B19" s="28" t="s">
        <v>1075</v>
      </c>
      <c r="C19" s="29">
        <v>238795</v>
      </c>
      <c r="D19" s="29"/>
      <c r="E19" s="242">
        <v>238795</v>
      </c>
      <c r="F19" s="29">
        <v>118572</v>
      </c>
      <c r="G19" s="29"/>
      <c r="H19" s="242">
        <f>F19</f>
        <v>118572</v>
      </c>
    </row>
    <row r="20" spans="1:8" ht="12.75">
      <c r="A20" s="27"/>
      <c r="B20" s="28"/>
      <c r="C20" s="29"/>
      <c r="D20" s="29"/>
      <c r="E20" s="242"/>
      <c r="F20" s="29"/>
      <c r="G20" s="29"/>
      <c r="H20" s="242"/>
    </row>
    <row r="21" spans="1:8" ht="13.5">
      <c r="A21" s="931" t="s">
        <v>1076</v>
      </c>
      <c r="B21" s="932"/>
      <c r="C21" s="933">
        <f>SUM(C8+C14)</f>
        <v>17966265</v>
      </c>
      <c r="D21" s="933"/>
      <c r="E21" s="934">
        <f>SUM(E8+E14)</f>
        <v>17966265</v>
      </c>
      <c r="F21" s="933">
        <f>SUM(F8+F14)</f>
        <v>18117018</v>
      </c>
      <c r="G21" s="933"/>
      <c r="H21" s="934">
        <f>SUM(H8+H14)</f>
        <v>18117018</v>
      </c>
    </row>
    <row r="22" spans="1:8" ht="13.5">
      <c r="A22" s="5"/>
      <c r="B22" s="5"/>
      <c r="C22" s="6"/>
      <c r="D22" s="6"/>
      <c r="E22" s="6"/>
      <c r="F22" s="6"/>
      <c r="G22" s="6"/>
      <c r="H22" s="6"/>
    </row>
    <row r="23" spans="1:8" ht="12.75">
      <c r="A23" s="5"/>
      <c r="B23" s="5"/>
      <c r="C23" s="6"/>
      <c r="D23" s="6"/>
      <c r="E23" s="6"/>
      <c r="F23" s="6"/>
      <c r="G23" s="6"/>
      <c r="H23" s="6"/>
    </row>
    <row r="24" spans="1:8" ht="12.75">
      <c r="A24" s="5"/>
      <c r="B24" s="5"/>
      <c r="C24" s="6"/>
      <c r="D24" s="6"/>
      <c r="E24" s="6"/>
      <c r="F24" s="6"/>
      <c r="G24" s="6"/>
      <c r="H24" s="6"/>
    </row>
    <row r="25" spans="1:8" ht="12.75">
      <c r="A25" s="935"/>
      <c r="B25" s="936"/>
      <c r="C25" s="937"/>
      <c r="D25" s="937"/>
      <c r="E25" s="937"/>
      <c r="F25" s="937"/>
      <c r="G25" s="937"/>
      <c r="H25" s="937"/>
    </row>
    <row r="26" spans="1:8" ht="13.5">
      <c r="A26" s="919" t="s">
        <v>1049</v>
      </c>
      <c r="B26" s="919"/>
      <c r="C26" s="919"/>
      <c r="D26" s="919"/>
      <c r="E26" s="919"/>
      <c r="F26" s="919"/>
      <c r="G26" s="919"/>
      <c r="H26" s="919"/>
    </row>
    <row r="27" spans="1:8" ht="13.5">
      <c r="A27" s="919" t="s">
        <v>1050</v>
      </c>
      <c r="B27" s="919"/>
      <c r="C27" s="919"/>
      <c r="D27" s="919"/>
      <c r="E27" s="919"/>
      <c r="F27" s="919"/>
      <c r="G27" s="919"/>
      <c r="H27" s="919"/>
    </row>
    <row r="28" spans="1:8" ht="15.75">
      <c r="A28" s="920" t="s">
        <v>1077</v>
      </c>
      <c r="B28" s="920"/>
      <c r="C28" s="920"/>
      <c r="D28" s="920"/>
      <c r="E28" s="920"/>
      <c r="F28" s="920"/>
      <c r="G28" s="920"/>
      <c r="H28" s="920"/>
    </row>
    <row r="29" ht="13.5">
      <c r="H29" s="924" t="s">
        <v>103</v>
      </c>
    </row>
    <row r="30" spans="1:8" ht="52.5">
      <c r="A30" s="938" t="s">
        <v>1077</v>
      </c>
      <c r="B30" s="939"/>
      <c r="C30" s="926" t="s">
        <v>1052</v>
      </c>
      <c r="D30" s="926" t="s">
        <v>1053</v>
      </c>
      <c r="E30" s="926" t="s">
        <v>1054</v>
      </c>
      <c r="F30" s="926" t="s">
        <v>1055</v>
      </c>
      <c r="G30" s="926" t="s">
        <v>1056</v>
      </c>
      <c r="H30" s="927" t="s">
        <v>1057</v>
      </c>
    </row>
    <row r="31" spans="1:8" ht="13.5">
      <c r="A31" s="928" t="s">
        <v>1078</v>
      </c>
      <c r="B31" s="23" t="s">
        <v>1079</v>
      </c>
      <c r="C31" s="940">
        <f>SUM(C32:C34)</f>
        <v>11412531</v>
      </c>
      <c r="D31" s="941"/>
      <c r="E31" s="930">
        <f>SUM(E32:E34)</f>
        <v>11412531</v>
      </c>
      <c r="F31" s="940">
        <f>SUM(F32:F33)</f>
        <v>11221614</v>
      </c>
      <c r="G31" s="941"/>
      <c r="H31" s="930">
        <f>SUM(H32:H33)</f>
        <v>11221614</v>
      </c>
    </row>
    <row r="32" spans="1:8" ht="12.75">
      <c r="A32" s="27" t="s">
        <v>1080</v>
      </c>
      <c r="B32" s="28" t="s">
        <v>1081</v>
      </c>
      <c r="C32" s="29">
        <v>9808143</v>
      </c>
      <c r="D32" s="30"/>
      <c r="E32" s="242">
        <v>9808143</v>
      </c>
      <c r="F32" s="29">
        <f>9594655+93760+119728</f>
        <v>9808143</v>
      </c>
      <c r="G32" s="30"/>
      <c r="H32" s="242">
        <f>F32</f>
        <v>9808143</v>
      </c>
    </row>
    <row r="33" spans="1:8" ht="12.75">
      <c r="A33" s="27" t="s">
        <v>1082</v>
      </c>
      <c r="B33" s="28" t="s">
        <v>1083</v>
      </c>
      <c r="C33" s="29">
        <v>1604388</v>
      </c>
      <c r="D33" s="30"/>
      <c r="E33" s="242">
        <v>1604388</v>
      </c>
      <c r="F33" s="29">
        <f>110044+1222978+80449</f>
        <v>1413471</v>
      </c>
      <c r="G33" s="30"/>
      <c r="H33" s="242">
        <f>F33</f>
        <v>1413471</v>
      </c>
    </row>
    <row r="34" spans="1:8" ht="12.75">
      <c r="A34" s="27" t="s">
        <v>1084</v>
      </c>
      <c r="B34" s="28" t="s">
        <v>1085</v>
      </c>
      <c r="C34" s="29">
        <v>0</v>
      </c>
      <c r="D34" s="30"/>
      <c r="E34" s="242">
        <v>0</v>
      </c>
      <c r="F34" s="29">
        <v>0</v>
      </c>
      <c r="G34" s="30"/>
      <c r="H34" s="242">
        <v>0</v>
      </c>
    </row>
    <row r="35" spans="1:8" ht="12.75">
      <c r="A35" s="27"/>
      <c r="B35" s="28"/>
      <c r="C35" s="29"/>
      <c r="D35" s="30"/>
      <c r="E35" s="242"/>
      <c r="F35" s="29"/>
      <c r="G35" s="30"/>
      <c r="H35" s="242"/>
    </row>
    <row r="36" spans="1:8" ht="12.75">
      <c r="A36" s="27" t="s">
        <v>1086</v>
      </c>
      <c r="B36" s="28" t="s">
        <v>1087</v>
      </c>
      <c r="C36" s="29">
        <f>SUM(C37:C38)</f>
        <v>891123</v>
      </c>
      <c r="D36" s="29"/>
      <c r="E36" s="242">
        <f>SUM(E37:E38)</f>
        <v>891123</v>
      </c>
      <c r="F36" s="29">
        <f>SUM(F37:F38)</f>
        <v>520027</v>
      </c>
      <c r="G36" s="29"/>
      <c r="H36" s="242">
        <f>SUM(H37:H38)</f>
        <v>520027</v>
      </c>
    </row>
    <row r="37" spans="1:8" ht="12.75">
      <c r="A37" s="27" t="s">
        <v>1060</v>
      </c>
      <c r="B37" s="28" t="s">
        <v>1088</v>
      </c>
      <c r="C37" s="29">
        <v>891123</v>
      </c>
      <c r="D37" s="30"/>
      <c r="E37" s="242">
        <v>891123</v>
      </c>
      <c r="F37" s="29">
        <v>520027</v>
      </c>
      <c r="G37" s="30"/>
      <c r="H37" s="242">
        <f>F37</f>
        <v>520027</v>
      </c>
    </row>
    <row r="38" spans="1:8" ht="12.75">
      <c r="A38" s="27" t="s">
        <v>1089</v>
      </c>
      <c r="B38" s="28" t="s">
        <v>1090</v>
      </c>
      <c r="C38" s="29">
        <v>0</v>
      </c>
      <c r="D38" s="30"/>
      <c r="E38" s="242">
        <v>0</v>
      </c>
      <c r="F38" s="29">
        <v>0</v>
      </c>
      <c r="G38" s="30"/>
      <c r="H38" s="242">
        <v>0</v>
      </c>
    </row>
    <row r="39" spans="1:8" ht="12.75">
      <c r="A39" s="27"/>
      <c r="B39" s="28"/>
      <c r="C39" s="29"/>
      <c r="D39" s="30"/>
      <c r="E39" s="242"/>
      <c r="F39" s="29"/>
      <c r="G39" s="30"/>
      <c r="H39" s="242"/>
    </row>
    <row r="40" spans="1:8" ht="12.75">
      <c r="A40" s="27" t="s">
        <v>1091</v>
      </c>
      <c r="B40" s="28" t="s">
        <v>1092</v>
      </c>
      <c r="C40" s="29">
        <f>SUM(C41:C43)</f>
        <v>5662611</v>
      </c>
      <c r="D40" s="30"/>
      <c r="E40" s="242">
        <f>SUM(E41:E43)</f>
        <v>5662611</v>
      </c>
      <c r="F40" s="29">
        <f>SUM(F41:F43)</f>
        <v>6375377</v>
      </c>
      <c r="G40" s="30"/>
      <c r="H40" s="242">
        <f>SUM(H41:H43)</f>
        <v>6375377</v>
      </c>
    </row>
    <row r="41" spans="1:8" ht="12.75">
      <c r="A41" s="27" t="s">
        <v>1060</v>
      </c>
      <c r="B41" s="28" t="s">
        <v>952</v>
      </c>
      <c r="C41" s="29">
        <v>5051759</v>
      </c>
      <c r="D41" s="30"/>
      <c r="E41" s="242">
        <v>5051759</v>
      </c>
      <c r="F41" s="29">
        <v>5659763</v>
      </c>
      <c r="G41" s="30"/>
      <c r="H41" s="242">
        <f>F41</f>
        <v>5659763</v>
      </c>
    </row>
    <row r="42" spans="1:8" ht="12.75">
      <c r="A42" s="27" t="s">
        <v>1062</v>
      </c>
      <c r="B42" s="28" t="s">
        <v>1093</v>
      </c>
      <c r="C42" s="29">
        <v>496853</v>
      </c>
      <c r="D42" s="30"/>
      <c r="E42" s="242">
        <v>496853</v>
      </c>
      <c r="F42" s="29">
        <v>602136</v>
      </c>
      <c r="G42" s="30"/>
      <c r="H42" s="242">
        <f>F42</f>
        <v>602136</v>
      </c>
    </row>
    <row r="43" spans="1:8" ht="12.75">
      <c r="A43" s="27" t="s">
        <v>1064</v>
      </c>
      <c r="B43" s="28" t="s">
        <v>1094</v>
      </c>
      <c r="C43" s="29">
        <v>113999</v>
      </c>
      <c r="D43" s="30"/>
      <c r="E43" s="242">
        <v>113999</v>
      </c>
      <c r="F43" s="29">
        <v>113478</v>
      </c>
      <c r="G43" s="30"/>
      <c r="H43" s="242">
        <f>F43</f>
        <v>113478</v>
      </c>
    </row>
    <row r="44" spans="1:8" ht="12.75">
      <c r="A44" s="27"/>
      <c r="B44" s="28"/>
      <c r="C44" s="29"/>
      <c r="D44" s="30"/>
      <c r="E44" s="242"/>
      <c r="F44" s="29"/>
      <c r="G44" s="30"/>
      <c r="H44" s="242"/>
    </row>
    <row r="45" spans="1:8" ht="13.5">
      <c r="A45" s="931"/>
      <c r="B45" s="932" t="s">
        <v>1095</v>
      </c>
      <c r="C45" s="942">
        <f>SUM(C31+C36+C40)</f>
        <v>17966265</v>
      </c>
      <c r="D45" s="933"/>
      <c r="E45" s="934">
        <f>SUM(E31+E36+E40)</f>
        <v>17966265</v>
      </c>
      <c r="F45" s="942">
        <f>SUM(F31+F36+F40)</f>
        <v>18117018</v>
      </c>
      <c r="G45" s="933"/>
      <c r="H45" s="934">
        <f>SUM(H31+H36+H40)</f>
        <v>18117018</v>
      </c>
    </row>
  </sheetData>
  <sheetProtection selectLockedCells="1" selectUnlockedCells="1"/>
  <mergeCells count="7">
    <mergeCell ref="A2:H2"/>
    <mergeCell ref="A3:H3"/>
    <mergeCell ref="A4:H4"/>
    <mergeCell ref="A7:B7"/>
    <mergeCell ref="A26:H26"/>
    <mergeCell ref="A27:H27"/>
    <mergeCell ref="A28:H28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83"/>
  <headerFooter alignWithMargins="0">
    <oddHeader>&amp;L21.sz.melléklet a 15/2012.(IV.27.)önkormányzati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B27" sqref="B27"/>
    </sheetView>
  </sheetViews>
  <sheetFormatPr defaultColWidth="9.00390625" defaultRowHeight="12.75"/>
  <cols>
    <col min="1" max="1" width="6.75390625" style="0" customWidth="1"/>
    <col min="2" max="2" width="62.625" style="0" customWidth="1"/>
    <col min="3" max="3" width="9.25390625" style="0" customWidth="1"/>
    <col min="4" max="4" width="9.75390625" style="0" customWidth="1"/>
    <col min="5" max="5" width="9.375" style="0" customWidth="1"/>
  </cols>
  <sheetData>
    <row r="1" spans="1:5" ht="12.75">
      <c r="A1" s="918"/>
      <c r="B1" s="204"/>
      <c r="C1" s="943"/>
      <c r="D1" s="943"/>
      <c r="E1" s="943"/>
    </row>
    <row r="2" spans="1:5" ht="12.75">
      <c r="A2" s="944"/>
      <c r="B2" s="1"/>
      <c r="C2" s="3"/>
      <c r="D2" s="3"/>
      <c r="E2" s="3"/>
    </row>
    <row r="3" spans="1:5" ht="13.5" customHeight="1">
      <c r="A3" s="919" t="s">
        <v>1049</v>
      </c>
      <c r="B3" s="919"/>
      <c r="C3" s="919"/>
      <c r="D3" s="919"/>
      <c r="E3" s="919"/>
    </row>
    <row r="4" spans="1:5" ht="13.5" customHeight="1">
      <c r="A4" s="919" t="s">
        <v>1096</v>
      </c>
      <c r="B4" s="919"/>
      <c r="C4" s="919"/>
      <c r="D4" s="919"/>
      <c r="E4" s="919"/>
    </row>
    <row r="5" spans="1:5" ht="13.5">
      <c r="A5" s="945"/>
      <c r="B5" s="946"/>
      <c r="C5" s="946"/>
      <c r="D5" s="946"/>
      <c r="E5" s="946"/>
    </row>
    <row r="6" spans="1:5" ht="13.5">
      <c r="A6" s="944"/>
      <c r="B6" s="1"/>
      <c r="C6" s="3"/>
      <c r="D6" s="3"/>
      <c r="E6" s="924"/>
    </row>
    <row r="7" spans="1:5" ht="13.5">
      <c r="A7" s="947" t="s">
        <v>1097</v>
      </c>
      <c r="B7" s="948" t="s">
        <v>3</v>
      </c>
      <c r="C7" s="949" t="s">
        <v>4</v>
      </c>
      <c r="D7" s="949" t="s">
        <v>1098</v>
      </c>
      <c r="E7" s="950" t="s">
        <v>6</v>
      </c>
    </row>
    <row r="8" spans="1:5" ht="13.5">
      <c r="A8" s="951" t="s">
        <v>1099</v>
      </c>
      <c r="B8" s="952"/>
      <c r="C8" s="953" t="s">
        <v>1100</v>
      </c>
      <c r="D8" s="953"/>
      <c r="E8" s="954"/>
    </row>
    <row r="9" spans="1:5" ht="13.5">
      <c r="A9" s="955">
        <v>1</v>
      </c>
      <c r="B9" s="23" t="s">
        <v>10</v>
      </c>
      <c r="C9" s="929">
        <v>1757298</v>
      </c>
      <c r="D9" s="929">
        <v>1766865</v>
      </c>
      <c r="E9" s="779">
        <v>1719781</v>
      </c>
    </row>
    <row r="10" spans="1:5" ht="12.75">
      <c r="A10" s="956">
        <v>2</v>
      </c>
      <c r="B10" s="28" t="s">
        <v>1101</v>
      </c>
      <c r="C10" s="29">
        <v>485937</v>
      </c>
      <c r="D10" s="29">
        <v>488390</v>
      </c>
      <c r="E10" s="242">
        <v>460822</v>
      </c>
    </row>
    <row r="11" spans="1:5" ht="12.75">
      <c r="A11" s="956">
        <v>3</v>
      </c>
      <c r="B11" s="28" t="s">
        <v>15</v>
      </c>
      <c r="C11" s="29">
        <v>1337064</v>
      </c>
      <c r="D11" s="29">
        <v>1680939</v>
      </c>
      <c r="E11" s="242">
        <v>1555044</v>
      </c>
    </row>
    <row r="12" spans="1:5" ht="12.75">
      <c r="A12" s="956">
        <v>4</v>
      </c>
      <c r="B12" s="28" t="s">
        <v>1102</v>
      </c>
      <c r="C12" s="29">
        <v>153865</v>
      </c>
      <c r="D12" s="29">
        <v>176608</v>
      </c>
      <c r="E12" s="242">
        <v>174856</v>
      </c>
    </row>
    <row r="13" spans="1:5" ht="12.75">
      <c r="A13" s="956">
        <v>5</v>
      </c>
      <c r="B13" s="28" t="s">
        <v>1103</v>
      </c>
      <c r="C13" s="29">
        <v>326946</v>
      </c>
      <c r="D13" s="29">
        <v>364279</v>
      </c>
      <c r="E13" s="242">
        <v>324539</v>
      </c>
    </row>
    <row r="14" spans="1:5" ht="12.75">
      <c r="A14" s="956">
        <v>6</v>
      </c>
      <c r="B14" s="28" t="s">
        <v>1104</v>
      </c>
      <c r="C14" s="29">
        <v>10200</v>
      </c>
      <c r="D14" s="29">
        <v>8040</v>
      </c>
      <c r="E14" s="242">
        <v>8040</v>
      </c>
    </row>
    <row r="15" spans="1:5" ht="12.75">
      <c r="A15" s="956">
        <v>7</v>
      </c>
      <c r="B15" s="28" t="s">
        <v>158</v>
      </c>
      <c r="C15" s="29">
        <v>117796</v>
      </c>
      <c r="D15" s="29">
        <v>108286</v>
      </c>
      <c r="E15" s="242">
        <v>62911</v>
      </c>
    </row>
    <row r="16" spans="1:5" ht="12.75">
      <c r="A16" s="956">
        <v>8</v>
      </c>
      <c r="B16" s="28" t="s">
        <v>250</v>
      </c>
      <c r="C16" s="29">
        <v>2518644</v>
      </c>
      <c r="D16" s="29">
        <v>916818</v>
      </c>
      <c r="E16" s="242">
        <v>577489</v>
      </c>
    </row>
    <row r="17" spans="1:5" ht="12.75">
      <c r="A17" s="956">
        <v>9</v>
      </c>
      <c r="B17" s="28" t="s">
        <v>1105</v>
      </c>
      <c r="C17" s="29">
        <v>73500</v>
      </c>
      <c r="D17" s="29">
        <v>58508</v>
      </c>
      <c r="E17" s="242">
        <v>21694</v>
      </c>
    </row>
    <row r="18" spans="1:5" ht="12.75">
      <c r="A18" s="956">
        <v>10</v>
      </c>
      <c r="B18" s="28" t="s">
        <v>1106</v>
      </c>
      <c r="C18" s="29">
        <v>231494</v>
      </c>
      <c r="D18" s="29">
        <v>188869</v>
      </c>
      <c r="E18" s="242">
        <v>103170</v>
      </c>
    </row>
    <row r="19" spans="1:5" ht="12.75">
      <c r="A19" s="956">
        <v>11</v>
      </c>
      <c r="B19" s="28" t="s">
        <v>1107</v>
      </c>
      <c r="C19" s="29">
        <v>18579</v>
      </c>
      <c r="D19" s="29">
        <v>11079</v>
      </c>
      <c r="E19" s="242">
        <v>2679</v>
      </c>
    </row>
    <row r="20" spans="1:5" ht="12.75">
      <c r="A20" s="956">
        <v>12</v>
      </c>
      <c r="B20" s="28" t="s">
        <v>1108</v>
      </c>
      <c r="C20" s="29">
        <v>84754</v>
      </c>
      <c r="D20" s="29">
        <v>274705</v>
      </c>
      <c r="E20" s="242">
        <v>268705</v>
      </c>
    </row>
    <row r="21" spans="1:5" ht="12.75">
      <c r="A21" s="957">
        <v>13</v>
      </c>
      <c r="B21" s="32" t="s">
        <v>1109</v>
      </c>
      <c r="C21" s="36">
        <v>7116077</v>
      </c>
      <c r="D21" s="36">
        <v>6043386</v>
      </c>
      <c r="E21" s="207">
        <v>5279730</v>
      </c>
    </row>
    <row r="22" spans="1:5" ht="12.75">
      <c r="A22" s="957">
        <v>14</v>
      </c>
      <c r="B22" s="28" t="s">
        <v>1110</v>
      </c>
      <c r="C22" s="29">
        <v>20377</v>
      </c>
      <c r="D22" s="29">
        <v>22127</v>
      </c>
      <c r="E22" s="242">
        <v>21467</v>
      </c>
    </row>
    <row r="23" spans="1:5" s="204" customFormat="1" ht="12.75">
      <c r="A23" s="956">
        <v>15</v>
      </c>
      <c r="B23" s="28" t="s">
        <v>1111</v>
      </c>
      <c r="C23" s="29">
        <v>0</v>
      </c>
      <c r="D23" s="29">
        <v>0</v>
      </c>
      <c r="E23" s="242">
        <v>0</v>
      </c>
    </row>
    <row r="24" spans="1:5" s="204" customFormat="1" ht="12.75">
      <c r="A24" s="956">
        <v>16</v>
      </c>
      <c r="B24" s="59" t="s">
        <v>1112</v>
      </c>
      <c r="C24" s="29">
        <v>0</v>
      </c>
      <c r="D24" s="29">
        <v>0</v>
      </c>
      <c r="E24" s="242">
        <v>0</v>
      </c>
    </row>
    <row r="25" spans="1:5" s="204" customFormat="1" ht="12.75">
      <c r="A25" s="956">
        <v>17</v>
      </c>
      <c r="B25" s="28" t="s">
        <v>1113</v>
      </c>
      <c r="C25" s="29">
        <v>0</v>
      </c>
      <c r="D25" s="29">
        <v>0</v>
      </c>
      <c r="E25" s="242">
        <v>0</v>
      </c>
    </row>
    <row r="26" spans="1:5" ht="12.75">
      <c r="A26" s="956">
        <v>18</v>
      </c>
      <c r="B26" s="28" t="s">
        <v>1114</v>
      </c>
      <c r="C26" s="29">
        <v>0</v>
      </c>
      <c r="D26" s="29">
        <v>0</v>
      </c>
      <c r="E26" s="242">
        <v>0</v>
      </c>
    </row>
    <row r="27" spans="1:5" ht="12.75">
      <c r="A27" s="957">
        <v>19</v>
      </c>
      <c r="B27" s="32" t="s">
        <v>1115</v>
      </c>
      <c r="C27" s="36">
        <v>20377</v>
      </c>
      <c r="D27" s="36">
        <v>22127</v>
      </c>
      <c r="E27" s="207">
        <v>21467</v>
      </c>
    </row>
    <row r="28" spans="1:5" ht="13.5">
      <c r="A28" s="957">
        <v>20</v>
      </c>
      <c r="B28" s="958" t="s">
        <v>1116</v>
      </c>
      <c r="C28" s="36">
        <v>7136454</v>
      </c>
      <c r="D28" s="36">
        <v>6065513</v>
      </c>
      <c r="E28" s="207">
        <v>5301197</v>
      </c>
    </row>
    <row r="29" spans="1:5" ht="12.75">
      <c r="A29" s="956">
        <v>21</v>
      </c>
      <c r="B29" s="28" t="s">
        <v>1117</v>
      </c>
      <c r="C29" s="29">
        <v>531271</v>
      </c>
      <c r="D29" s="29">
        <v>156975</v>
      </c>
      <c r="E29" s="242">
        <v>0</v>
      </c>
    </row>
    <row r="30" spans="1:5" ht="12.75">
      <c r="A30" s="956">
        <v>22</v>
      </c>
      <c r="B30" s="28" t="s">
        <v>1118</v>
      </c>
      <c r="C30" s="29">
        <v>0</v>
      </c>
      <c r="D30" s="29">
        <v>0</v>
      </c>
      <c r="E30" s="242">
        <v>-120223</v>
      </c>
    </row>
    <row r="31" spans="1:5" ht="13.5">
      <c r="A31" s="956">
        <v>23</v>
      </c>
      <c r="B31" s="959" t="s">
        <v>1119</v>
      </c>
      <c r="C31" s="35">
        <v>7667725</v>
      </c>
      <c r="D31" s="35">
        <v>6222488</v>
      </c>
      <c r="E31" s="960">
        <v>5180974</v>
      </c>
    </row>
    <row r="32" spans="1:5" ht="12.75">
      <c r="A32" s="956">
        <v>24</v>
      </c>
      <c r="B32" s="28" t="s">
        <v>1120</v>
      </c>
      <c r="C32" s="29">
        <v>228452</v>
      </c>
      <c r="D32" s="29">
        <v>360299</v>
      </c>
      <c r="E32" s="242">
        <v>365583</v>
      </c>
    </row>
    <row r="33" spans="1:5" ht="12.75">
      <c r="A33" s="956">
        <v>25</v>
      </c>
      <c r="B33" s="28" t="s">
        <v>1121</v>
      </c>
      <c r="C33" s="29">
        <v>1949303</v>
      </c>
      <c r="D33" s="29">
        <v>1960480</v>
      </c>
      <c r="E33" s="242">
        <v>1966393</v>
      </c>
    </row>
    <row r="34" spans="1:5" ht="12.75">
      <c r="A34" s="956">
        <v>26</v>
      </c>
      <c r="B34" s="28" t="s">
        <v>1122</v>
      </c>
      <c r="C34" s="29">
        <v>921061</v>
      </c>
      <c r="D34" s="29">
        <v>987652</v>
      </c>
      <c r="E34" s="242">
        <v>1007600</v>
      </c>
    </row>
    <row r="35" spans="1:5" ht="12.75">
      <c r="A35" s="961">
        <v>27</v>
      </c>
      <c r="B35" s="34" t="s">
        <v>1123</v>
      </c>
      <c r="C35" s="29">
        <v>20847</v>
      </c>
      <c r="D35" s="29">
        <v>39137</v>
      </c>
      <c r="E35" s="242">
        <v>30898</v>
      </c>
    </row>
    <row r="36" spans="1:9" ht="12.75">
      <c r="A36" s="956">
        <v>28</v>
      </c>
      <c r="B36" s="28" t="s">
        <v>54</v>
      </c>
      <c r="C36" s="29">
        <v>503910</v>
      </c>
      <c r="D36" s="29">
        <v>466902</v>
      </c>
      <c r="E36" s="242">
        <v>89784</v>
      </c>
      <c r="F36" s="397"/>
      <c r="G36" s="397"/>
      <c r="H36" s="397"/>
      <c r="I36" s="397"/>
    </row>
    <row r="37" spans="1:5" ht="12.75">
      <c r="A37" s="956">
        <v>29</v>
      </c>
      <c r="B37" s="28" t="s">
        <v>1124</v>
      </c>
      <c r="C37" s="29">
        <v>54074</v>
      </c>
      <c r="D37" s="29">
        <v>38674</v>
      </c>
      <c r="E37" s="242">
        <v>32346</v>
      </c>
    </row>
    <row r="38" spans="1:5" ht="12.75">
      <c r="A38" s="956">
        <v>30</v>
      </c>
      <c r="B38" s="28" t="s">
        <v>1125</v>
      </c>
      <c r="C38" s="29">
        <v>1346313</v>
      </c>
      <c r="D38" s="29">
        <v>307735</v>
      </c>
      <c r="E38" s="242">
        <v>294223</v>
      </c>
    </row>
    <row r="39" spans="1:5" ht="12.75">
      <c r="A39" s="956">
        <v>31</v>
      </c>
      <c r="B39" s="28" t="s">
        <v>1126</v>
      </c>
      <c r="C39" s="29">
        <v>4865</v>
      </c>
      <c r="D39" s="29">
        <v>2701</v>
      </c>
      <c r="E39" s="242">
        <v>3612</v>
      </c>
    </row>
    <row r="40" spans="1:5" ht="12.75">
      <c r="A40" s="956">
        <v>32</v>
      </c>
      <c r="B40" s="28" t="s">
        <v>1127</v>
      </c>
      <c r="C40" s="29">
        <v>2379850</v>
      </c>
      <c r="D40" s="29">
        <v>2436641</v>
      </c>
      <c r="E40" s="242">
        <v>2418163</v>
      </c>
    </row>
    <row r="41" spans="1:5" ht="12.75">
      <c r="A41" s="956">
        <v>33</v>
      </c>
      <c r="B41" s="28" t="s">
        <v>1128</v>
      </c>
      <c r="C41" s="29">
        <v>982909</v>
      </c>
      <c r="D41" s="29">
        <v>999527</v>
      </c>
      <c r="E41" s="242">
        <v>999527</v>
      </c>
    </row>
    <row r="42" spans="1:5" ht="12.75">
      <c r="A42" s="956">
        <v>34</v>
      </c>
      <c r="B42" s="28" t="s">
        <v>1129</v>
      </c>
      <c r="C42" s="29">
        <v>45479</v>
      </c>
      <c r="D42" s="29">
        <v>8379</v>
      </c>
      <c r="E42" s="242">
        <v>8847</v>
      </c>
    </row>
    <row r="43" spans="1:5" ht="12.75">
      <c r="A43" s="956">
        <v>35</v>
      </c>
      <c r="B43" s="28" t="s">
        <v>1130</v>
      </c>
      <c r="C43" s="29">
        <v>62654</v>
      </c>
      <c r="D43" s="29">
        <v>163634</v>
      </c>
      <c r="E43" s="242">
        <v>163634</v>
      </c>
    </row>
    <row r="44" spans="1:5" ht="12.75">
      <c r="A44" s="962">
        <v>36</v>
      </c>
      <c r="B44" s="963" t="s">
        <v>1131</v>
      </c>
      <c r="C44" s="36">
        <v>7462734</v>
      </c>
      <c r="D44" s="36">
        <v>6733560</v>
      </c>
      <c r="E44" s="207">
        <v>6348737</v>
      </c>
    </row>
    <row r="45" spans="1:5" ht="12.75">
      <c r="A45" s="956">
        <v>37</v>
      </c>
      <c r="B45" s="28" t="s">
        <v>1132</v>
      </c>
      <c r="C45" s="29">
        <v>0</v>
      </c>
      <c r="D45" s="29">
        <v>0</v>
      </c>
      <c r="E45" s="242">
        <v>0</v>
      </c>
    </row>
    <row r="46" spans="1:5" ht="12.75">
      <c r="A46" s="956">
        <v>38</v>
      </c>
      <c r="B46" s="28" t="s">
        <v>1133</v>
      </c>
      <c r="C46" s="29">
        <v>0</v>
      </c>
      <c r="D46" s="29">
        <v>0</v>
      </c>
      <c r="E46" s="242">
        <v>0</v>
      </c>
    </row>
    <row r="47" spans="1:5" ht="12.75">
      <c r="A47" s="956">
        <v>39</v>
      </c>
      <c r="B47" s="59" t="s">
        <v>1134</v>
      </c>
      <c r="C47" s="29">
        <v>0</v>
      </c>
      <c r="D47" s="29">
        <v>0</v>
      </c>
      <c r="E47" s="242">
        <v>0</v>
      </c>
    </row>
    <row r="48" spans="1:5" ht="12.75">
      <c r="A48" s="956">
        <v>40</v>
      </c>
      <c r="B48" s="28" t="s">
        <v>1135</v>
      </c>
      <c r="C48" s="29">
        <v>1000000</v>
      </c>
      <c r="D48" s="29">
        <v>0</v>
      </c>
      <c r="E48" s="242">
        <v>0</v>
      </c>
    </row>
    <row r="49" spans="1:5" ht="12.75">
      <c r="A49" s="956">
        <v>41</v>
      </c>
      <c r="B49" s="28" t="s">
        <v>1136</v>
      </c>
      <c r="C49" s="29">
        <v>0</v>
      </c>
      <c r="D49" s="29">
        <v>0</v>
      </c>
      <c r="E49" s="242">
        <v>0</v>
      </c>
    </row>
    <row r="50" spans="1:5" ht="12.75">
      <c r="A50" s="957">
        <v>42</v>
      </c>
      <c r="B50" s="32" t="s">
        <v>1137</v>
      </c>
      <c r="C50" s="36">
        <v>1000000</v>
      </c>
      <c r="D50" s="36">
        <v>0</v>
      </c>
      <c r="E50" s="207">
        <v>0</v>
      </c>
    </row>
    <row r="51" spans="1:5" ht="13.5">
      <c r="A51" s="957">
        <v>43</v>
      </c>
      <c r="B51" s="959" t="s">
        <v>1138</v>
      </c>
      <c r="C51" s="35">
        <v>8462734</v>
      </c>
      <c r="D51" s="35">
        <v>6733560</v>
      </c>
      <c r="E51" s="960">
        <v>6348737</v>
      </c>
    </row>
    <row r="52" spans="1:5" ht="12.75">
      <c r="A52" s="956">
        <v>44</v>
      </c>
      <c r="B52" s="28" t="s">
        <v>1139</v>
      </c>
      <c r="C52" s="29">
        <v>601932</v>
      </c>
      <c r="D52" s="29">
        <v>926042</v>
      </c>
      <c r="E52" s="242">
        <v>934150</v>
      </c>
    </row>
    <row r="53" spans="1:5" ht="12.75">
      <c r="A53" s="956">
        <v>45</v>
      </c>
      <c r="B53" s="28" t="s">
        <v>1140</v>
      </c>
      <c r="C53" s="29">
        <v>0</v>
      </c>
      <c r="D53" s="29">
        <v>0</v>
      </c>
      <c r="E53" s="242">
        <v>0</v>
      </c>
    </row>
    <row r="54" spans="1:5" ht="12.75">
      <c r="A54" s="956">
        <v>46</v>
      </c>
      <c r="B54" s="28" t="s">
        <v>1141</v>
      </c>
      <c r="C54" s="29">
        <v>0</v>
      </c>
      <c r="D54" s="29">
        <v>0</v>
      </c>
      <c r="E54" s="242">
        <v>-866</v>
      </c>
    </row>
    <row r="55" spans="1:5" ht="13.5">
      <c r="A55" s="964">
        <v>47</v>
      </c>
      <c r="B55" s="965" t="s">
        <v>1142</v>
      </c>
      <c r="C55" s="966">
        <v>9064666</v>
      </c>
      <c r="D55" s="966">
        <v>7659602</v>
      </c>
      <c r="E55" s="967">
        <v>7282021</v>
      </c>
    </row>
    <row r="56" spans="1:5" ht="30" customHeight="1">
      <c r="A56" s="957">
        <v>48</v>
      </c>
      <c r="B56" s="968" t="s">
        <v>1143</v>
      </c>
      <c r="C56" s="36">
        <v>346657</v>
      </c>
      <c r="D56" s="36">
        <v>690174</v>
      </c>
      <c r="E56" s="207">
        <v>1069007</v>
      </c>
    </row>
    <row r="57" spans="1:5" ht="34.5" customHeight="1">
      <c r="A57" s="957">
        <v>49</v>
      </c>
      <c r="B57" s="968" t="s">
        <v>1144</v>
      </c>
      <c r="C57" s="36">
        <v>417318</v>
      </c>
      <c r="D57" s="36">
        <v>1459241</v>
      </c>
      <c r="E57" s="207">
        <v>2003157</v>
      </c>
    </row>
    <row r="58" spans="1:5" ht="12.75">
      <c r="A58" s="957">
        <v>50</v>
      </c>
      <c r="B58" s="32" t="s">
        <v>1145</v>
      </c>
      <c r="C58" s="36">
        <v>979623</v>
      </c>
      <c r="D58" s="36">
        <v>-22127</v>
      </c>
      <c r="E58" s="207">
        <v>-21467</v>
      </c>
    </row>
    <row r="59" spans="1:5" ht="13.5">
      <c r="A59" s="969">
        <v>51</v>
      </c>
      <c r="B59" s="970" t="s">
        <v>1146</v>
      </c>
      <c r="C59" s="215">
        <v>0</v>
      </c>
      <c r="D59" s="215">
        <v>0</v>
      </c>
      <c r="E59" s="216">
        <v>119357</v>
      </c>
    </row>
  </sheetData>
  <sheetProtection selectLockedCells="1" selectUnlockedCells="1"/>
  <mergeCells count="3">
    <mergeCell ref="A3:E3"/>
    <mergeCell ref="A4:E4"/>
    <mergeCell ref="C8:D8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 scale="88"/>
  <headerFooter alignWithMargins="0">
    <oddHeader>&amp;L22.mellékelt a 15/2012.(IV.27))önkormányzati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B1">
      <selection activeCell="D11" sqref="D11"/>
    </sheetView>
  </sheetViews>
  <sheetFormatPr defaultColWidth="9.00390625" defaultRowHeight="12.75"/>
  <cols>
    <col min="1" max="1" width="7.00390625" style="0" customWidth="1"/>
    <col min="2" max="2" width="59.25390625" style="0" customWidth="1"/>
    <col min="3" max="3" width="13.375" style="0" customWidth="1"/>
    <col min="4" max="4" width="10.625" style="0" customWidth="1"/>
    <col min="5" max="5" width="15.625" style="0" customWidth="1"/>
    <col min="6" max="6" width="10.625" style="0" customWidth="1"/>
    <col min="7" max="7" width="10.875" style="0" customWidth="1"/>
    <col min="8" max="8" width="18.625" style="0" customWidth="1"/>
  </cols>
  <sheetData>
    <row r="1" spans="1:8" ht="12.75">
      <c r="A1" s="971"/>
      <c r="B1" s="971"/>
      <c r="C1" s="972"/>
      <c r="D1" s="972"/>
      <c r="E1" s="972"/>
      <c r="F1" s="972"/>
      <c r="G1" s="972"/>
      <c r="H1" s="972"/>
    </row>
    <row r="2" spans="1:8" ht="12.75">
      <c r="A2" s="1"/>
      <c r="B2" s="1"/>
      <c r="C2" s="972"/>
      <c r="D2" s="972"/>
      <c r="E2" s="972"/>
      <c r="F2" s="972"/>
      <c r="G2" s="972"/>
      <c r="H2" s="972"/>
    </row>
    <row r="3" spans="1:8" ht="13.5" customHeight="1">
      <c r="A3" s="919" t="s">
        <v>1147</v>
      </c>
      <c r="B3" s="919"/>
      <c r="C3" s="919"/>
      <c r="D3" s="919"/>
      <c r="E3" s="919"/>
      <c r="F3" s="919"/>
      <c r="G3" s="919"/>
      <c r="H3" s="919"/>
    </row>
    <row r="4" spans="1:8" ht="13.5" customHeight="1">
      <c r="A4" s="919" t="s">
        <v>1148</v>
      </c>
      <c r="B4" s="919"/>
      <c r="C4" s="919"/>
      <c r="D4" s="919"/>
      <c r="E4" s="919"/>
      <c r="F4" s="919"/>
      <c r="G4" s="919"/>
      <c r="H4" s="919"/>
    </row>
    <row r="5" spans="1:8" ht="13.5">
      <c r="A5" s="945"/>
      <c r="B5" s="743"/>
      <c r="C5" s="743"/>
      <c r="D5" s="743"/>
      <c r="E5" s="743"/>
      <c r="F5" s="743"/>
      <c r="G5" s="743"/>
      <c r="H5" s="743"/>
    </row>
    <row r="6" spans="1:8" ht="13.5">
      <c r="A6" s="945"/>
      <c r="B6" s="743"/>
      <c r="C6" s="743"/>
      <c r="D6" s="743"/>
      <c r="E6" s="743"/>
      <c r="F6" s="743"/>
      <c r="G6" s="743"/>
      <c r="H6" s="743"/>
    </row>
    <row r="7" spans="1:8" ht="14.25">
      <c r="A7" s="1"/>
      <c r="B7" s="945"/>
      <c r="C7" s="944"/>
      <c r="D7" s="923"/>
      <c r="E7" s="923"/>
      <c r="F7" s="923"/>
      <c r="G7" s="944"/>
      <c r="H7" s="973" t="s">
        <v>103</v>
      </c>
    </row>
    <row r="8" spans="1:8" ht="51" customHeight="1">
      <c r="A8" s="8"/>
      <c r="B8" s="9" t="s">
        <v>3</v>
      </c>
      <c r="C8" s="974" t="s">
        <v>1149</v>
      </c>
      <c r="D8" s="974" t="s">
        <v>1150</v>
      </c>
      <c r="E8" s="974" t="s">
        <v>1151</v>
      </c>
      <c r="F8" s="974" t="s">
        <v>1152</v>
      </c>
      <c r="G8" s="974" t="s">
        <v>1153</v>
      </c>
      <c r="H8" s="975" t="s">
        <v>1154</v>
      </c>
    </row>
    <row r="9" spans="1:8" ht="12.75" customHeight="1">
      <c r="A9" s="976" t="s">
        <v>1080</v>
      </c>
      <c r="B9" s="977" t="s">
        <v>108</v>
      </c>
      <c r="C9" s="978">
        <v>764997</v>
      </c>
      <c r="D9" s="241">
        <v>0</v>
      </c>
      <c r="E9" s="978">
        <v>764997</v>
      </c>
      <c r="F9" s="241">
        <v>513258</v>
      </c>
      <c r="G9" s="241">
        <v>0</v>
      </c>
      <c r="H9" s="241">
        <v>513258</v>
      </c>
    </row>
    <row r="10" spans="1:8" ht="12.75" customHeight="1">
      <c r="A10" s="976" t="s">
        <v>1155</v>
      </c>
      <c r="B10" s="977" t="s">
        <v>1156</v>
      </c>
      <c r="C10" s="978">
        <v>0</v>
      </c>
      <c r="D10" s="241">
        <v>0</v>
      </c>
      <c r="E10" s="978">
        <v>0</v>
      </c>
      <c r="F10" s="241">
        <v>0</v>
      </c>
      <c r="G10" s="241">
        <v>0</v>
      </c>
      <c r="H10" s="241">
        <v>0</v>
      </c>
    </row>
    <row r="11" spans="1:8" ht="12.75" customHeight="1">
      <c r="A11" s="976" t="s">
        <v>1084</v>
      </c>
      <c r="B11" s="979" t="s">
        <v>1157</v>
      </c>
      <c r="C11" s="978">
        <v>126126</v>
      </c>
      <c r="D11" s="241">
        <v>0</v>
      </c>
      <c r="E11" s="978">
        <v>126126</v>
      </c>
      <c r="F11" s="241">
        <v>6769</v>
      </c>
      <c r="G11" s="241">
        <v>0</v>
      </c>
      <c r="H11" s="241">
        <v>6769</v>
      </c>
    </row>
    <row r="12" spans="1:8" ht="12.75" customHeight="1">
      <c r="A12" s="976" t="s">
        <v>1158</v>
      </c>
      <c r="B12" s="980" t="s">
        <v>1159</v>
      </c>
      <c r="C12" s="978">
        <v>238</v>
      </c>
      <c r="D12" s="241">
        <v>0</v>
      </c>
      <c r="E12" s="978">
        <v>238</v>
      </c>
      <c r="F12" s="241">
        <v>0</v>
      </c>
      <c r="G12" s="241">
        <v>0</v>
      </c>
      <c r="H12" s="241">
        <v>0</v>
      </c>
    </row>
    <row r="13" spans="1:8" ht="12.75" customHeight="1">
      <c r="A13" s="976" t="s">
        <v>1160</v>
      </c>
      <c r="B13" s="980" t="s">
        <v>1161</v>
      </c>
      <c r="C13" s="978">
        <v>0</v>
      </c>
      <c r="D13" s="241">
        <v>0</v>
      </c>
      <c r="E13" s="978">
        <v>0</v>
      </c>
      <c r="F13" s="241">
        <v>0</v>
      </c>
      <c r="G13" s="241">
        <v>0</v>
      </c>
      <c r="H13" s="241">
        <v>0</v>
      </c>
    </row>
    <row r="14" spans="1:8" ht="12.75" customHeight="1">
      <c r="A14" s="976" t="s">
        <v>1162</v>
      </c>
      <c r="B14" s="981" t="s">
        <v>1163</v>
      </c>
      <c r="C14" s="982">
        <v>890885</v>
      </c>
      <c r="D14" s="240">
        <v>0</v>
      </c>
      <c r="E14" s="982">
        <v>890885</v>
      </c>
      <c r="F14" s="240">
        <v>520027</v>
      </c>
      <c r="G14" s="240">
        <v>0</v>
      </c>
      <c r="H14" s="240">
        <v>520027</v>
      </c>
    </row>
    <row r="15" spans="1:8" ht="12.75" customHeight="1">
      <c r="A15" s="976" t="s">
        <v>1164</v>
      </c>
      <c r="B15" s="980" t="s">
        <v>1165</v>
      </c>
      <c r="C15" s="978">
        <v>35157</v>
      </c>
      <c r="D15" s="241">
        <v>0</v>
      </c>
      <c r="E15" s="978">
        <v>35157</v>
      </c>
      <c r="F15" s="241">
        <v>31086</v>
      </c>
      <c r="G15" s="241">
        <v>0</v>
      </c>
      <c r="H15" s="241">
        <v>31086</v>
      </c>
    </row>
    <row r="16" spans="1:8" ht="12.75" customHeight="1">
      <c r="A16" s="976" t="s">
        <v>1166</v>
      </c>
      <c r="B16" s="980" t="s">
        <v>1167</v>
      </c>
      <c r="C16" s="978">
        <v>0</v>
      </c>
      <c r="D16" s="241">
        <v>0</v>
      </c>
      <c r="E16" s="978">
        <v>0</v>
      </c>
      <c r="F16" s="241">
        <v>0</v>
      </c>
      <c r="G16" s="241">
        <v>0</v>
      </c>
      <c r="H16" s="241">
        <v>0</v>
      </c>
    </row>
    <row r="17" spans="1:8" ht="12.75" customHeight="1">
      <c r="A17" s="962" t="s">
        <v>1168</v>
      </c>
      <c r="B17" s="983" t="s">
        <v>1169</v>
      </c>
      <c r="C17" s="982">
        <v>926042</v>
      </c>
      <c r="D17" s="982">
        <v>0</v>
      </c>
      <c r="E17" s="982">
        <v>926042</v>
      </c>
      <c r="F17" s="982">
        <v>551113</v>
      </c>
      <c r="G17" s="982">
        <v>0</v>
      </c>
      <c r="H17" s="982">
        <v>551113</v>
      </c>
    </row>
    <row r="18" spans="1:8" ht="12.75">
      <c r="A18" s="976" t="s">
        <v>1170</v>
      </c>
      <c r="B18" s="979" t="s">
        <v>1171</v>
      </c>
      <c r="C18" s="978">
        <v>0</v>
      </c>
      <c r="D18" s="241">
        <v>0</v>
      </c>
      <c r="E18" s="978">
        <v>0</v>
      </c>
      <c r="F18" s="241">
        <v>0</v>
      </c>
      <c r="G18" s="241">
        <v>0</v>
      </c>
      <c r="H18" s="241">
        <v>0</v>
      </c>
    </row>
    <row r="19" spans="1:8" ht="12.75">
      <c r="A19" s="976" t="s">
        <v>1172</v>
      </c>
      <c r="B19" s="979" t="s">
        <v>1173</v>
      </c>
      <c r="C19" s="978">
        <v>0</v>
      </c>
      <c r="D19" s="241">
        <v>0</v>
      </c>
      <c r="E19" s="978">
        <v>0</v>
      </c>
      <c r="F19" s="241">
        <v>0</v>
      </c>
      <c r="G19" s="241">
        <v>0</v>
      </c>
      <c r="H19" s="241">
        <v>0</v>
      </c>
    </row>
    <row r="20" spans="1:8" ht="12.75">
      <c r="A20" s="976" t="s">
        <v>1174</v>
      </c>
      <c r="B20" s="984" t="s">
        <v>1175</v>
      </c>
      <c r="C20" s="982">
        <v>926042</v>
      </c>
      <c r="D20" s="982">
        <v>0</v>
      </c>
      <c r="E20" s="982">
        <v>926042</v>
      </c>
      <c r="F20" s="982">
        <v>551113</v>
      </c>
      <c r="G20" s="982">
        <v>0</v>
      </c>
      <c r="H20" s="982">
        <v>551113</v>
      </c>
    </row>
    <row r="21" spans="1:8" ht="12.75">
      <c r="A21" s="976" t="s">
        <v>1176</v>
      </c>
      <c r="B21" s="979" t="s">
        <v>1177</v>
      </c>
      <c r="C21" s="978">
        <v>0</v>
      </c>
      <c r="D21" s="241">
        <v>0</v>
      </c>
      <c r="E21" s="978">
        <v>0</v>
      </c>
      <c r="F21" s="241">
        <v>0</v>
      </c>
      <c r="G21" s="241">
        <v>0</v>
      </c>
      <c r="H21" s="241">
        <v>0</v>
      </c>
    </row>
    <row r="22" spans="1:8" ht="12.75" customHeight="1">
      <c r="A22" s="985" t="s">
        <v>1178</v>
      </c>
      <c r="B22" s="986" t="s">
        <v>1179</v>
      </c>
      <c r="C22" s="850">
        <v>926042</v>
      </c>
      <c r="D22" s="29">
        <v>0</v>
      </c>
      <c r="E22" s="850">
        <v>926042</v>
      </c>
      <c r="F22" s="29">
        <v>479274</v>
      </c>
      <c r="G22" s="29">
        <v>0</v>
      </c>
      <c r="H22" s="29">
        <v>479274</v>
      </c>
    </row>
    <row r="23" spans="1:8" ht="13.5" customHeight="1">
      <c r="A23" s="987" t="s">
        <v>1180</v>
      </c>
      <c r="B23" s="988" t="s">
        <v>1181</v>
      </c>
      <c r="C23" s="989">
        <v>0</v>
      </c>
      <c r="D23" s="942">
        <v>0</v>
      </c>
      <c r="E23" s="989">
        <v>0</v>
      </c>
      <c r="F23" s="942">
        <v>71839</v>
      </c>
      <c r="G23" s="942">
        <v>0</v>
      </c>
      <c r="H23" s="942">
        <v>71839</v>
      </c>
    </row>
  </sheetData>
  <sheetProtection selectLockedCells="1" selectUnlockedCells="1"/>
  <mergeCells count="3">
    <mergeCell ref="A1:B1"/>
    <mergeCell ref="A3:H3"/>
    <mergeCell ref="A4:H4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 scale="83"/>
  <headerFooter alignWithMargins="0">
    <oddHeader>&amp;L23.melléklet a 15/2012.(IV.27.)önkormányzati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B1">
      <selection activeCell="H8" sqref="H8"/>
    </sheetView>
  </sheetViews>
  <sheetFormatPr defaultColWidth="9.00390625" defaultRowHeight="12.75"/>
  <cols>
    <col min="1" max="1" width="7.00390625" style="0" customWidth="1"/>
    <col min="2" max="2" width="51.125" style="0" customWidth="1"/>
    <col min="3" max="3" width="12.25390625" style="0" customWidth="1"/>
    <col min="4" max="4" width="10.375" style="0" customWidth="1"/>
    <col min="5" max="5" width="15.625" style="0" customWidth="1"/>
    <col min="6" max="6" width="14.25390625" style="0" customWidth="1"/>
    <col min="7" max="7" width="12.125" style="0" customWidth="1"/>
    <col min="8" max="8" width="18.625" style="0" customWidth="1"/>
  </cols>
  <sheetData>
    <row r="1" spans="1:8" ht="12.75">
      <c r="A1" s="971"/>
      <c r="B1" s="971"/>
      <c r="C1" s="972"/>
      <c r="D1" s="972"/>
      <c r="E1" s="972"/>
      <c r="F1" s="972"/>
      <c r="G1" s="972"/>
      <c r="H1" s="972"/>
    </row>
    <row r="2" spans="1:8" ht="12.75">
      <c r="A2" s="1"/>
      <c r="B2" s="1"/>
      <c r="C2" s="972"/>
      <c r="D2" s="972"/>
      <c r="E2" s="972"/>
      <c r="F2" s="972"/>
      <c r="G2" s="972"/>
      <c r="H2" s="972"/>
    </row>
    <row r="3" spans="1:8" ht="13.5" customHeight="1">
      <c r="A3" s="919" t="s">
        <v>1182</v>
      </c>
      <c r="B3" s="919"/>
      <c r="C3" s="919"/>
      <c r="D3" s="919"/>
      <c r="E3" s="919"/>
      <c r="F3" s="919"/>
      <c r="G3" s="919"/>
      <c r="H3" s="919"/>
    </row>
    <row r="4" spans="1:8" ht="13.5" customHeight="1">
      <c r="A4" s="919" t="s">
        <v>1148</v>
      </c>
      <c r="B4" s="919"/>
      <c r="C4" s="919"/>
      <c r="D4" s="919"/>
      <c r="E4" s="919"/>
      <c r="F4" s="919"/>
      <c r="G4" s="919"/>
      <c r="H4" s="919"/>
    </row>
    <row r="5" spans="1:8" ht="13.5">
      <c r="A5" s="945"/>
      <c r="B5" s="743"/>
      <c r="C5" s="743"/>
      <c r="D5" s="743"/>
      <c r="E5" s="743"/>
      <c r="F5" s="743"/>
      <c r="G5" s="743"/>
      <c r="H5" s="743"/>
    </row>
    <row r="6" spans="1:8" ht="13.5">
      <c r="A6" s="945"/>
      <c r="B6" s="743"/>
      <c r="C6" s="743"/>
      <c r="D6" s="743"/>
      <c r="E6" s="743"/>
      <c r="F6" s="743"/>
      <c r="G6" s="743"/>
      <c r="H6" s="743"/>
    </row>
    <row r="7" spans="1:8" ht="14.25">
      <c r="A7" s="1"/>
      <c r="B7" s="945"/>
      <c r="C7" s="944"/>
      <c r="D7" s="923"/>
      <c r="E7" s="923"/>
      <c r="F7" s="923"/>
      <c r="G7" s="944"/>
      <c r="H7" s="973" t="s">
        <v>103</v>
      </c>
    </row>
    <row r="8" spans="1:8" ht="51.75" customHeight="1">
      <c r="A8" s="8"/>
      <c r="B8" s="9" t="s">
        <v>3</v>
      </c>
      <c r="C8" s="974" t="s">
        <v>1183</v>
      </c>
      <c r="D8" s="974" t="s">
        <v>1150</v>
      </c>
      <c r="E8" s="974" t="s">
        <v>1184</v>
      </c>
      <c r="F8" s="974" t="s">
        <v>1185</v>
      </c>
      <c r="G8" s="974" t="s">
        <v>1153</v>
      </c>
      <c r="H8" s="975" t="s">
        <v>1154</v>
      </c>
    </row>
    <row r="9" spans="1:8" ht="12.75" customHeight="1">
      <c r="A9" s="976" t="s">
        <v>1080</v>
      </c>
      <c r="B9" s="977" t="s">
        <v>1186</v>
      </c>
      <c r="C9" s="978">
        <v>0</v>
      </c>
      <c r="D9" s="241">
        <v>0</v>
      </c>
      <c r="E9" s="978">
        <v>0</v>
      </c>
      <c r="F9" s="241">
        <v>0</v>
      </c>
      <c r="G9" s="241">
        <v>0</v>
      </c>
      <c r="H9" s="990">
        <v>0</v>
      </c>
    </row>
    <row r="10" spans="1:8" ht="12.75" customHeight="1">
      <c r="A10" s="976" t="s">
        <v>1155</v>
      </c>
      <c r="B10" s="977" t="s">
        <v>1187</v>
      </c>
      <c r="C10" s="978">
        <v>0</v>
      </c>
      <c r="D10" s="241">
        <v>0</v>
      </c>
      <c r="E10" s="978">
        <v>0</v>
      </c>
      <c r="F10" s="241">
        <v>0</v>
      </c>
      <c r="G10" s="241">
        <v>0</v>
      </c>
      <c r="H10" s="990">
        <v>0</v>
      </c>
    </row>
    <row r="11" spans="1:8" ht="12.75" customHeight="1">
      <c r="A11" s="976" t="s">
        <v>1084</v>
      </c>
      <c r="B11" s="979" t="s">
        <v>1188</v>
      </c>
      <c r="C11" s="978">
        <v>0</v>
      </c>
      <c r="D11" s="241">
        <v>0</v>
      </c>
      <c r="E11" s="978">
        <v>0</v>
      </c>
      <c r="F11" s="241">
        <v>0</v>
      </c>
      <c r="G11" s="241">
        <v>0</v>
      </c>
      <c r="H11" s="990">
        <v>0</v>
      </c>
    </row>
    <row r="12" spans="1:8" ht="12.75" customHeight="1">
      <c r="A12" s="962" t="s">
        <v>1158</v>
      </c>
      <c r="B12" s="991" t="s">
        <v>1189</v>
      </c>
      <c r="C12" s="982">
        <f aca="true" t="shared" si="0" ref="C12:H12">SUM(C9:C11)</f>
        <v>0</v>
      </c>
      <c r="D12" s="982">
        <f t="shared" si="0"/>
        <v>0</v>
      </c>
      <c r="E12" s="982">
        <f t="shared" si="0"/>
        <v>0</v>
      </c>
      <c r="F12" s="982">
        <f t="shared" si="0"/>
        <v>0</v>
      </c>
      <c r="G12" s="982">
        <f t="shared" si="0"/>
        <v>0</v>
      </c>
      <c r="H12" s="992">
        <f t="shared" si="0"/>
        <v>0</v>
      </c>
    </row>
    <row r="13" spans="1:8" ht="12.75" customHeight="1">
      <c r="A13" s="976" t="s">
        <v>1160</v>
      </c>
      <c r="B13" s="980" t="s">
        <v>1190</v>
      </c>
      <c r="C13" s="978">
        <v>0</v>
      </c>
      <c r="D13" s="241">
        <v>0</v>
      </c>
      <c r="E13" s="241">
        <v>0</v>
      </c>
      <c r="F13" s="241">
        <v>0</v>
      </c>
      <c r="G13" s="241">
        <v>0</v>
      </c>
      <c r="H13" s="990">
        <v>0</v>
      </c>
    </row>
    <row r="14" spans="1:8" ht="12.75" customHeight="1">
      <c r="A14" s="976" t="s">
        <v>1162</v>
      </c>
      <c r="B14" s="993" t="s">
        <v>1191</v>
      </c>
      <c r="C14" s="978">
        <v>0</v>
      </c>
      <c r="D14" s="241">
        <f>SUM(D9+D10+D11-D12-D13)</f>
        <v>0</v>
      </c>
      <c r="E14" s="241">
        <f>SUM(E9+E10+E11-E12-E13)</f>
        <v>0</v>
      </c>
      <c r="F14" s="241">
        <f>SUM(F9+F10+F11-F12-F13)</f>
        <v>0</v>
      </c>
      <c r="G14" s="241">
        <f>SUM(G9+G10+G11-G12-G13)</f>
        <v>0</v>
      </c>
      <c r="H14" s="990">
        <f>SUM(H9+H10+H11-H12-H13)</f>
        <v>0</v>
      </c>
    </row>
    <row r="15" spans="1:8" ht="12.75" customHeight="1">
      <c r="A15" s="976" t="s">
        <v>1164</v>
      </c>
      <c r="B15" s="980" t="s">
        <v>1192</v>
      </c>
      <c r="C15" s="978">
        <v>0</v>
      </c>
      <c r="D15" s="241">
        <v>0</v>
      </c>
      <c r="E15" s="241">
        <v>0</v>
      </c>
      <c r="F15" s="241">
        <v>0</v>
      </c>
      <c r="G15" s="241">
        <v>0</v>
      </c>
      <c r="H15" s="990">
        <v>0</v>
      </c>
    </row>
    <row r="16" spans="1:8" ht="12.75" customHeight="1">
      <c r="A16" s="962" t="s">
        <v>1166</v>
      </c>
      <c r="B16" s="991" t="s">
        <v>1193</v>
      </c>
      <c r="C16" s="982">
        <f aca="true" t="shared" si="1" ref="C16:H16">SUM(C13:C15)</f>
        <v>0</v>
      </c>
      <c r="D16" s="982">
        <f t="shared" si="1"/>
        <v>0</v>
      </c>
      <c r="E16" s="982">
        <f t="shared" si="1"/>
        <v>0</v>
      </c>
      <c r="F16" s="982">
        <f t="shared" si="1"/>
        <v>0</v>
      </c>
      <c r="G16" s="982">
        <f t="shared" si="1"/>
        <v>0</v>
      </c>
      <c r="H16" s="992">
        <f t="shared" si="1"/>
        <v>0</v>
      </c>
    </row>
    <row r="17" spans="1:8" s="204" customFormat="1" ht="12.75" customHeight="1">
      <c r="A17" s="962" t="s">
        <v>1168</v>
      </c>
      <c r="B17" s="983" t="s">
        <v>1194</v>
      </c>
      <c r="C17" s="982">
        <f aca="true" t="shared" si="2" ref="C17:H17">SUM(C12-C16)</f>
        <v>0</v>
      </c>
      <c r="D17" s="982">
        <f t="shared" si="2"/>
        <v>0</v>
      </c>
      <c r="E17" s="982">
        <f t="shared" si="2"/>
        <v>0</v>
      </c>
      <c r="F17" s="982">
        <f t="shared" si="2"/>
        <v>0</v>
      </c>
      <c r="G17" s="982">
        <f t="shared" si="2"/>
        <v>0</v>
      </c>
      <c r="H17" s="992">
        <f t="shared" si="2"/>
        <v>0</v>
      </c>
    </row>
    <row r="18" spans="1:8" ht="12.75">
      <c r="A18" s="976" t="s">
        <v>1170</v>
      </c>
      <c r="B18" s="979" t="s">
        <v>1195</v>
      </c>
      <c r="C18" s="978">
        <v>0</v>
      </c>
      <c r="D18" s="241">
        <v>0</v>
      </c>
      <c r="E18" s="241">
        <v>0</v>
      </c>
      <c r="F18" s="241">
        <v>0</v>
      </c>
      <c r="G18" s="241">
        <v>0</v>
      </c>
      <c r="H18" s="990">
        <v>0</v>
      </c>
    </row>
    <row r="19" spans="1:8" ht="12.75">
      <c r="A19" s="976" t="s">
        <v>1172</v>
      </c>
      <c r="B19" s="979" t="s">
        <v>1196</v>
      </c>
      <c r="C19" s="978">
        <v>0</v>
      </c>
      <c r="D19" s="241">
        <v>0</v>
      </c>
      <c r="E19" s="241">
        <v>0</v>
      </c>
      <c r="F19" s="241">
        <v>0</v>
      </c>
      <c r="G19" s="241">
        <v>0</v>
      </c>
      <c r="H19" s="990">
        <v>0</v>
      </c>
    </row>
    <row r="20" spans="1:8" ht="15" customHeight="1">
      <c r="A20" s="976" t="s">
        <v>1174</v>
      </c>
      <c r="B20" s="994" t="s">
        <v>1197</v>
      </c>
      <c r="C20" s="978">
        <v>0</v>
      </c>
      <c r="D20" s="978">
        <v>0</v>
      </c>
      <c r="E20" s="978">
        <v>0</v>
      </c>
      <c r="F20" s="978">
        <v>0</v>
      </c>
      <c r="G20" s="978">
        <v>0</v>
      </c>
      <c r="H20" s="995">
        <v>0</v>
      </c>
    </row>
    <row r="21" spans="1:8" s="204" customFormat="1" ht="12.75" customHeight="1">
      <c r="A21" s="962" t="s">
        <v>1176</v>
      </c>
      <c r="B21" s="983" t="s">
        <v>1198</v>
      </c>
      <c r="C21" s="982">
        <f aca="true" t="shared" si="3" ref="C21:H21">SUM(C17-C15-C16+C20)</f>
        <v>0</v>
      </c>
      <c r="D21" s="982">
        <f t="shared" si="3"/>
        <v>0</v>
      </c>
      <c r="E21" s="982">
        <f t="shared" si="3"/>
        <v>0</v>
      </c>
      <c r="F21" s="982">
        <f t="shared" si="3"/>
        <v>0</v>
      </c>
      <c r="G21" s="982">
        <f t="shared" si="3"/>
        <v>0</v>
      </c>
      <c r="H21" s="992">
        <f t="shared" si="3"/>
        <v>0</v>
      </c>
    </row>
    <row r="22" spans="1:8" ht="12.75" customHeight="1">
      <c r="A22" s="985">
        <v>14</v>
      </c>
      <c r="B22" s="986" t="s">
        <v>1199</v>
      </c>
      <c r="C22" s="850">
        <v>0</v>
      </c>
      <c r="D22" s="29">
        <v>0</v>
      </c>
      <c r="E22" s="850">
        <v>0</v>
      </c>
      <c r="F22" s="29">
        <v>0</v>
      </c>
      <c r="G22" s="29">
        <v>0</v>
      </c>
      <c r="H22" s="242">
        <v>0</v>
      </c>
    </row>
    <row r="23" spans="1:8" ht="13.5" customHeight="1">
      <c r="A23" s="996">
        <v>15</v>
      </c>
      <c r="B23" s="997" t="s">
        <v>1200</v>
      </c>
      <c r="C23" s="998">
        <f aca="true" t="shared" si="4" ref="C23:H23">SUM(C17-C19-C20-C22)</f>
        <v>0</v>
      </c>
      <c r="D23" s="998">
        <f t="shared" si="4"/>
        <v>0</v>
      </c>
      <c r="E23" s="998">
        <f t="shared" si="4"/>
        <v>0</v>
      </c>
      <c r="F23" s="998">
        <f t="shared" si="4"/>
        <v>0</v>
      </c>
      <c r="G23" s="998">
        <f t="shared" si="4"/>
        <v>0</v>
      </c>
      <c r="H23" s="999">
        <f t="shared" si="4"/>
        <v>0</v>
      </c>
    </row>
  </sheetData>
  <sheetProtection selectLockedCells="1" selectUnlockedCells="1"/>
  <mergeCells count="3">
    <mergeCell ref="A1:B1"/>
    <mergeCell ref="A3:H3"/>
    <mergeCell ref="A4:H4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 scale="91"/>
  <headerFooter alignWithMargins="0">
    <oddHeader>&amp;L24.melléklet a 15/2012.(IV.27.)önkormányzati rendelethez</oddHeader>
  </headerFooter>
  <rowBreaks count="1" manualBreakCount="1">
    <brk id="2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C4" sqref="C4"/>
    </sheetView>
  </sheetViews>
  <sheetFormatPr defaultColWidth="9.00390625" defaultRowHeight="12.75"/>
  <cols>
    <col min="1" max="1" width="21.75390625" style="0" customWidth="1"/>
    <col min="2" max="5" width="14.375" style="211" customWidth="1"/>
    <col min="6" max="7" width="10.875" style="211" customWidth="1"/>
    <col min="8" max="8" width="13.125" style="211" customWidth="1"/>
    <col min="9" max="10" width="15.00390625" style="211" customWidth="1"/>
  </cols>
  <sheetData>
    <row r="1" spans="1:5" ht="15.75">
      <c r="A1" s="742" t="s">
        <v>1201</v>
      </c>
      <c r="B1" s="742"/>
      <c r="C1" s="742"/>
      <c r="D1" s="742"/>
      <c r="E1" s="742"/>
    </row>
    <row r="2" spans="1:5" ht="16.5">
      <c r="A2" s="591"/>
      <c r="B2" s="591"/>
      <c r="C2" s="591"/>
      <c r="D2" s="591"/>
      <c r="E2" s="591"/>
    </row>
    <row r="3" spans="1:5" ht="77.25">
      <c r="A3" s="632" t="s">
        <v>3</v>
      </c>
      <c r="B3" s="1000" t="s">
        <v>1202</v>
      </c>
      <c r="C3" s="1000" t="s">
        <v>1203</v>
      </c>
      <c r="D3" s="1000" t="s">
        <v>1204</v>
      </c>
      <c r="E3" s="1001" t="s">
        <v>184</v>
      </c>
    </row>
    <row r="4" spans="1:5" ht="51">
      <c r="A4" s="1002" t="s">
        <v>1205</v>
      </c>
      <c r="B4" s="1003">
        <v>460954</v>
      </c>
      <c r="C4" s="1003">
        <v>7251</v>
      </c>
      <c r="D4" s="1003">
        <v>44509</v>
      </c>
      <c r="E4" s="1004">
        <v>512714</v>
      </c>
    </row>
    <row r="5" spans="1:5" ht="25.5">
      <c r="A5" s="1002" t="s">
        <v>1206</v>
      </c>
      <c r="B5" s="1005">
        <v>411</v>
      </c>
      <c r="C5" s="1005">
        <v>0</v>
      </c>
      <c r="D5" s="1005">
        <v>133</v>
      </c>
      <c r="E5" s="1006">
        <v>544</v>
      </c>
    </row>
    <row r="6" spans="1:5" ht="12.75">
      <c r="A6" s="1007" t="s">
        <v>108</v>
      </c>
      <c r="B6" s="1008">
        <v>461365</v>
      </c>
      <c r="C6" s="1008">
        <v>7251</v>
      </c>
      <c r="D6" s="1008">
        <v>44642</v>
      </c>
      <c r="E6" s="1009">
        <v>513258</v>
      </c>
    </row>
    <row r="7" spans="1:5" ht="38.25" customHeight="1">
      <c r="A7" s="1002" t="s">
        <v>1207</v>
      </c>
      <c r="B7" s="1003">
        <v>31255</v>
      </c>
      <c r="C7" s="1005">
        <v>0</v>
      </c>
      <c r="D7" s="1003">
        <v>21151</v>
      </c>
      <c r="E7" s="1004">
        <v>52406</v>
      </c>
    </row>
    <row r="8" spans="1:5" ht="38.25">
      <c r="A8" s="1002" t="s">
        <v>1208</v>
      </c>
      <c r="B8" s="1003">
        <v>35457</v>
      </c>
      <c r="C8" s="1003">
        <v>21755</v>
      </c>
      <c r="D8" s="1003">
        <v>8909</v>
      </c>
      <c r="E8" s="1004">
        <v>66121</v>
      </c>
    </row>
    <row r="9" spans="1:5" ht="38.25">
      <c r="A9" s="1002" t="s">
        <v>1209</v>
      </c>
      <c r="B9" s="1005">
        <v>45</v>
      </c>
      <c r="C9" s="1005">
        <v>0</v>
      </c>
      <c r="D9" s="1005">
        <v>0</v>
      </c>
      <c r="E9" s="1006">
        <v>45</v>
      </c>
    </row>
    <row r="10" spans="1:5" ht="38.25">
      <c r="A10" s="1002" t="s">
        <v>1210</v>
      </c>
      <c r="B10" s="1010">
        <v>66757</v>
      </c>
      <c r="C10" s="1010">
        <v>21755</v>
      </c>
      <c r="D10" s="1010">
        <v>30060</v>
      </c>
      <c r="E10" s="1011">
        <v>118572</v>
      </c>
    </row>
    <row r="11" spans="1:5" ht="38.25">
      <c r="A11" s="1002" t="s">
        <v>1211</v>
      </c>
      <c r="B11" s="1003">
        <v>10708</v>
      </c>
      <c r="C11" s="1005">
        <v>0</v>
      </c>
      <c r="D11" s="1003">
        <v>26415</v>
      </c>
      <c r="E11" s="1004">
        <v>37123</v>
      </c>
    </row>
    <row r="12" spans="1:5" ht="38.25">
      <c r="A12" s="1002" t="s">
        <v>1212</v>
      </c>
      <c r="B12" s="1003">
        <v>74680</v>
      </c>
      <c r="C12" s="1005">
        <v>0</v>
      </c>
      <c r="D12" s="1005">
        <v>0</v>
      </c>
      <c r="E12" s="1004">
        <v>74680</v>
      </c>
    </row>
    <row r="13" spans="1:5" ht="38.25">
      <c r="A13" s="1012" t="s">
        <v>1213</v>
      </c>
      <c r="B13" s="1010">
        <v>85388</v>
      </c>
      <c r="C13" s="1013">
        <v>0</v>
      </c>
      <c r="D13" s="1010">
        <v>26415</v>
      </c>
      <c r="E13" s="1011">
        <v>111803</v>
      </c>
    </row>
    <row r="14" spans="1:5" ht="38.25">
      <c r="A14" s="1014" t="s">
        <v>1214</v>
      </c>
      <c r="B14" s="1008">
        <v>-18631</v>
      </c>
      <c r="C14" s="1008">
        <v>21755</v>
      </c>
      <c r="D14" s="1008">
        <v>3645</v>
      </c>
      <c r="E14" s="1009">
        <v>6769</v>
      </c>
    </row>
    <row r="15" spans="1:5" ht="25.5">
      <c r="A15" s="1014" t="s">
        <v>1215</v>
      </c>
      <c r="B15" s="1008">
        <v>442734</v>
      </c>
      <c r="C15" s="1008">
        <v>29006</v>
      </c>
      <c r="D15" s="1008">
        <v>48287</v>
      </c>
      <c r="E15" s="1009">
        <v>520027</v>
      </c>
    </row>
    <row r="16" spans="1:5" ht="38.25">
      <c r="A16" s="1002" t="s">
        <v>1216</v>
      </c>
      <c r="B16" s="1005">
        <v>448</v>
      </c>
      <c r="C16" s="1005">
        <v>0</v>
      </c>
      <c r="D16" s="1005">
        <v>-448</v>
      </c>
      <c r="E16" s="1006">
        <v>0</v>
      </c>
    </row>
    <row r="17" spans="1:5" ht="38.25">
      <c r="A17" s="1002" t="s">
        <v>1217</v>
      </c>
      <c r="B17" s="1003">
        <v>-18926</v>
      </c>
      <c r="C17" s="1003">
        <v>18926</v>
      </c>
      <c r="D17" s="1005">
        <v>0</v>
      </c>
      <c r="E17" s="1006">
        <v>0</v>
      </c>
    </row>
    <row r="18" spans="1:5" ht="25.5">
      <c r="A18" s="1002" t="s">
        <v>1218</v>
      </c>
      <c r="B18" s="1015">
        <v>31086</v>
      </c>
      <c r="C18" s="1016">
        <v>0</v>
      </c>
      <c r="D18" s="1016">
        <v>0</v>
      </c>
      <c r="E18" s="1006">
        <v>31086</v>
      </c>
    </row>
    <row r="19" spans="1:5" ht="25.5">
      <c r="A19" s="1014" t="s">
        <v>1219</v>
      </c>
      <c r="B19" s="1008">
        <v>12608</v>
      </c>
      <c r="C19" s="1008">
        <v>18926</v>
      </c>
      <c r="D19" s="1017">
        <v>-448</v>
      </c>
      <c r="E19" s="1006">
        <v>31086</v>
      </c>
    </row>
    <row r="20" spans="1:5" ht="25.5">
      <c r="A20" s="1014" t="s">
        <v>1220</v>
      </c>
      <c r="B20" s="1008">
        <v>7021</v>
      </c>
      <c r="C20" s="1008">
        <v>-6926</v>
      </c>
      <c r="D20" s="1017">
        <v>-95</v>
      </c>
      <c r="E20" s="1018">
        <v>0</v>
      </c>
    </row>
    <row r="21" spans="1:5" ht="25.5">
      <c r="A21" s="1014" t="s">
        <v>1221</v>
      </c>
      <c r="B21" s="1008">
        <v>462363</v>
      </c>
      <c r="C21" s="1008">
        <v>41006</v>
      </c>
      <c r="D21" s="1008">
        <v>47744</v>
      </c>
      <c r="E21" s="1009">
        <v>551113</v>
      </c>
    </row>
    <row r="22" spans="1:5" ht="25.5">
      <c r="A22" s="1014" t="s">
        <v>1222</v>
      </c>
      <c r="B22" s="1008">
        <v>462363</v>
      </c>
      <c r="C22" s="1008">
        <v>41006</v>
      </c>
      <c r="D22" s="1008">
        <v>47744</v>
      </c>
      <c r="E22" s="1009">
        <v>551113</v>
      </c>
    </row>
    <row r="23" spans="1:5" ht="25.5">
      <c r="A23" s="1014" t="s">
        <v>1223</v>
      </c>
      <c r="B23" s="1003">
        <v>390524</v>
      </c>
      <c r="C23" s="1003">
        <v>41006</v>
      </c>
      <c r="D23" s="1003">
        <v>47744</v>
      </c>
      <c r="E23" s="1004">
        <v>479274</v>
      </c>
    </row>
    <row r="24" spans="1:5" ht="38.25">
      <c r="A24" s="1002" t="s">
        <v>1224</v>
      </c>
      <c r="B24" s="1003">
        <v>90524</v>
      </c>
      <c r="C24" s="1003">
        <v>41006</v>
      </c>
      <c r="D24" s="1003">
        <v>47166</v>
      </c>
      <c r="E24" s="1004">
        <v>178696</v>
      </c>
    </row>
    <row r="25" spans="1:5" ht="38.25">
      <c r="A25" s="1002" t="s">
        <v>1225</v>
      </c>
      <c r="B25" s="1003">
        <v>300000</v>
      </c>
      <c r="C25" s="1005">
        <v>0</v>
      </c>
      <c r="D25" s="1005">
        <v>578</v>
      </c>
      <c r="E25" s="1004">
        <v>300578</v>
      </c>
    </row>
    <row r="26" spans="1:5" ht="13.5">
      <c r="A26" s="1019" t="s">
        <v>1226</v>
      </c>
      <c r="B26" s="1020">
        <v>71839</v>
      </c>
      <c r="C26" s="1021">
        <v>0</v>
      </c>
      <c r="D26" s="1021">
        <v>0</v>
      </c>
      <c r="E26" s="1022">
        <v>71839</v>
      </c>
    </row>
  </sheetData>
  <sheetProtection selectLockedCells="1" selectUnlockedCells="1"/>
  <mergeCells count="1">
    <mergeCell ref="A1:E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75"/>
  <headerFooter alignWithMargins="0">
    <oddHeader>&amp;L25.melléklet a 15/2012.(IV.27.)önkormányzati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J27"/>
  <sheetViews>
    <sheetView zoomScaleSheetLayoutView="100" workbookViewId="0" topLeftCell="A1">
      <selection activeCell="I9" sqref="I9"/>
    </sheetView>
  </sheetViews>
  <sheetFormatPr defaultColWidth="9.00390625" defaultRowHeight="12.75"/>
  <cols>
    <col min="1" max="1" width="18.875" style="0" customWidth="1"/>
    <col min="2" max="2" width="13.375" style="0" customWidth="1"/>
    <col min="3" max="3" width="13.125" style="0" customWidth="1"/>
    <col min="7" max="7" width="10.375" style="0" customWidth="1"/>
    <col min="8" max="8" width="11.875" style="0" customWidth="1"/>
    <col min="9" max="9" width="14.875" style="0" customWidth="1"/>
    <col min="10" max="10" width="13.125" style="0" customWidth="1"/>
  </cols>
  <sheetData>
    <row r="3" spans="1:10" ht="15.75" customHeight="1">
      <c r="A3" s="742" t="s">
        <v>1227</v>
      </c>
      <c r="B3" s="742"/>
      <c r="C3" s="742"/>
      <c r="D3" s="742"/>
      <c r="E3" s="742"/>
      <c r="F3" s="742"/>
      <c r="G3" s="742"/>
      <c r="H3" s="742"/>
      <c r="I3" s="742"/>
      <c r="J3" s="742"/>
    </row>
    <row r="4" spans="1:10" ht="16.5">
      <c r="A4" s="748"/>
      <c r="B4" s="1023"/>
      <c r="C4" s="1023"/>
      <c r="D4" s="1023"/>
      <c r="E4" s="1023"/>
      <c r="F4" s="1023"/>
      <c r="G4" s="1023"/>
      <c r="H4" s="788"/>
      <c r="I4" s="788"/>
      <c r="J4" s="788"/>
    </row>
    <row r="5" spans="1:10" ht="52.5" customHeight="1">
      <c r="A5" s="595" t="s">
        <v>3</v>
      </c>
      <c r="B5" s="509" t="s">
        <v>1228</v>
      </c>
      <c r="C5" s="509" t="s">
        <v>11</v>
      </c>
      <c r="D5" s="509" t="s">
        <v>1229</v>
      </c>
      <c r="E5" s="509"/>
      <c r="F5" s="509"/>
      <c r="G5" s="1024" t="s">
        <v>184</v>
      </c>
      <c r="H5" s="509" t="s">
        <v>12</v>
      </c>
      <c r="I5" s="509" t="s">
        <v>1230</v>
      </c>
      <c r="J5" s="1025" t="s">
        <v>433</v>
      </c>
    </row>
    <row r="6" spans="1:10" ht="12.75">
      <c r="A6" s="595"/>
      <c r="B6" s="509"/>
      <c r="C6" s="509"/>
      <c r="D6" s="1026" t="s">
        <v>1231</v>
      </c>
      <c r="E6" s="1026" t="s">
        <v>1232</v>
      </c>
      <c r="F6" s="1026" t="s">
        <v>1233</v>
      </c>
      <c r="G6" s="1024"/>
      <c r="H6" s="509"/>
      <c r="I6" s="509"/>
      <c r="J6" s="1025"/>
    </row>
    <row r="7" spans="1:10" ht="38.25" customHeight="1">
      <c r="A7" s="1027" t="s">
        <v>1234</v>
      </c>
      <c r="B7" s="638"/>
      <c r="C7" s="638">
        <v>462159</v>
      </c>
      <c r="D7" s="638">
        <v>89</v>
      </c>
      <c r="E7" s="638">
        <v>87</v>
      </c>
      <c r="F7" s="638">
        <v>28</v>
      </c>
      <c r="G7" s="638">
        <f>SUM(C7:F7)</f>
        <v>462363</v>
      </c>
      <c r="H7" s="638">
        <v>41006</v>
      </c>
      <c r="I7" s="638">
        <v>47744</v>
      </c>
      <c r="J7" s="639">
        <f>SUM(G7:I7)</f>
        <v>551113</v>
      </c>
    </row>
    <row r="8" spans="1:10" ht="32.25" customHeight="1">
      <c r="A8" s="1028" t="s">
        <v>1235</v>
      </c>
      <c r="B8" s="1029">
        <v>390428</v>
      </c>
      <c r="C8" s="1029"/>
      <c r="D8" s="1029"/>
      <c r="E8" s="1029"/>
      <c r="F8" s="1029"/>
      <c r="G8" s="1029">
        <v>390428</v>
      </c>
      <c r="H8" s="1029"/>
      <c r="I8" s="1029"/>
      <c r="J8" s="1030">
        <v>390428</v>
      </c>
    </row>
    <row r="9" spans="1:10" ht="12.75">
      <c r="A9" s="634"/>
      <c r="B9" s="414"/>
      <c r="C9" s="414"/>
      <c r="D9" s="414"/>
      <c r="E9" s="414"/>
      <c r="F9" s="414"/>
      <c r="G9" s="414"/>
      <c r="H9" s="414"/>
      <c r="I9" s="414"/>
      <c r="J9" s="636"/>
    </row>
    <row r="10" spans="1:10" ht="13.5" customHeight="1">
      <c r="A10" s="1027" t="s">
        <v>1236</v>
      </c>
      <c r="B10" s="638">
        <v>1464</v>
      </c>
      <c r="C10" s="638">
        <v>7329</v>
      </c>
      <c r="D10" s="638"/>
      <c r="E10" s="638"/>
      <c r="F10" s="638"/>
      <c r="G10" s="638">
        <f>SUM(B10:C10)</f>
        <v>8793</v>
      </c>
      <c r="H10" s="638">
        <v>3791</v>
      </c>
      <c r="I10" s="638">
        <v>6075</v>
      </c>
      <c r="J10" s="639">
        <f>SUM(G10:I10)</f>
        <v>18659</v>
      </c>
    </row>
    <row r="11" spans="1:10" ht="13.5">
      <c r="A11" s="1028" t="s">
        <v>17</v>
      </c>
      <c r="B11" s="638">
        <v>356</v>
      </c>
      <c r="C11" s="638">
        <v>1978</v>
      </c>
      <c r="D11" s="638"/>
      <c r="E11" s="638"/>
      <c r="F11" s="638"/>
      <c r="G11" s="638">
        <f>SUM(B11:C11)</f>
        <v>2334</v>
      </c>
      <c r="H11" s="638">
        <v>1024</v>
      </c>
      <c r="I11" s="638">
        <v>1640</v>
      </c>
      <c r="J11" s="639">
        <f>SUM(G11:I11)</f>
        <v>4998</v>
      </c>
    </row>
    <row r="12" spans="1:10" ht="13.5">
      <c r="A12" s="1028" t="s">
        <v>378</v>
      </c>
      <c r="B12" s="638"/>
      <c r="C12" s="638"/>
      <c r="D12" s="638"/>
      <c r="E12" s="638"/>
      <c r="F12" s="638"/>
      <c r="G12" s="638"/>
      <c r="H12" s="638">
        <v>36028</v>
      </c>
      <c r="I12" s="638">
        <v>40029</v>
      </c>
      <c r="J12" s="639">
        <f>SUM(H12:I12)</f>
        <v>76057</v>
      </c>
    </row>
    <row r="13" spans="1:10" ht="13.5">
      <c r="A13" s="1028" t="s">
        <v>1237</v>
      </c>
      <c r="B13" s="638">
        <f>SUM(B14:B15)</f>
        <v>38589</v>
      </c>
      <c r="C13" s="638"/>
      <c r="D13" s="638"/>
      <c r="E13" s="638"/>
      <c r="F13" s="638"/>
      <c r="G13" s="638">
        <v>38589</v>
      </c>
      <c r="H13" s="638"/>
      <c r="I13" s="638"/>
      <c r="J13" s="639">
        <v>38589</v>
      </c>
    </row>
    <row r="14" spans="1:10" ht="15" customHeight="1">
      <c r="A14" s="1031" t="s">
        <v>77</v>
      </c>
      <c r="B14" s="414">
        <v>7503</v>
      </c>
      <c r="C14" s="414"/>
      <c r="D14" s="414"/>
      <c r="E14" s="414"/>
      <c r="F14" s="414"/>
      <c r="G14" s="414">
        <v>7503</v>
      </c>
      <c r="H14" s="414"/>
      <c r="I14" s="414"/>
      <c r="J14" s="636">
        <v>7503</v>
      </c>
    </row>
    <row r="15" spans="1:10" ht="78.75" customHeight="1">
      <c r="A15" s="1031" t="s">
        <v>1238</v>
      </c>
      <c r="B15" s="414">
        <v>31086</v>
      </c>
      <c r="C15" s="414"/>
      <c r="D15" s="414"/>
      <c r="E15" s="414"/>
      <c r="F15" s="414"/>
      <c r="G15" s="414">
        <v>31086</v>
      </c>
      <c r="H15" s="414"/>
      <c r="I15" s="414"/>
      <c r="J15" s="636">
        <v>31086</v>
      </c>
    </row>
    <row r="16" spans="1:10" ht="15" customHeight="1">
      <c r="A16" s="1028" t="s">
        <v>156</v>
      </c>
      <c r="B16" s="638">
        <f>SUM(B18:B22)</f>
        <v>22219</v>
      </c>
      <c r="C16" s="638"/>
      <c r="D16" s="638"/>
      <c r="E16" s="638"/>
      <c r="F16" s="638"/>
      <c r="G16" s="638">
        <v>22219</v>
      </c>
      <c r="H16" s="638">
        <v>163</v>
      </c>
      <c r="I16" s="638"/>
      <c r="J16" s="639">
        <v>22219</v>
      </c>
    </row>
    <row r="17" spans="1:10" ht="31.5" customHeight="1">
      <c r="A17" s="605" t="s">
        <v>1239</v>
      </c>
      <c r="B17" s="414"/>
      <c r="C17" s="414"/>
      <c r="D17" s="414"/>
      <c r="E17" s="414"/>
      <c r="F17" s="414"/>
      <c r="G17" s="414"/>
      <c r="H17" s="414"/>
      <c r="I17" s="414"/>
      <c r="J17" s="636"/>
    </row>
    <row r="18" spans="1:10" ht="30" customHeight="1">
      <c r="A18" s="1031" t="s">
        <v>659</v>
      </c>
      <c r="B18" s="414">
        <v>1193</v>
      </c>
      <c r="C18" s="414"/>
      <c r="D18" s="414"/>
      <c r="E18" s="414"/>
      <c r="F18" s="414"/>
      <c r="G18" s="414">
        <v>1193</v>
      </c>
      <c r="H18" s="414"/>
      <c r="I18" s="414"/>
      <c r="J18" s="636">
        <v>1193</v>
      </c>
    </row>
    <row r="19" spans="1:10" ht="32.25" customHeight="1">
      <c r="A19" s="1031" t="s">
        <v>1240</v>
      </c>
      <c r="B19" s="414">
        <v>9238</v>
      </c>
      <c r="C19" s="414"/>
      <c r="D19" s="414"/>
      <c r="E19" s="414"/>
      <c r="F19" s="414"/>
      <c r="G19" s="414">
        <v>9238</v>
      </c>
      <c r="H19" s="414"/>
      <c r="I19" s="414"/>
      <c r="J19" s="636">
        <v>9238</v>
      </c>
    </row>
    <row r="20" spans="1:10" ht="30" customHeight="1">
      <c r="A20" s="1031" t="s">
        <v>1241</v>
      </c>
      <c r="B20" s="414">
        <v>10035</v>
      </c>
      <c r="C20" s="414"/>
      <c r="D20" s="414"/>
      <c r="E20" s="414"/>
      <c r="F20" s="414"/>
      <c r="G20" s="414">
        <v>10035</v>
      </c>
      <c r="H20" s="414"/>
      <c r="I20" s="414"/>
      <c r="J20" s="636">
        <v>10035</v>
      </c>
    </row>
    <row r="21" spans="1:10" ht="12.75">
      <c r="A21" s="1032" t="s">
        <v>1242</v>
      </c>
      <c r="B21" s="414"/>
      <c r="C21" s="414"/>
      <c r="D21" s="414"/>
      <c r="E21" s="414"/>
      <c r="F21" s="414"/>
      <c r="G21" s="414"/>
      <c r="H21" s="414">
        <v>163</v>
      </c>
      <c r="I21" s="414"/>
      <c r="J21" s="636"/>
    </row>
    <row r="22" spans="1:10" ht="25.5">
      <c r="A22" s="1031" t="s">
        <v>1243</v>
      </c>
      <c r="B22" s="414">
        <v>1753</v>
      </c>
      <c r="C22" s="414"/>
      <c r="D22" s="414"/>
      <c r="E22" s="414"/>
      <c r="F22" s="414"/>
      <c r="G22" s="414">
        <v>1753</v>
      </c>
      <c r="H22" s="414"/>
      <c r="I22" s="414"/>
      <c r="J22" s="636">
        <v>1753</v>
      </c>
    </row>
    <row r="23" spans="1:10" ht="12.75">
      <c r="A23" s="1031"/>
      <c r="B23" s="414"/>
      <c r="C23" s="414"/>
      <c r="D23" s="414"/>
      <c r="E23" s="414"/>
      <c r="F23" s="414"/>
      <c r="G23" s="414"/>
      <c r="H23" s="414"/>
      <c r="I23" s="414"/>
      <c r="J23" s="636"/>
    </row>
    <row r="24" spans="1:10" ht="13.5" customHeight="1">
      <c r="A24" s="1028" t="s">
        <v>1244</v>
      </c>
      <c r="B24" s="1029">
        <f>SUM(B10:B13,B16)</f>
        <v>62628</v>
      </c>
      <c r="C24" s="1029">
        <f>SUM(C10:C11)</f>
        <v>9307</v>
      </c>
      <c r="D24" s="1029"/>
      <c r="E24" s="1029"/>
      <c r="F24" s="1029"/>
      <c r="G24" s="1029">
        <f>SUM(G10:G13,G16)</f>
        <v>71935</v>
      </c>
      <c r="H24" s="1029">
        <f>SUM(H10:H16)</f>
        <v>41006</v>
      </c>
      <c r="I24" s="1029">
        <f>SUM(I10:I12)</f>
        <v>47744</v>
      </c>
      <c r="J24" s="1030">
        <f>SUM(G24:I24)</f>
        <v>160685</v>
      </c>
    </row>
    <row r="25" spans="1:10" ht="22.5" customHeight="1">
      <c r="A25" s="1027" t="s">
        <v>1245</v>
      </c>
      <c r="B25" s="638">
        <f>SUM(B8,B24)</f>
        <v>453056</v>
      </c>
      <c r="C25" s="638">
        <v>9103</v>
      </c>
      <c r="D25" s="638">
        <v>89</v>
      </c>
      <c r="E25" s="638">
        <v>87</v>
      </c>
      <c r="F25" s="638">
        <v>28</v>
      </c>
      <c r="G25" s="638">
        <f>SUM(G8,G24)</f>
        <v>462363</v>
      </c>
      <c r="H25" s="638">
        <v>41006</v>
      </c>
      <c r="I25" s="638">
        <v>47744</v>
      </c>
      <c r="J25" s="639">
        <f>SUM(G25:I25)</f>
        <v>551113</v>
      </c>
    </row>
    <row r="26" spans="1:10" ht="12.75">
      <c r="A26" s="634" t="s">
        <v>249</v>
      </c>
      <c r="B26" s="414">
        <v>123334</v>
      </c>
      <c r="C26" s="414">
        <v>9103</v>
      </c>
      <c r="D26" s="414">
        <v>89</v>
      </c>
      <c r="E26" s="414">
        <v>87</v>
      </c>
      <c r="F26" s="414">
        <v>28</v>
      </c>
      <c r="G26" s="414">
        <f>SUM(B26:F26)</f>
        <v>132641</v>
      </c>
      <c r="H26" s="414">
        <v>40843</v>
      </c>
      <c r="I26" s="414">
        <v>47744</v>
      </c>
      <c r="J26" s="636">
        <f>SUM(H26:I26)</f>
        <v>88587</v>
      </c>
    </row>
    <row r="27" spans="1:10" ht="13.5">
      <c r="A27" s="1033" t="s">
        <v>250</v>
      </c>
      <c r="B27" s="1034">
        <v>329722</v>
      </c>
      <c r="C27" s="1034"/>
      <c r="D27" s="1034"/>
      <c r="E27" s="1034"/>
      <c r="F27" s="1034"/>
      <c r="G27" s="1034">
        <v>329722</v>
      </c>
      <c r="H27" s="1034">
        <v>163</v>
      </c>
      <c r="I27" s="1034"/>
      <c r="J27" s="1035">
        <f>SUM(G27:I27)</f>
        <v>329885</v>
      </c>
    </row>
  </sheetData>
  <sheetProtection selectLockedCells="1" selectUnlockedCells="1"/>
  <mergeCells count="9">
    <mergeCell ref="A3:J3"/>
    <mergeCell ref="A5:A6"/>
    <mergeCell ref="B5:B6"/>
    <mergeCell ref="C5:C6"/>
    <mergeCell ref="D5:F5"/>
    <mergeCell ref="G5:G6"/>
    <mergeCell ref="H5:H6"/>
    <mergeCell ref="I5:I6"/>
    <mergeCell ref="J5:J6"/>
  </mergeCells>
  <printOptions horizontalCentered="1"/>
  <pageMargins left="0.7875" right="0.7875" top="0.39375" bottom="0.9840277777777777" header="0.39375" footer="0.5118055555555555"/>
  <pageSetup horizontalDpi="300" verticalDpi="300" orientation="landscape" paperSize="9" scale="75"/>
  <headerFooter alignWithMargins="0">
    <oddHeader>&amp;L26.melléklet a 15/2012.(IV.27.)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C4:G4"/>
  <sheetViews>
    <sheetView workbookViewId="0" topLeftCell="A1">
      <selection activeCell="C4" sqref="C4"/>
    </sheetView>
  </sheetViews>
  <sheetFormatPr defaultColWidth="9.00390625" defaultRowHeight="12.75"/>
  <sheetData>
    <row r="4" spans="3:7" ht="12.75">
      <c r="C4" s="412" t="s">
        <v>1246</v>
      </c>
      <c r="D4" s="412"/>
      <c r="E4" s="412"/>
      <c r="F4" s="412"/>
      <c r="G4" s="412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&amp;L27.melléklet a...(...)önkormányzati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4:G4"/>
  <sheetViews>
    <sheetView tabSelected="1" workbookViewId="0" topLeftCell="A1">
      <selection activeCell="B4" sqref="B4"/>
    </sheetView>
  </sheetViews>
  <sheetFormatPr defaultColWidth="9.00390625" defaultRowHeight="12.75"/>
  <sheetData>
    <row r="4" spans="2:7" ht="12.75">
      <c r="B4" s="629" t="s">
        <v>1247</v>
      </c>
      <c r="C4" s="629"/>
      <c r="D4" s="629"/>
      <c r="E4" s="629"/>
      <c r="F4" s="629"/>
      <c r="G4" s="20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SheetLayoutView="100" workbookViewId="0" topLeftCell="A1">
      <selection activeCell="A35" sqref="A35"/>
    </sheetView>
  </sheetViews>
  <sheetFormatPr defaultColWidth="9.00390625" defaultRowHeight="12.75"/>
  <cols>
    <col min="1" max="1" width="49.625" style="0" customWidth="1"/>
    <col min="2" max="13" width="11.75390625" style="0" customWidth="1"/>
  </cols>
  <sheetData>
    <row r="1" spans="1:13" ht="12.75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  <c r="M1" s="180"/>
    </row>
    <row r="2" spans="1:13" ht="14.25">
      <c r="A2" s="181" t="s">
        <v>182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3"/>
      <c r="L3" s="184"/>
      <c r="M3" s="185"/>
    </row>
    <row r="4" spans="1:13" ht="54.75" customHeight="1">
      <c r="A4" s="186" t="s">
        <v>183</v>
      </c>
      <c r="B4" s="187" t="s">
        <v>11</v>
      </c>
      <c r="C4" s="187"/>
      <c r="D4" s="187"/>
      <c r="E4" s="188" t="s">
        <v>12</v>
      </c>
      <c r="F4" s="188"/>
      <c r="G4" s="188"/>
      <c r="H4" s="188" t="s">
        <v>14</v>
      </c>
      <c r="I4" s="188"/>
      <c r="J4" s="188"/>
      <c r="K4" s="189" t="s">
        <v>184</v>
      </c>
      <c r="L4" s="189"/>
      <c r="M4" s="189"/>
    </row>
    <row r="5" spans="1:13" ht="24.75" customHeight="1">
      <c r="A5" s="186"/>
      <c r="B5" s="12" t="s">
        <v>4</v>
      </c>
      <c r="C5" s="190" t="s">
        <v>5</v>
      </c>
      <c r="D5" s="190" t="s">
        <v>6</v>
      </c>
      <c r="E5" s="12" t="s">
        <v>4</v>
      </c>
      <c r="F5" s="190" t="s">
        <v>5</v>
      </c>
      <c r="G5" s="190" t="s">
        <v>6</v>
      </c>
      <c r="H5" s="12" t="s">
        <v>4</v>
      </c>
      <c r="I5" s="190" t="s">
        <v>5</v>
      </c>
      <c r="J5" s="190" t="s">
        <v>6</v>
      </c>
      <c r="K5" s="12" t="s">
        <v>8</v>
      </c>
      <c r="L5" s="190" t="s">
        <v>5</v>
      </c>
      <c r="M5" s="191" t="s">
        <v>6</v>
      </c>
    </row>
    <row r="6" spans="1:13" s="195" customFormat="1" ht="12.75" customHeight="1">
      <c r="A6" s="192" t="s">
        <v>9</v>
      </c>
      <c r="B6" s="193">
        <f>SUM(B7:B10)</f>
        <v>81733</v>
      </c>
      <c r="C6" s="193">
        <f>SUM(C7:C10)</f>
        <v>194264</v>
      </c>
      <c r="D6" s="193">
        <v>196348</v>
      </c>
      <c r="E6" s="193">
        <f>SUM(E7:E10)</f>
        <v>139819</v>
      </c>
      <c r="F6" s="193">
        <f>SUM(F7:F10)</f>
        <v>156408</v>
      </c>
      <c r="G6" s="193">
        <v>156766</v>
      </c>
      <c r="H6" s="193">
        <f>SUM(H7:H10)</f>
        <v>6900</v>
      </c>
      <c r="I6" s="193">
        <f>SUM(I7:I10)</f>
        <v>12468</v>
      </c>
      <c r="J6" s="193">
        <v>12469</v>
      </c>
      <c r="K6" s="193">
        <f aca="true" t="shared" si="0" ref="K6:M10">SUM(B6+E6+H6)</f>
        <v>228452</v>
      </c>
      <c r="L6" s="193">
        <f t="shared" si="0"/>
        <v>363140</v>
      </c>
      <c r="M6" s="194">
        <f t="shared" si="0"/>
        <v>365583</v>
      </c>
    </row>
    <row r="7" spans="1:13" ht="12.75" customHeight="1">
      <c r="A7" s="45" t="s">
        <v>185</v>
      </c>
      <c r="B7" s="196">
        <v>8000</v>
      </c>
      <c r="C7" s="196">
        <v>8000</v>
      </c>
      <c r="D7" s="196">
        <v>8306</v>
      </c>
      <c r="E7" s="196"/>
      <c r="F7" s="196"/>
      <c r="G7" s="196"/>
      <c r="H7" s="196"/>
      <c r="I7" s="196"/>
      <c r="J7" s="196"/>
      <c r="K7" s="197">
        <f t="shared" si="0"/>
        <v>8000</v>
      </c>
      <c r="L7" s="193">
        <f t="shared" si="0"/>
        <v>8000</v>
      </c>
      <c r="M7" s="198">
        <f t="shared" si="0"/>
        <v>8306</v>
      </c>
    </row>
    <row r="8" spans="1:13" ht="25.5">
      <c r="A8" s="199" t="s">
        <v>186</v>
      </c>
      <c r="B8" s="196">
        <v>19031</v>
      </c>
      <c r="C8" s="196">
        <v>67884</v>
      </c>
      <c r="D8" s="196">
        <v>69540</v>
      </c>
      <c r="E8" s="196">
        <v>111304</v>
      </c>
      <c r="F8" s="196">
        <v>120682</v>
      </c>
      <c r="G8" s="196">
        <v>119626</v>
      </c>
      <c r="H8" s="196">
        <v>6350</v>
      </c>
      <c r="I8" s="196">
        <v>10002</v>
      </c>
      <c r="J8" s="196">
        <v>10003</v>
      </c>
      <c r="K8" s="197">
        <f t="shared" si="0"/>
        <v>136685</v>
      </c>
      <c r="L8" s="193">
        <f t="shared" si="0"/>
        <v>198568</v>
      </c>
      <c r="M8" s="198">
        <f t="shared" si="0"/>
        <v>199169</v>
      </c>
    </row>
    <row r="9" spans="1:13" ht="12.75" customHeight="1">
      <c r="A9" s="45" t="s">
        <v>187</v>
      </c>
      <c r="B9" s="196">
        <v>33839</v>
      </c>
      <c r="C9" s="196">
        <v>91026</v>
      </c>
      <c r="D9" s="196">
        <v>86276</v>
      </c>
      <c r="E9" s="196">
        <v>28515</v>
      </c>
      <c r="F9" s="196">
        <v>35726</v>
      </c>
      <c r="G9" s="196">
        <v>37140</v>
      </c>
      <c r="H9" s="196">
        <v>50</v>
      </c>
      <c r="I9" s="196">
        <v>223</v>
      </c>
      <c r="J9" s="196">
        <v>222</v>
      </c>
      <c r="K9" s="197">
        <f t="shared" si="0"/>
        <v>62404</v>
      </c>
      <c r="L9" s="193">
        <f t="shared" si="0"/>
        <v>126975</v>
      </c>
      <c r="M9" s="198">
        <f t="shared" si="0"/>
        <v>123638</v>
      </c>
    </row>
    <row r="10" spans="1:13" ht="12.75" customHeight="1">
      <c r="A10" s="45" t="s">
        <v>188</v>
      </c>
      <c r="B10" s="196">
        <v>20863</v>
      </c>
      <c r="C10" s="196">
        <v>27354</v>
      </c>
      <c r="D10" s="196">
        <v>32226</v>
      </c>
      <c r="E10" s="196"/>
      <c r="F10" s="196"/>
      <c r="G10" s="196"/>
      <c r="H10" s="196">
        <v>500</v>
      </c>
      <c r="I10" s="196">
        <v>2243</v>
      </c>
      <c r="J10" s="196">
        <v>2244</v>
      </c>
      <c r="K10" s="197">
        <f t="shared" si="0"/>
        <v>21363</v>
      </c>
      <c r="L10" s="193">
        <f t="shared" si="0"/>
        <v>29597</v>
      </c>
      <c r="M10" s="198">
        <f t="shared" si="0"/>
        <v>34470</v>
      </c>
    </row>
    <row r="11" spans="1:15" s="200" customFormat="1" ht="12.75" customHeight="1">
      <c r="A11" s="43" t="s">
        <v>111</v>
      </c>
      <c r="B11" s="197">
        <f aca="true" t="shared" si="1" ref="B11:M11">SUM(B12,B19,B23,B24,B25,B26)</f>
        <v>1949303</v>
      </c>
      <c r="C11" s="197">
        <f t="shared" si="1"/>
        <v>1960480</v>
      </c>
      <c r="D11" s="197">
        <f t="shared" si="1"/>
        <v>1966393</v>
      </c>
      <c r="E11" s="197">
        <f t="shared" si="1"/>
        <v>0</v>
      </c>
      <c r="F11" s="197">
        <f t="shared" si="1"/>
        <v>0</v>
      </c>
      <c r="G11" s="197">
        <f t="shared" si="1"/>
        <v>0</v>
      </c>
      <c r="H11" s="197">
        <f t="shared" si="1"/>
        <v>0</v>
      </c>
      <c r="I11" s="197">
        <f t="shared" si="1"/>
        <v>0</v>
      </c>
      <c r="J11" s="197">
        <f t="shared" si="1"/>
        <v>0</v>
      </c>
      <c r="K11" s="197">
        <f t="shared" si="1"/>
        <v>1949303</v>
      </c>
      <c r="L11" s="197">
        <f t="shared" si="1"/>
        <v>1960480</v>
      </c>
      <c r="M11" s="194">
        <f t="shared" si="1"/>
        <v>1966393</v>
      </c>
      <c r="O11" s="201"/>
    </row>
    <row r="12" spans="1:13" ht="12.75" customHeight="1">
      <c r="A12" s="45" t="s">
        <v>19</v>
      </c>
      <c r="B12" s="196">
        <f>SUM(B13:B18)</f>
        <v>1186500</v>
      </c>
      <c r="C12" s="196">
        <f>SUM(C13:C18)</f>
        <v>1196647</v>
      </c>
      <c r="D12" s="196">
        <v>1184612</v>
      </c>
      <c r="E12" s="196"/>
      <c r="F12" s="196"/>
      <c r="G12" s="196"/>
      <c r="H12" s="196"/>
      <c r="I12" s="196"/>
      <c r="J12" s="196"/>
      <c r="K12" s="197">
        <f aca="true" t="shared" si="2" ref="K12:K26">SUM(B12+E12+H12)</f>
        <v>1186500</v>
      </c>
      <c r="L12" s="193">
        <f aca="true" t="shared" si="3" ref="L12:L26">SUM(C12+F12+I12)</f>
        <v>1196647</v>
      </c>
      <c r="M12" s="198">
        <f aca="true" t="shared" si="4" ref="M12:M26">SUM(D12+G12+J12)</f>
        <v>1184612</v>
      </c>
    </row>
    <row r="13" spans="1:13" ht="12.75" customHeight="1">
      <c r="A13" s="202" t="s">
        <v>189</v>
      </c>
      <c r="B13" s="203">
        <v>195000</v>
      </c>
      <c r="C13" s="203">
        <v>203528</v>
      </c>
      <c r="D13" s="203">
        <v>216224</v>
      </c>
      <c r="E13" s="203"/>
      <c r="F13" s="203"/>
      <c r="G13" s="203"/>
      <c r="H13" s="203"/>
      <c r="I13" s="203"/>
      <c r="J13" s="203"/>
      <c r="K13" s="197">
        <f t="shared" si="2"/>
        <v>195000</v>
      </c>
      <c r="L13" s="193">
        <f t="shared" si="3"/>
        <v>203528</v>
      </c>
      <c r="M13" s="198">
        <f t="shared" si="4"/>
        <v>216224</v>
      </c>
    </row>
    <row r="14" spans="1:13" ht="12.75" customHeight="1">
      <c r="A14" s="202" t="s">
        <v>190</v>
      </c>
      <c r="B14" s="203">
        <v>70000</v>
      </c>
      <c r="C14" s="203">
        <v>70344</v>
      </c>
      <c r="D14" s="203">
        <v>62531</v>
      </c>
      <c r="E14" s="203"/>
      <c r="F14" s="203"/>
      <c r="G14" s="203"/>
      <c r="H14" s="203"/>
      <c r="I14" s="203"/>
      <c r="J14" s="203"/>
      <c r="K14" s="197">
        <f t="shared" si="2"/>
        <v>70000</v>
      </c>
      <c r="L14" s="193">
        <f t="shared" si="3"/>
        <v>70344</v>
      </c>
      <c r="M14" s="198">
        <f t="shared" si="4"/>
        <v>62531</v>
      </c>
    </row>
    <row r="15" spans="1:13" ht="12.75" customHeight="1">
      <c r="A15" s="202" t="s">
        <v>191</v>
      </c>
      <c r="B15" s="203">
        <v>16000</v>
      </c>
      <c r="C15" s="203">
        <v>16000</v>
      </c>
      <c r="D15" s="203">
        <v>15498</v>
      </c>
      <c r="E15" s="203"/>
      <c r="F15" s="203"/>
      <c r="G15" s="203"/>
      <c r="H15" s="203"/>
      <c r="I15" s="203"/>
      <c r="J15" s="203"/>
      <c r="K15" s="197">
        <f t="shared" si="2"/>
        <v>16000</v>
      </c>
      <c r="L15" s="193">
        <f t="shared" si="3"/>
        <v>16000</v>
      </c>
      <c r="M15" s="198">
        <f t="shared" si="4"/>
        <v>15498</v>
      </c>
    </row>
    <row r="16" spans="1:13" ht="12.75" customHeight="1">
      <c r="A16" s="202" t="s">
        <v>192</v>
      </c>
      <c r="B16" s="203">
        <v>890000</v>
      </c>
      <c r="C16" s="203">
        <v>890036</v>
      </c>
      <c r="D16" s="203">
        <v>870373</v>
      </c>
      <c r="E16" s="203"/>
      <c r="F16" s="203"/>
      <c r="G16" s="203"/>
      <c r="H16" s="203"/>
      <c r="I16" s="203"/>
      <c r="J16" s="203"/>
      <c r="K16" s="197">
        <f t="shared" si="2"/>
        <v>890000</v>
      </c>
      <c r="L16" s="193">
        <f t="shared" si="3"/>
        <v>890036</v>
      </c>
      <c r="M16" s="198">
        <f t="shared" si="4"/>
        <v>870373</v>
      </c>
    </row>
    <row r="17" spans="1:13" s="204" customFormat="1" ht="12.75">
      <c r="A17" s="202" t="s">
        <v>193</v>
      </c>
      <c r="B17" s="49">
        <v>12000</v>
      </c>
      <c r="C17" s="49">
        <v>12718</v>
      </c>
      <c r="D17" s="49">
        <v>16571</v>
      </c>
      <c r="E17" s="49"/>
      <c r="F17" s="49"/>
      <c r="G17" s="49"/>
      <c r="H17" s="49"/>
      <c r="I17" s="49"/>
      <c r="J17" s="49"/>
      <c r="K17" s="197">
        <f t="shared" si="2"/>
        <v>12000</v>
      </c>
      <c r="L17" s="193">
        <f t="shared" si="3"/>
        <v>12718</v>
      </c>
      <c r="M17" s="198">
        <f t="shared" si="4"/>
        <v>16571</v>
      </c>
    </row>
    <row r="18" spans="1:13" ht="12.75">
      <c r="A18" s="205" t="s">
        <v>194</v>
      </c>
      <c r="B18" s="203">
        <v>3500</v>
      </c>
      <c r="C18" s="203">
        <v>4021</v>
      </c>
      <c r="D18" s="203">
        <v>3415</v>
      </c>
      <c r="E18" s="203"/>
      <c r="F18" s="203"/>
      <c r="G18" s="203"/>
      <c r="H18" s="203"/>
      <c r="I18" s="203"/>
      <c r="J18" s="203"/>
      <c r="K18" s="197">
        <f t="shared" si="2"/>
        <v>3500</v>
      </c>
      <c r="L18" s="193">
        <f t="shared" si="3"/>
        <v>4021</v>
      </c>
      <c r="M18" s="198">
        <f t="shared" si="4"/>
        <v>3415</v>
      </c>
    </row>
    <row r="19" spans="1:13" ht="12.75">
      <c r="A19" s="45" t="s">
        <v>195</v>
      </c>
      <c r="B19" s="29">
        <f>SUM(B20:B22)</f>
        <v>665239</v>
      </c>
      <c r="C19" s="29">
        <f>SUM(C20:C22)</f>
        <v>665856</v>
      </c>
      <c r="D19" s="29">
        <v>679477</v>
      </c>
      <c r="E19" s="29"/>
      <c r="F19" s="29"/>
      <c r="G19" s="29"/>
      <c r="H19" s="29"/>
      <c r="I19" s="29"/>
      <c r="J19" s="29"/>
      <c r="K19" s="197">
        <f t="shared" si="2"/>
        <v>665239</v>
      </c>
      <c r="L19" s="193">
        <f t="shared" si="3"/>
        <v>665856</v>
      </c>
      <c r="M19" s="198">
        <f t="shared" si="4"/>
        <v>679477</v>
      </c>
    </row>
    <row r="20" spans="1:13" s="195" customFormat="1" ht="13.5">
      <c r="A20" s="202" t="s">
        <v>196</v>
      </c>
      <c r="B20" s="49">
        <v>404939</v>
      </c>
      <c r="C20" s="49">
        <v>404939</v>
      </c>
      <c r="D20" s="49">
        <v>404939</v>
      </c>
      <c r="E20" s="49"/>
      <c r="F20" s="49"/>
      <c r="G20" s="49"/>
      <c r="H20" s="49"/>
      <c r="I20" s="49"/>
      <c r="J20" s="49"/>
      <c r="K20" s="206">
        <f t="shared" si="2"/>
        <v>404939</v>
      </c>
      <c r="L20" s="193">
        <f t="shared" si="3"/>
        <v>404939</v>
      </c>
      <c r="M20" s="198">
        <f t="shared" si="4"/>
        <v>404939</v>
      </c>
    </row>
    <row r="21" spans="1:13" ht="12.75">
      <c r="A21" s="202" t="s">
        <v>197</v>
      </c>
      <c r="B21" s="49">
        <v>260000</v>
      </c>
      <c r="C21" s="49">
        <v>260617</v>
      </c>
      <c r="D21" s="49">
        <v>274401</v>
      </c>
      <c r="E21" s="49"/>
      <c r="F21" s="49"/>
      <c r="G21" s="49"/>
      <c r="H21" s="49"/>
      <c r="I21" s="49"/>
      <c r="J21" s="49"/>
      <c r="K21" s="197">
        <f t="shared" si="2"/>
        <v>260000</v>
      </c>
      <c r="L21" s="193">
        <f t="shared" si="3"/>
        <v>260617</v>
      </c>
      <c r="M21" s="198">
        <f t="shared" si="4"/>
        <v>274401</v>
      </c>
    </row>
    <row r="22" spans="1:13" ht="12.75">
      <c r="A22" s="202" t="s">
        <v>198</v>
      </c>
      <c r="B22" s="49">
        <v>300</v>
      </c>
      <c r="C22" s="49">
        <v>300</v>
      </c>
      <c r="D22" s="49">
        <v>137</v>
      </c>
      <c r="E22" s="49"/>
      <c r="F22" s="49"/>
      <c r="G22" s="49"/>
      <c r="H22" s="49"/>
      <c r="I22" s="49"/>
      <c r="J22" s="49"/>
      <c r="K22" s="197">
        <f t="shared" si="2"/>
        <v>300</v>
      </c>
      <c r="L22" s="193">
        <f t="shared" si="3"/>
        <v>300</v>
      </c>
      <c r="M22" s="198">
        <f t="shared" si="4"/>
        <v>137</v>
      </c>
    </row>
    <row r="23" spans="1:13" ht="12.75">
      <c r="A23" s="45" t="s">
        <v>199</v>
      </c>
      <c r="B23" s="29">
        <v>3400</v>
      </c>
      <c r="C23" s="29">
        <v>3400</v>
      </c>
      <c r="D23" s="29">
        <v>8443</v>
      </c>
      <c r="E23" s="29"/>
      <c r="F23" s="29"/>
      <c r="G23" s="29"/>
      <c r="H23" s="29"/>
      <c r="I23" s="29"/>
      <c r="J23" s="29"/>
      <c r="K23" s="197">
        <f t="shared" si="2"/>
        <v>3400</v>
      </c>
      <c r="L23" s="193">
        <f t="shared" si="3"/>
        <v>3400</v>
      </c>
      <c r="M23" s="198">
        <f t="shared" si="4"/>
        <v>8443</v>
      </c>
    </row>
    <row r="24" spans="1:13" ht="12.75">
      <c r="A24" s="45" t="s">
        <v>25</v>
      </c>
      <c r="B24" s="29">
        <v>3500</v>
      </c>
      <c r="C24" s="29">
        <v>3581</v>
      </c>
      <c r="D24" s="29">
        <v>2862</v>
      </c>
      <c r="E24" s="29"/>
      <c r="F24" s="29"/>
      <c r="G24" s="29"/>
      <c r="H24" s="29"/>
      <c r="I24" s="29"/>
      <c r="J24" s="29"/>
      <c r="K24" s="197">
        <f t="shared" si="2"/>
        <v>3500</v>
      </c>
      <c r="L24" s="193">
        <f t="shared" si="3"/>
        <v>3581</v>
      </c>
      <c r="M24" s="198">
        <f t="shared" si="4"/>
        <v>2862</v>
      </c>
    </row>
    <row r="25" spans="1:13" ht="12.75">
      <c r="A25" s="45" t="s">
        <v>200</v>
      </c>
      <c r="B25" s="29">
        <v>34124</v>
      </c>
      <c r="C25" s="29">
        <v>36016</v>
      </c>
      <c r="D25" s="29">
        <v>36017</v>
      </c>
      <c r="E25" s="29"/>
      <c r="F25" s="29"/>
      <c r="G25" s="29"/>
      <c r="H25" s="29"/>
      <c r="I25" s="29"/>
      <c r="J25" s="29"/>
      <c r="K25" s="197">
        <f t="shared" si="2"/>
        <v>34124</v>
      </c>
      <c r="L25" s="193">
        <f t="shared" si="3"/>
        <v>36016</v>
      </c>
      <c r="M25" s="198">
        <f t="shared" si="4"/>
        <v>36017</v>
      </c>
    </row>
    <row r="26" spans="1:13" ht="12.75">
      <c r="A26" s="45" t="s">
        <v>29</v>
      </c>
      <c r="B26" s="29">
        <v>56540</v>
      </c>
      <c r="C26" s="29">
        <v>54980</v>
      </c>
      <c r="D26" s="29">
        <v>54982</v>
      </c>
      <c r="E26" s="29"/>
      <c r="F26" s="29"/>
      <c r="G26" s="29"/>
      <c r="H26" s="29"/>
      <c r="I26" s="29"/>
      <c r="J26" s="29"/>
      <c r="K26" s="197">
        <f t="shared" si="2"/>
        <v>56540</v>
      </c>
      <c r="L26" s="193">
        <f t="shared" si="3"/>
        <v>54980</v>
      </c>
      <c r="M26" s="198">
        <f t="shared" si="4"/>
        <v>54982</v>
      </c>
    </row>
    <row r="27" spans="1:13" s="200" customFormat="1" ht="12.75">
      <c r="A27" s="43" t="s">
        <v>113</v>
      </c>
      <c r="B27" s="36">
        <f aca="true" t="shared" si="5" ref="B27:M27">SUM(B28,B29,B32)</f>
        <v>982909</v>
      </c>
      <c r="C27" s="36">
        <f t="shared" si="5"/>
        <v>999223</v>
      </c>
      <c r="D27" s="36">
        <f t="shared" si="5"/>
        <v>999223</v>
      </c>
      <c r="E27" s="36">
        <f t="shared" si="5"/>
        <v>0</v>
      </c>
      <c r="F27" s="36">
        <f t="shared" si="5"/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982909</v>
      </c>
      <c r="L27" s="36">
        <f t="shared" si="5"/>
        <v>999223</v>
      </c>
      <c r="M27" s="207">
        <f t="shared" si="5"/>
        <v>999223</v>
      </c>
    </row>
    <row r="28" spans="1:13" ht="12.75">
      <c r="A28" s="45" t="s">
        <v>201</v>
      </c>
      <c r="B28" s="29">
        <v>867102</v>
      </c>
      <c r="C28" s="29">
        <v>859859</v>
      </c>
      <c r="D28" s="29">
        <v>859859</v>
      </c>
      <c r="E28" s="29"/>
      <c r="F28" s="29"/>
      <c r="G28" s="29"/>
      <c r="H28" s="29"/>
      <c r="I28" s="29"/>
      <c r="J28" s="29"/>
      <c r="K28" s="197">
        <f aca="true" t="shared" si="6" ref="K28:M32">SUM(B28+E28+H28)</f>
        <v>867102</v>
      </c>
      <c r="L28" s="193">
        <f t="shared" si="6"/>
        <v>859859</v>
      </c>
      <c r="M28" s="198">
        <f t="shared" si="6"/>
        <v>859859</v>
      </c>
    </row>
    <row r="29" spans="1:13" s="204" customFormat="1" ht="12.75">
      <c r="A29" s="45" t="s">
        <v>202</v>
      </c>
      <c r="B29" s="29">
        <f>SUM(B30:B31)</f>
        <v>115807</v>
      </c>
      <c r="C29" s="29">
        <f>SUM(C30:C31)</f>
        <v>93694</v>
      </c>
      <c r="D29" s="29">
        <v>93694</v>
      </c>
      <c r="E29" s="29"/>
      <c r="F29" s="29"/>
      <c r="G29" s="29"/>
      <c r="H29" s="29"/>
      <c r="I29" s="29"/>
      <c r="J29" s="29"/>
      <c r="K29" s="197">
        <f t="shared" si="6"/>
        <v>115807</v>
      </c>
      <c r="L29" s="193">
        <f t="shared" si="6"/>
        <v>93694</v>
      </c>
      <c r="M29" s="198">
        <f t="shared" si="6"/>
        <v>93694</v>
      </c>
    </row>
    <row r="30" spans="1:13" s="195" customFormat="1" ht="26.25">
      <c r="A30" s="208" t="s">
        <v>203</v>
      </c>
      <c r="B30" s="49">
        <v>103883</v>
      </c>
      <c r="C30" s="49">
        <v>81802</v>
      </c>
      <c r="D30" s="49">
        <v>81802</v>
      </c>
      <c r="E30" s="209"/>
      <c r="F30" s="49"/>
      <c r="G30" s="49"/>
      <c r="H30" s="209"/>
      <c r="I30" s="49"/>
      <c r="J30" s="49"/>
      <c r="K30" s="197">
        <f t="shared" si="6"/>
        <v>103883</v>
      </c>
      <c r="L30" s="193">
        <f t="shared" si="6"/>
        <v>81802</v>
      </c>
      <c r="M30" s="198">
        <f t="shared" si="6"/>
        <v>81802</v>
      </c>
    </row>
    <row r="31" spans="1:13" s="195" customFormat="1" ht="12.75">
      <c r="A31" s="202" t="s">
        <v>204</v>
      </c>
      <c r="B31" s="49">
        <f>12187-263</f>
        <v>11924</v>
      </c>
      <c r="C31" s="49">
        <v>11892</v>
      </c>
      <c r="D31" s="49">
        <v>11892</v>
      </c>
      <c r="E31" s="49"/>
      <c r="F31" s="49"/>
      <c r="G31" s="49"/>
      <c r="H31" s="49"/>
      <c r="I31" s="49"/>
      <c r="J31" s="49"/>
      <c r="K31" s="197">
        <f t="shared" si="6"/>
        <v>11924</v>
      </c>
      <c r="L31" s="193">
        <f t="shared" si="6"/>
        <v>11892</v>
      </c>
      <c r="M31" s="198">
        <f t="shared" si="6"/>
        <v>11892</v>
      </c>
    </row>
    <row r="32" spans="1:13" ht="12.75">
      <c r="A32" s="45" t="s">
        <v>205</v>
      </c>
      <c r="B32" s="29"/>
      <c r="C32" s="29">
        <v>45670</v>
      </c>
      <c r="D32" s="29">
        <v>45670</v>
      </c>
      <c r="E32" s="29"/>
      <c r="F32" s="29"/>
      <c r="G32" s="29"/>
      <c r="H32" s="29"/>
      <c r="I32" s="29"/>
      <c r="J32" s="29"/>
      <c r="K32" s="197">
        <f t="shared" si="6"/>
        <v>0</v>
      </c>
      <c r="L32" s="193">
        <f t="shared" si="6"/>
        <v>45670</v>
      </c>
      <c r="M32" s="198">
        <f t="shared" si="6"/>
        <v>45670</v>
      </c>
    </row>
    <row r="33" spans="1:13" s="200" customFormat="1" ht="12.75">
      <c r="A33" s="43" t="s">
        <v>115</v>
      </c>
      <c r="B33" s="36">
        <f>SUM(B34:B36)</f>
        <v>161250</v>
      </c>
      <c r="C33" s="36">
        <f aca="true" t="shared" si="7" ref="C33:M33">SUM(C34:C37)</f>
        <v>163014</v>
      </c>
      <c r="D33" s="36">
        <f t="shared" si="7"/>
        <v>143625</v>
      </c>
      <c r="E33" s="36">
        <f t="shared" si="7"/>
        <v>45545</v>
      </c>
      <c r="F33" s="36">
        <f t="shared" si="7"/>
        <v>61304</v>
      </c>
      <c r="G33" s="36">
        <f t="shared" si="7"/>
        <v>57242</v>
      </c>
      <c r="H33" s="36">
        <f t="shared" si="7"/>
        <v>735113</v>
      </c>
      <c r="I33" s="36">
        <f t="shared" si="7"/>
        <v>802471</v>
      </c>
      <c r="J33" s="36">
        <f t="shared" si="7"/>
        <v>802471</v>
      </c>
      <c r="K33" s="36">
        <f t="shared" si="7"/>
        <v>941908</v>
      </c>
      <c r="L33" s="36">
        <f t="shared" si="7"/>
        <v>1026789</v>
      </c>
      <c r="M33" s="207">
        <f t="shared" si="7"/>
        <v>1003338</v>
      </c>
    </row>
    <row r="34" spans="1:13" ht="12.75">
      <c r="A34" s="45" t="s">
        <v>45</v>
      </c>
      <c r="B34" s="29">
        <f>119894+10314+1870+3965+2785+505+1070</f>
        <v>140403</v>
      </c>
      <c r="C34" s="29">
        <v>136733</v>
      </c>
      <c r="D34" s="29">
        <v>125082</v>
      </c>
      <c r="E34" s="29">
        <v>36490</v>
      </c>
      <c r="F34" s="29">
        <v>48448</v>
      </c>
      <c r="G34" s="29">
        <v>36782</v>
      </c>
      <c r="H34" s="29">
        <v>7500</v>
      </c>
      <c r="I34" s="29">
        <v>8500</v>
      </c>
      <c r="J34" s="29">
        <v>8500</v>
      </c>
      <c r="K34" s="197">
        <f aca="true" t="shared" si="8" ref="K34:M37">SUM(B34+E34+H34)</f>
        <v>184393</v>
      </c>
      <c r="L34" s="193">
        <f t="shared" si="8"/>
        <v>193681</v>
      </c>
      <c r="M34" s="198">
        <f t="shared" si="8"/>
        <v>170364</v>
      </c>
    </row>
    <row r="35" spans="1:13" ht="12.75">
      <c r="A35" s="45" t="s">
        <v>47</v>
      </c>
      <c r="B35" s="29"/>
      <c r="C35" s="29">
        <v>0</v>
      </c>
      <c r="D35" s="29">
        <v>0</v>
      </c>
      <c r="E35" s="29"/>
      <c r="F35" s="29"/>
      <c r="G35" s="29"/>
      <c r="H35" s="29">
        <v>727613</v>
      </c>
      <c r="I35" s="29">
        <v>793971</v>
      </c>
      <c r="J35" s="29">
        <v>793971</v>
      </c>
      <c r="K35" s="197">
        <f t="shared" si="8"/>
        <v>727613</v>
      </c>
      <c r="L35" s="193">
        <f t="shared" si="8"/>
        <v>793971</v>
      </c>
      <c r="M35" s="198">
        <f t="shared" si="8"/>
        <v>793971</v>
      </c>
    </row>
    <row r="36" spans="1:13" ht="12.75">
      <c r="A36" s="45" t="s">
        <v>49</v>
      </c>
      <c r="B36" s="29">
        <v>20847</v>
      </c>
      <c r="C36" s="29">
        <v>26281</v>
      </c>
      <c r="D36" s="29">
        <v>18543</v>
      </c>
      <c r="E36" s="29">
        <v>9055</v>
      </c>
      <c r="F36" s="29">
        <v>12856</v>
      </c>
      <c r="G36" s="29">
        <v>12355</v>
      </c>
      <c r="H36" s="29"/>
      <c r="I36" s="29"/>
      <c r="J36" s="29"/>
      <c r="K36" s="197">
        <f t="shared" si="8"/>
        <v>29902</v>
      </c>
      <c r="L36" s="193">
        <f t="shared" si="8"/>
        <v>39137</v>
      </c>
      <c r="M36" s="198">
        <f t="shared" si="8"/>
        <v>30898</v>
      </c>
    </row>
    <row r="37" spans="1:13" ht="12.75">
      <c r="A37" s="45" t="s">
        <v>51</v>
      </c>
      <c r="B37" s="29"/>
      <c r="C37" s="29">
        <v>0</v>
      </c>
      <c r="D37" s="29">
        <v>0</v>
      </c>
      <c r="E37" s="29"/>
      <c r="F37" s="29"/>
      <c r="G37" s="29">
        <v>8105</v>
      </c>
      <c r="H37" s="29"/>
      <c r="I37" s="29"/>
      <c r="J37" s="29"/>
      <c r="K37" s="197">
        <f t="shared" si="8"/>
        <v>0</v>
      </c>
      <c r="L37" s="193">
        <f t="shared" si="8"/>
        <v>0</v>
      </c>
      <c r="M37" s="198">
        <f t="shared" si="8"/>
        <v>8105</v>
      </c>
    </row>
    <row r="38" spans="1:14" ht="12.75">
      <c r="A38" s="210" t="s">
        <v>206</v>
      </c>
      <c r="B38" s="36">
        <f aca="true" t="shared" si="9" ref="B38:M38">SUM(B39:B47)</f>
        <v>503910</v>
      </c>
      <c r="C38" s="36">
        <f t="shared" si="9"/>
        <v>463310</v>
      </c>
      <c r="D38" s="36">
        <f t="shared" si="9"/>
        <v>89033</v>
      </c>
      <c r="E38" s="36">
        <f t="shared" si="9"/>
        <v>0</v>
      </c>
      <c r="F38" s="36">
        <f t="shared" si="9"/>
        <v>0</v>
      </c>
      <c r="G38" s="36">
        <f t="shared" si="9"/>
        <v>0</v>
      </c>
      <c r="H38" s="36">
        <f t="shared" si="9"/>
        <v>0</v>
      </c>
      <c r="I38" s="36">
        <f t="shared" si="9"/>
        <v>751</v>
      </c>
      <c r="J38" s="36">
        <f t="shared" si="9"/>
        <v>751</v>
      </c>
      <c r="K38" s="36">
        <f t="shared" si="9"/>
        <v>503910</v>
      </c>
      <c r="L38" s="36">
        <f t="shared" si="9"/>
        <v>464061</v>
      </c>
      <c r="M38" s="207">
        <f t="shared" si="9"/>
        <v>89784</v>
      </c>
      <c r="N38" s="211"/>
    </row>
    <row r="39" spans="1:13" ht="12.75">
      <c r="A39" s="45" t="s">
        <v>56</v>
      </c>
      <c r="B39" s="29"/>
      <c r="C39" s="29">
        <v>1100</v>
      </c>
      <c r="D39" s="29">
        <v>1100</v>
      </c>
      <c r="E39" s="29"/>
      <c r="F39" s="29">
        <v>0</v>
      </c>
      <c r="G39" s="29"/>
      <c r="H39" s="29"/>
      <c r="I39" s="29">
        <v>751</v>
      </c>
      <c r="J39" s="29">
        <v>751</v>
      </c>
      <c r="K39" s="197">
        <f aca="true" t="shared" si="10" ref="K39:M40">SUM(B39+E39+H39)</f>
        <v>0</v>
      </c>
      <c r="L39" s="193">
        <f t="shared" si="10"/>
        <v>1851</v>
      </c>
      <c r="M39" s="198">
        <f t="shared" si="10"/>
        <v>1851</v>
      </c>
    </row>
    <row r="40" spans="1:13" ht="12.75">
      <c r="A40" s="45" t="s">
        <v>207</v>
      </c>
      <c r="B40" s="29">
        <v>116636</v>
      </c>
      <c r="C40" s="29">
        <v>100336</v>
      </c>
      <c r="D40" s="29">
        <v>27925</v>
      </c>
      <c r="E40" s="29"/>
      <c r="F40" s="29"/>
      <c r="G40" s="29"/>
      <c r="H40" s="29"/>
      <c r="I40" s="29"/>
      <c r="J40" s="29"/>
      <c r="K40" s="197">
        <f t="shared" si="10"/>
        <v>116636</v>
      </c>
      <c r="L40" s="193">
        <f t="shared" si="10"/>
        <v>100336</v>
      </c>
      <c r="M40" s="198">
        <f t="shared" si="10"/>
        <v>27925</v>
      </c>
    </row>
    <row r="41" spans="1:13" ht="12.75">
      <c r="A41" s="45" t="s">
        <v>208</v>
      </c>
      <c r="B41" s="29"/>
      <c r="C41" s="29">
        <v>0</v>
      </c>
      <c r="D41" s="29">
        <v>0</v>
      </c>
      <c r="E41" s="29"/>
      <c r="F41" s="29"/>
      <c r="G41" s="29"/>
      <c r="H41" s="29"/>
      <c r="I41" s="29"/>
      <c r="J41" s="29"/>
      <c r="K41" s="197"/>
      <c r="L41" s="193">
        <f aca="true" t="shared" si="11" ref="L41:M46">SUM(C41+F41+I41)</f>
        <v>0</v>
      </c>
      <c r="M41" s="198">
        <f t="shared" si="11"/>
        <v>0</v>
      </c>
    </row>
    <row r="42" spans="1:13" s="204" customFormat="1" ht="12.75">
      <c r="A42" s="45" t="s">
        <v>209</v>
      </c>
      <c r="B42" s="29">
        <v>109200</v>
      </c>
      <c r="C42" s="29">
        <v>109200</v>
      </c>
      <c r="D42" s="29">
        <v>0</v>
      </c>
      <c r="E42" s="29"/>
      <c r="F42" s="29"/>
      <c r="G42" s="29"/>
      <c r="H42" s="29"/>
      <c r="I42" s="29"/>
      <c r="J42" s="29"/>
      <c r="K42" s="197">
        <f>SUM(B42+E42+H42)</f>
        <v>109200</v>
      </c>
      <c r="L42" s="193">
        <f t="shared" si="11"/>
        <v>109200</v>
      </c>
      <c r="M42" s="198">
        <f t="shared" si="11"/>
        <v>0</v>
      </c>
    </row>
    <row r="43" spans="1:13" ht="12.75">
      <c r="A43" s="45" t="s">
        <v>63</v>
      </c>
      <c r="B43" s="29">
        <v>15484</v>
      </c>
      <c r="C43" s="29">
        <v>21484</v>
      </c>
      <c r="D43" s="29">
        <v>21484</v>
      </c>
      <c r="E43" s="29"/>
      <c r="F43" s="29"/>
      <c r="G43" s="29"/>
      <c r="H43" s="29"/>
      <c r="I43" s="29"/>
      <c r="J43" s="29"/>
      <c r="K43" s="197">
        <f>SUM(B43+E43+H43)</f>
        <v>15484</v>
      </c>
      <c r="L43" s="193">
        <f t="shared" si="11"/>
        <v>21484</v>
      </c>
      <c r="M43" s="198">
        <f t="shared" si="11"/>
        <v>21484</v>
      </c>
    </row>
    <row r="44" spans="1:13" ht="12.75">
      <c r="A44" s="45" t="s">
        <v>210</v>
      </c>
      <c r="B44" s="29">
        <v>38590</v>
      </c>
      <c r="C44" s="29">
        <v>17190</v>
      </c>
      <c r="D44" s="29">
        <v>10862</v>
      </c>
      <c r="E44" s="29"/>
      <c r="F44" s="29"/>
      <c r="G44" s="29"/>
      <c r="H44" s="29"/>
      <c r="I44" s="29"/>
      <c r="J44" s="29"/>
      <c r="K44" s="197">
        <f>SUM(B44+E44+H44)</f>
        <v>38590</v>
      </c>
      <c r="L44" s="193">
        <f t="shared" si="11"/>
        <v>17190</v>
      </c>
      <c r="M44" s="198">
        <f t="shared" si="11"/>
        <v>10862</v>
      </c>
    </row>
    <row r="45" spans="1:13" ht="12.75">
      <c r="A45" s="45" t="s">
        <v>66</v>
      </c>
      <c r="B45" s="29">
        <v>196000</v>
      </c>
      <c r="C45" s="29">
        <v>196000</v>
      </c>
      <c r="D45" s="29">
        <v>0</v>
      </c>
      <c r="E45" s="29"/>
      <c r="F45" s="29"/>
      <c r="G45" s="29"/>
      <c r="H45" s="29"/>
      <c r="I45" s="29"/>
      <c r="J45" s="29"/>
      <c r="K45" s="197">
        <f>SUM(B45+E45+H45)</f>
        <v>196000</v>
      </c>
      <c r="L45" s="193">
        <f t="shared" si="11"/>
        <v>196000</v>
      </c>
      <c r="M45" s="198">
        <f t="shared" si="11"/>
        <v>0</v>
      </c>
    </row>
    <row r="46" spans="1:13" s="204" customFormat="1" ht="12.75">
      <c r="A46" s="212" t="s">
        <v>211</v>
      </c>
      <c r="B46" s="29">
        <v>28000</v>
      </c>
      <c r="C46" s="29">
        <v>18000</v>
      </c>
      <c r="D46" s="29">
        <v>24817</v>
      </c>
      <c r="E46" s="29"/>
      <c r="F46" s="29"/>
      <c r="G46" s="29"/>
      <c r="H46" s="29"/>
      <c r="I46" s="29"/>
      <c r="J46" s="29"/>
      <c r="K46" s="197">
        <f>SUM(B46+E46+H46)</f>
        <v>28000</v>
      </c>
      <c r="L46" s="193">
        <f t="shared" si="11"/>
        <v>18000</v>
      </c>
      <c r="M46" s="198">
        <f t="shared" si="11"/>
        <v>24817</v>
      </c>
    </row>
    <row r="47" spans="1:13" s="204" customFormat="1" ht="12.75">
      <c r="A47" s="212" t="s">
        <v>70</v>
      </c>
      <c r="B47" s="29"/>
      <c r="C47" s="29"/>
      <c r="D47" s="29">
        <v>2845</v>
      </c>
      <c r="E47" s="29"/>
      <c r="F47" s="29"/>
      <c r="G47" s="29"/>
      <c r="H47" s="29"/>
      <c r="I47" s="29"/>
      <c r="J47" s="29"/>
      <c r="K47" s="197"/>
      <c r="L47" s="193"/>
      <c r="M47" s="198">
        <f>SUM(D47+G47+J47)</f>
        <v>2845</v>
      </c>
    </row>
    <row r="48" spans="1:13" s="200" customFormat="1" ht="12.75">
      <c r="A48" s="210" t="s">
        <v>72</v>
      </c>
      <c r="B48" s="36">
        <f aca="true" t="shared" si="12" ref="B48:M48">SUM(B49:B50)</f>
        <v>1351178</v>
      </c>
      <c r="C48" s="36">
        <f t="shared" si="12"/>
        <v>307737</v>
      </c>
      <c r="D48" s="36">
        <f t="shared" si="12"/>
        <v>295136</v>
      </c>
      <c r="E48" s="36">
        <f t="shared" si="12"/>
        <v>0</v>
      </c>
      <c r="F48" s="36">
        <f t="shared" si="12"/>
        <v>304</v>
      </c>
      <c r="G48" s="36">
        <f t="shared" si="12"/>
        <v>304</v>
      </c>
      <c r="H48" s="36">
        <f t="shared" si="12"/>
        <v>0</v>
      </c>
      <c r="I48" s="36">
        <f t="shared" si="12"/>
        <v>2699</v>
      </c>
      <c r="J48" s="36">
        <f t="shared" si="12"/>
        <v>2699</v>
      </c>
      <c r="K48" s="36">
        <f t="shared" si="12"/>
        <v>1351178</v>
      </c>
      <c r="L48" s="36">
        <f t="shared" si="12"/>
        <v>310740</v>
      </c>
      <c r="M48" s="207">
        <f t="shared" si="12"/>
        <v>298139</v>
      </c>
    </row>
    <row r="49" spans="1:13" s="204" customFormat="1" ht="12.75">
      <c r="A49" s="212" t="s">
        <v>212</v>
      </c>
      <c r="B49" s="29">
        <v>0</v>
      </c>
      <c r="C49" s="29">
        <v>304</v>
      </c>
      <c r="D49" s="29">
        <v>304</v>
      </c>
      <c r="E49" s="29"/>
      <c r="F49" s="29"/>
      <c r="G49" s="29"/>
      <c r="H49" s="29"/>
      <c r="I49" s="29"/>
      <c r="J49" s="29"/>
      <c r="K49" s="197">
        <f aca="true" t="shared" si="13" ref="K49:K58">SUM(B49+E49+H49)</f>
        <v>0</v>
      </c>
      <c r="L49" s="193">
        <f aca="true" t="shared" si="14" ref="L49:L58">SUM(C49+F49+I49)</f>
        <v>304</v>
      </c>
      <c r="M49" s="198">
        <f aca="true" t="shared" si="15" ref="M49:M58">SUM(D49+G49+J49)</f>
        <v>304</v>
      </c>
    </row>
    <row r="50" spans="1:13" s="204" customFormat="1" ht="12.75">
      <c r="A50" s="212" t="s">
        <v>76</v>
      </c>
      <c r="B50" s="29">
        <f>SUM(B51:B53)</f>
        <v>1351178</v>
      </c>
      <c r="C50" s="29">
        <f>SUM(C51:C53)</f>
        <v>307433</v>
      </c>
      <c r="D50" s="29">
        <v>294832</v>
      </c>
      <c r="E50" s="29">
        <f>SUM(E51:E53)</f>
        <v>0</v>
      </c>
      <c r="F50" s="29">
        <f>SUM(F51:F53)</f>
        <v>304</v>
      </c>
      <c r="G50" s="29">
        <v>304</v>
      </c>
      <c r="H50" s="29">
        <f>SUM(H51:H53)</f>
        <v>0</v>
      </c>
      <c r="I50" s="29">
        <f>SUM(I51:I53)</f>
        <v>2699</v>
      </c>
      <c r="J50" s="29">
        <v>2699</v>
      </c>
      <c r="K50" s="197">
        <f t="shared" si="13"/>
        <v>1351178</v>
      </c>
      <c r="L50" s="193">
        <f t="shared" si="14"/>
        <v>310436</v>
      </c>
      <c r="M50" s="198">
        <f t="shared" si="15"/>
        <v>297835</v>
      </c>
    </row>
    <row r="51" spans="1:13" s="195" customFormat="1" ht="12.75">
      <c r="A51" s="213" t="s">
        <v>78</v>
      </c>
      <c r="B51" s="49">
        <v>1346313</v>
      </c>
      <c r="C51" s="49">
        <v>305036</v>
      </c>
      <c r="D51" s="49">
        <v>291524</v>
      </c>
      <c r="E51" s="49"/>
      <c r="F51" s="49"/>
      <c r="G51" s="49"/>
      <c r="H51" s="49"/>
      <c r="I51" s="49"/>
      <c r="J51" s="49"/>
      <c r="K51" s="197">
        <f t="shared" si="13"/>
        <v>1346313</v>
      </c>
      <c r="L51" s="193">
        <f t="shared" si="14"/>
        <v>305036</v>
      </c>
      <c r="M51" s="198">
        <f t="shared" si="15"/>
        <v>291524</v>
      </c>
    </row>
    <row r="52" spans="1:13" s="195" customFormat="1" ht="12.75">
      <c r="A52" s="213" t="s">
        <v>213</v>
      </c>
      <c r="B52" s="49"/>
      <c r="C52" s="49">
        <v>0</v>
      </c>
      <c r="D52" s="49">
        <v>0</v>
      </c>
      <c r="E52" s="49"/>
      <c r="F52" s="49"/>
      <c r="G52" s="49"/>
      <c r="H52" s="49"/>
      <c r="I52" s="49"/>
      <c r="J52" s="49"/>
      <c r="K52" s="197">
        <f t="shared" si="13"/>
        <v>0</v>
      </c>
      <c r="L52" s="193">
        <f t="shared" si="14"/>
        <v>0</v>
      </c>
      <c r="M52" s="198">
        <f t="shared" si="15"/>
        <v>0</v>
      </c>
    </row>
    <row r="53" spans="1:13" s="195" customFormat="1" ht="12.75">
      <c r="A53" s="213" t="s">
        <v>214</v>
      </c>
      <c r="B53" s="49">
        <v>4865</v>
      </c>
      <c r="C53" s="49">
        <v>2397</v>
      </c>
      <c r="D53" s="49">
        <v>3308</v>
      </c>
      <c r="E53" s="49"/>
      <c r="F53" s="49">
        <v>304</v>
      </c>
      <c r="G53" s="49">
        <v>304</v>
      </c>
      <c r="H53" s="49"/>
      <c r="I53" s="49">
        <v>2699</v>
      </c>
      <c r="J53" s="49">
        <v>2699</v>
      </c>
      <c r="K53" s="197">
        <f t="shared" si="13"/>
        <v>4865</v>
      </c>
      <c r="L53" s="193">
        <f t="shared" si="14"/>
        <v>5400</v>
      </c>
      <c r="M53" s="198">
        <f t="shared" si="15"/>
        <v>6311</v>
      </c>
    </row>
    <row r="54" spans="1:13" s="200" customFormat="1" ht="12.75">
      <c r="A54" s="210" t="s">
        <v>82</v>
      </c>
      <c r="B54" s="36">
        <v>66533</v>
      </c>
      <c r="C54" s="36">
        <v>172013</v>
      </c>
      <c r="D54" s="36">
        <v>172481</v>
      </c>
      <c r="E54" s="36">
        <v>34100</v>
      </c>
      <c r="F54" s="36"/>
      <c r="G54" s="36"/>
      <c r="H54" s="36">
        <v>7500</v>
      </c>
      <c r="I54" s="36"/>
      <c r="J54" s="36"/>
      <c r="K54" s="197">
        <f t="shared" si="13"/>
        <v>108133</v>
      </c>
      <c r="L54" s="193">
        <f t="shared" si="14"/>
        <v>172013</v>
      </c>
      <c r="M54" s="198">
        <f t="shared" si="15"/>
        <v>172481</v>
      </c>
    </row>
    <row r="55" spans="1:13" s="200" customFormat="1" ht="12.75">
      <c r="A55" s="210" t="s">
        <v>215</v>
      </c>
      <c r="B55" s="36">
        <v>0</v>
      </c>
      <c r="C55" s="36">
        <v>0</v>
      </c>
      <c r="D55" s="36">
        <v>35160</v>
      </c>
      <c r="E55" s="36"/>
      <c r="F55" s="36"/>
      <c r="G55" s="36"/>
      <c r="H55" s="36"/>
      <c r="I55" s="36"/>
      <c r="J55" s="36"/>
      <c r="K55" s="197">
        <f t="shared" si="13"/>
        <v>0</v>
      </c>
      <c r="L55" s="193">
        <f t="shared" si="14"/>
        <v>0</v>
      </c>
      <c r="M55" s="198">
        <f t="shared" si="15"/>
        <v>35160</v>
      </c>
    </row>
    <row r="56" spans="1:13" s="204" customFormat="1" ht="12.75">
      <c r="A56" s="210" t="s">
        <v>118</v>
      </c>
      <c r="B56" s="36">
        <v>601932</v>
      </c>
      <c r="C56" s="36">
        <v>842773</v>
      </c>
      <c r="D56" s="36">
        <v>850881</v>
      </c>
      <c r="E56" s="36"/>
      <c r="F56" s="36">
        <v>35799</v>
      </c>
      <c r="G56" s="36">
        <v>35799</v>
      </c>
      <c r="H56" s="36"/>
      <c r="I56" s="36">
        <v>47470</v>
      </c>
      <c r="J56" s="36">
        <v>47470</v>
      </c>
      <c r="K56" s="197">
        <f t="shared" si="13"/>
        <v>601932</v>
      </c>
      <c r="L56" s="193">
        <f t="shared" si="14"/>
        <v>926042</v>
      </c>
      <c r="M56" s="198">
        <f t="shared" si="15"/>
        <v>934150</v>
      </c>
    </row>
    <row r="57" spans="1:13" s="204" customFormat="1" ht="12.75">
      <c r="A57" s="210" t="s">
        <v>216</v>
      </c>
      <c r="B57" s="36">
        <v>1000000</v>
      </c>
      <c r="C57" s="36">
        <v>0</v>
      </c>
      <c r="D57" s="36">
        <v>0</v>
      </c>
      <c r="E57" s="36"/>
      <c r="F57" s="36"/>
      <c r="G57" s="36"/>
      <c r="H57" s="36"/>
      <c r="I57" s="36"/>
      <c r="J57" s="36"/>
      <c r="K57" s="197">
        <f t="shared" si="13"/>
        <v>1000000</v>
      </c>
      <c r="L57" s="193">
        <f t="shared" si="14"/>
        <v>0</v>
      </c>
      <c r="M57" s="198">
        <f t="shared" si="15"/>
        <v>0</v>
      </c>
    </row>
    <row r="58" spans="1:13" s="204" customFormat="1" ht="12.75">
      <c r="A58" s="210" t="s">
        <v>150</v>
      </c>
      <c r="B58" s="36">
        <v>0</v>
      </c>
      <c r="C58" s="36">
        <v>0</v>
      </c>
      <c r="D58" s="36">
        <v>326</v>
      </c>
      <c r="E58" s="36"/>
      <c r="F58" s="36"/>
      <c r="G58" s="36">
        <v>0</v>
      </c>
      <c r="H58" s="36"/>
      <c r="I58" s="36"/>
      <c r="J58" s="36">
        <v>-1192</v>
      </c>
      <c r="K58" s="197">
        <f t="shared" si="13"/>
        <v>0</v>
      </c>
      <c r="L58" s="193">
        <f t="shared" si="14"/>
        <v>0</v>
      </c>
      <c r="M58" s="198">
        <f t="shared" si="15"/>
        <v>-866</v>
      </c>
    </row>
    <row r="59" spans="1:14" ht="12.75">
      <c r="A59" s="214" t="s">
        <v>107</v>
      </c>
      <c r="B59" s="215">
        <f aca="true" t="shared" si="16" ref="B59:M59">SUM(B6,B11,B27,B33,B38,B48,B54,B55,B56,B57,B58)</f>
        <v>6698748</v>
      </c>
      <c r="C59" s="215">
        <f t="shared" si="16"/>
        <v>5102814</v>
      </c>
      <c r="D59" s="215">
        <f t="shared" si="16"/>
        <v>4748606</v>
      </c>
      <c r="E59" s="215">
        <f t="shared" si="16"/>
        <v>219464</v>
      </c>
      <c r="F59" s="215">
        <f t="shared" si="16"/>
        <v>253815</v>
      </c>
      <c r="G59" s="215">
        <f t="shared" si="16"/>
        <v>250111</v>
      </c>
      <c r="H59" s="215">
        <f t="shared" si="16"/>
        <v>749513</v>
      </c>
      <c r="I59" s="215">
        <f t="shared" si="16"/>
        <v>865859</v>
      </c>
      <c r="J59" s="215">
        <f t="shared" si="16"/>
        <v>864668</v>
      </c>
      <c r="K59" s="215">
        <f t="shared" si="16"/>
        <v>7667725</v>
      </c>
      <c r="L59" s="215">
        <f t="shared" si="16"/>
        <v>6222488</v>
      </c>
      <c r="M59" s="216">
        <f t="shared" si="16"/>
        <v>5863385</v>
      </c>
      <c r="N59" s="211"/>
    </row>
  </sheetData>
  <sheetProtection selectLockedCells="1" selectUnlockedCells="1"/>
  <mergeCells count="6">
    <mergeCell ref="A2:M2"/>
    <mergeCell ref="A4:A5"/>
    <mergeCell ref="B4:D4"/>
    <mergeCell ref="E4:G4"/>
    <mergeCell ref="H4:J4"/>
    <mergeCell ref="K4:M4"/>
  </mergeCells>
  <printOptions horizontalCentered="1"/>
  <pageMargins left="0.27569444444444446" right="0.43333333333333335" top="0.5604166666666667" bottom="0.2361111111111111" header="0.4201388888888889" footer="0.5118055555555555"/>
  <pageSetup horizontalDpi="300" verticalDpi="300" orientation="landscape" paperSize="9" scale="59"/>
  <headerFooter alignWithMargins="0">
    <oddHeader>&amp;L&amp;8 3. melléklet a 15/2012.(IV.27.)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4"/>
  <sheetViews>
    <sheetView zoomScaleSheetLayoutView="100" workbookViewId="0" topLeftCell="C1">
      <pane xSplit="1" ySplit="5" topLeftCell="I33" activePane="bottomRight" state="frozen"/>
      <selection pane="topLeft" activeCell="C1" sqref="C1"/>
      <selection pane="topRight" activeCell="I1" sqref="I1"/>
      <selection pane="bottomLeft" activeCell="C33" sqref="C33"/>
      <selection pane="bottomRight" activeCell="M4" sqref="M4"/>
    </sheetView>
  </sheetViews>
  <sheetFormatPr defaultColWidth="9.00390625" defaultRowHeight="25.5" customHeight="1"/>
  <cols>
    <col min="1" max="2" width="0" style="1" hidden="1" customWidth="1"/>
    <col min="3" max="3" width="49.125" style="1" customWidth="1"/>
    <col min="4" max="15" width="11.75390625" style="1" customWidth="1"/>
    <col min="16" max="16384" width="9.125" style="1" customWidth="1"/>
  </cols>
  <sheetData>
    <row r="1" spans="3:15" s="5" customFormat="1" ht="18" customHeight="1">
      <c r="C1" s="217" t="s">
        <v>217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3:15" s="5" customFormat="1" ht="18" customHeight="1">
      <c r="C2" s="217" t="s">
        <v>218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3:15" s="5" customFormat="1" ht="18" customHeight="1"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90"/>
      <c r="N3" s="90"/>
      <c r="O3" s="90"/>
    </row>
    <row r="4" spans="1:25" ht="56.25" customHeight="1">
      <c r="A4" s="219"/>
      <c r="B4" s="220"/>
      <c r="C4" s="221" t="s">
        <v>219</v>
      </c>
      <c r="D4" s="222" t="s">
        <v>11</v>
      </c>
      <c r="E4" s="222"/>
      <c r="F4" s="222"/>
      <c r="G4" s="222" t="s">
        <v>12</v>
      </c>
      <c r="H4" s="222"/>
      <c r="I4" s="222"/>
      <c r="J4" s="222" t="s">
        <v>14</v>
      </c>
      <c r="K4" s="222"/>
      <c r="L4" s="222"/>
      <c r="M4" s="223" t="s">
        <v>184</v>
      </c>
      <c r="N4" s="223"/>
      <c r="O4" s="223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230" customFormat="1" ht="25.5" customHeight="1">
      <c r="A5" s="224"/>
      <c r="B5" s="225"/>
      <c r="C5" s="221"/>
      <c r="D5" s="226" t="s">
        <v>4</v>
      </c>
      <c r="E5" s="227" t="s">
        <v>5</v>
      </c>
      <c r="F5" s="227" t="s">
        <v>6</v>
      </c>
      <c r="G5" s="226" t="s">
        <v>4</v>
      </c>
      <c r="H5" s="227" t="s">
        <v>5</v>
      </c>
      <c r="I5" s="227" t="s">
        <v>6</v>
      </c>
      <c r="J5" s="226" t="s">
        <v>4</v>
      </c>
      <c r="K5" s="227" t="s">
        <v>5</v>
      </c>
      <c r="L5" s="227" t="s">
        <v>6</v>
      </c>
      <c r="M5" s="226" t="s">
        <v>8</v>
      </c>
      <c r="N5" s="227" t="s">
        <v>5</v>
      </c>
      <c r="O5" s="228" t="s">
        <v>6</v>
      </c>
      <c r="P5" s="229"/>
      <c r="Q5" s="229"/>
      <c r="R5" s="229"/>
      <c r="S5" s="229"/>
      <c r="T5" s="229"/>
      <c r="U5" s="229"/>
      <c r="V5" s="229"/>
      <c r="W5" s="229"/>
      <c r="X5" s="229"/>
      <c r="Y5" s="229"/>
    </row>
    <row r="6" spans="1:25" s="239" customFormat="1" ht="15" customHeight="1">
      <c r="A6" s="231"/>
      <c r="B6" s="232"/>
      <c r="C6" s="233" t="s">
        <v>10</v>
      </c>
      <c r="D6" s="234">
        <v>462182</v>
      </c>
      <c r="E6" s="234">
        <v>477237</v>
      </c>
      <c r="F6" s="20">
        <v>438723</v>
      </c>
      <c r="G6" s="234">
        <v>891576</v>
      </c>
      <c r="H6" s="234">
        <v>903861</v>
      </c>
      <c r="I6" s="234">
        <v>895291</v>
      </c>
      <c r="J6" s="234">
        <v>403540</v>
      </c>
      <c r="K6" s="234">
        <v>385767</v>
      </c>
      <c r="L6" s="234">
        <v>385767</v>
      </c>
      <c r="M6" s="235">
        <f aca="true" t="shared" si="0" ref="M6:O9">SUM(D6+G6+J6)</f>
        <v>1757298</v>
      </c>
      <c r="N6" s="236">
        <f t="shared" si="0"/>
        <v>1766865</v>
      </c>
      <c r="O6" s="237">
        <f t="shared" si="0"/>
        <v>1719781</v>
      </c>
      <c r="P6" s="238"/>
      <c r="Q6" s="238"/>
      <c r="R6" s="238"/>
      <c r="S6" s="238"/>
      <c r="T6" s="238"/>
      <c r="U6" s="238"/>
      <c r="V6" s="238"/>
      <c r="W6" s="238"/>
      <c r="X6" s="238"/>
      <c r="Y6" s="238"/>
    </row>
    <row r="7" spans="1:25" s="239" customFormat="1" ht="15" customHeight="1">
      <c r="A7" s="231"/>
      <c r="B7" s="232"/>
      <c r="C7" s="38" t="s">
        <v>220</v>
      </c>
      <c r="D7" s="240">
        <v>137547</v>
      </c>
      <c r="E7" s="240">
        <v>141947</v>
      </c>
      <c r="F7" s="39">
        <v>118512</v>
      </c>
      <c r="G7" s="240">
        <v>237043</v>
      </c>
      <c r="H7" s="240">
        <v>241707</v>
      </c>
      <c r="I7" s="240">
        <v>237574</v>
      </c>
      <c r="J7" s="240">
        <v>111347</v>
      </c>
      <c r="K7" s="240">
        <v>104736</v>
      </c>
      <c r="L7" s="240">
        <v>104736</v>
      </c>
      <c r="M7" s="36">
        <f t="shared" si="0"/>
        <v>485937</v>
      </c>
      <c r="N7" s="36">
        <f t="shared" si="0"/>
        <v>488390</v>
      </c>
      <c r="O7" s="207">
        <f t="shared" si="0"/>
        <v>460822</v>
      </c>
      <c r="P7" s="238"/>
      <c r="Q7" s="238"/>
      <c r="R7" s="238"/>
      <c r="S7" s="238"/>
      <c r="T7" s="238"/>
      <c r="U7" s="238"/>
      <c r="V7" s="238"/>
      <c r="W7" s="238"/>
      <c r="X7" s="238"/>
      <c r="Y7" s="238"/>
    </row>
    <row r="8" spans="1:25" ht="15" customHeight="1">
      <c r="A8" s="219"/>
      <c r="B8" s="220"/>
      <c r="C8" s="27" t="s">
        <v>221</v>
      </c>
      <c r="D8" s="241">
        <v>603736</v>
      </c>
      <c r="E8" s="241">
        <v>758693</v>
      </c>
      <c r="F8" s="30">
        <v>717499</v>
      </c>
      <c r="G8" s="241">
        <v>447353</v>
      </c>
      <c r="H8" s="241">
        <v>511830</v>
      </c>
      <c r="I8" s="241">
        <v>466044</v>
      </c>
      <c r="J8" s="241">
        <v>221801</v>
      </c>
      <c r="K8" s="241">
        <v>356667</v>
      </c>
      <c r="L8" s="241">
        <v>320279</v>
      </c>
      <c r="M8" s="29">
        <f t="shared" si="0"/>
        <v>1272890</v>
      </c>
      <c r="N8" s="29">
        <f t="shared" si="0"/>
        <v>1627190</v>
      </c>
      <c r="O8" s="242">
        <f t="shared" si="0"/>
        <v>1503822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" customHeight="1">
      <c r="A9" s="219"/>
      <c r="B9" s="220"/>
      <c r="C9" s="27" t="s">
        <v>222</v>
      </c>
      <c r="D9" s="241">
        <v>64174</v>
      </c>
      <c r="E9" s="241">
        <v>53749</v>
      </c>
      <c r="F9" s="30">
        <v>51222</v>
      </c>
      <c r="G9" s="241"/>
      <c r="H9" s="241">
        <v>0</v>
      </c>
      <c r="I9" s="241"/>
      <c r="J9" s="241"/>
      <c r="K9" s="241"/>
      <c r="L9" s="241"/>
      <c r="M9" s="29">
        <f t="shared" si="0"/>
        <v>64174</v>
      </c>
      <c r="N9" s="29">
        <f t="shared" si="0"/>
        <v>53749</v>
      </c>
      <c r="O9" s="242">
        <f t="shared" si="0"/>
        <v>51222</v>
      </c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239" customFormat="1" ht="15" customHeight="1">
      <c r="A10" s="231"/>
      <c r="B10" s="232"/>
      <c r="C10" s="243" t="s">
        <v>223</v>
      </c>
      <c r="D10" s="244">
        <f>SUM(D8:D9)</f>
        <v>667910</v>
      </c>
      <c r="E10" s="244">
        <f aca="true" t="shared" si="1" ref="E10:M10">SUM(E8:E9)</f>
        <v>812442</v>
      </c>
      <c r="F10" s="244">
        <v>768721</v>
      </c>
      <c r="G10" s="244">
        <f t="shared" si="1"/>
        <v>447353</v>
      </c>
      <c r="H10" s="244">
        <f t="shared" si="1"/>
        <v>511830</v>
      </c>
      <c r="I10" s="244">
        <v>466044</v>
      </c>
      <c r="J10" s="244">
        <f t="shared" si="1"/>
        <v>221801</v>
      </c>
      <c r="K10" s="244">
        <f t="shared" si="1"/>
        <v>356667</v>
      </c>
      <c r="L10" s="244">
        <v>320279</v>
      </c>
      <c r="M10" s="244">
        <f t="shared" si="1"/>
        <v>1337064</v>
      </c>
      <c r="N10" s="36">
        <f aca="true" t="shared" si="2" ref="N10:O44">SUM(E10+H10+K10)</f>
        <v>1680939</v>
      </c>
      <c r="O10" s="207">
        <f t="shared" si="2"/>
        <v>1555044</v>
      </c>
      <c r="P10" s="238"/>
      <c r="Q10" s="238"/>
      <c r="R10" s="238"/>
      <c r="S10" s="238"/>
      <c r="T10" s="238"/>
      <c r="U10" s="238"/>
      <c r="V10" s="238"/>
      <c r="W10" s="238"/>
      <c r="X10" s="238"/>
      <c r="Y10" s="238"/>
    </row>
    <row r="11" spans="1:25" s="239" customFormat="1" ht="15" customHeight="1">
      <c r="A11" s="231"/>
      <c r="B11" s="232"/>
      <c r="C11" s="243" t="s">
        <v>224</v>
      </c>
      <c r="D11" s="244">
        <f aca="true" t="shared" si="3" ref="D11:K11">SUM(D12:D15)</f>
        <v>478496</v>
      </c>
      <c r="E11" s="244">
        <f t="shared" si="3"/>
        <v>519596</v>
      </c>
      <c r="F11" s="244">
        <v>498944</v>
      </c>
      <c r="G11" s="244">
        <f t="shared" si="3"/>
        <v>10200</v>
      </c>
      <c r="H11" s="244">
        <f t="shared" si="3"/>
        <v>8491</v>
      </c>
      <c r="I11" s="244">
        <v>8491</v>
      </c>
      <c r="J11" s="244">
        <f t="shared" si="3"/>
        <v>1475</v>
      </c>
      <c r="K11" s="244">
        <f t="shared" si="3"/>
        <v>0</v>
      </c>
      <c r="L11" s="244"/>
      <c r="M11" s="36">
        <f>SUM(D11+G11+J11)</f>
        <v>490171</v>
      </c>
      <c r="N11" s="36">
        <f t="shared" si="2"/>
        <v>528087</v>
      </c>
      <c r="O11" s="207">
        <f t="shared" si="2"/>
        <v>507435</v>
      </c>
      <c r="P11" s="238"/>
      <c r="Q11" s="238"/>
      <c r="R11" s="238"/>
      <c r="S11" s="238"/>
      <c r="T11" s="238"/>
      <c r="U11" s="238"/>
      <c r="V11" s="238"/>
      <c r="W11" s="238"/>
      <c r="X11" s="238"/>
      <c r="Y11" s="238"/>
    </row>
    <row r="12" spans="1:25" ht="25.5" customHeight="1">
      <c r="A12" s="219"/>
      <c r="B12" s="220"/>
      <c r="C12" s="245" t="s">
        <v>225</v>
      </c>
      <c r="D12" s="241">
        <v>325381</v>
      </c>
      <c r="E12" s="241">
        <v>348772</v>
      </c>
      <c r="F12" s="241">
        <v>329339</v>
      </c>
      <c r="G12" s="241"/>
      <c r="H12" s="241"/>
      <c r="I12" s="241"/>
      <c r="J12" s="241">
        <v>1475</v>
      </c>
      <c r="K12" s="241">
        <v>0</v>
      </c>
      <c r="L12" s="241"/>
      <c r="M12" s="29">
        <f>SUM(D12+G12+J12)</f>
        <v>326856</v>
      </c>
      <c r="N12" s="29">
        <f t="shared" si="2"/>
        <v>348772</v>
      </c>
      <c r="O12" s="242">
        <f t="shared" si="2"/>
        <v>329339</v>
      </c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2.75" customHeight="1">
      <c r="A13" s="219"/>
      <c r="B13" s="220"/>
      <c r="C13" s="245" t="s">
        <v>31</v>
      </c>
      <c r="D13" s="241"/>
      <c r="E13" s="241"/>
      <c r="F13" s="241">
        <v>8105</v>
      </c>
      <c r="G13" s="241"/>
      <c r="H13" s="241"/>
      <c r="I13" s="241"/>
      <c r="J13" s="241"/>
      <c r="K13" s="241"/>
      <c r="L13" s="241"/>
      <c r="M13" s="29">
        <v>0</v>
      </c>
      <c r="N13" s="29">
        <f t="shared" si="2"/>
        <v>0</v>
      </c>
      <c r="O13" s="242">
        <f t="shared" si="2"/>
        <v>8105</v>
      </c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239" customFormat="1" ht="15" customHeight="1">
      <c r="A14" s="231"/>
      <c r="B14" s="232"/>
      <c r="C14" s="27" t="s">
        <v>226</v>
      </c>
      <c r="D14" s="241">
        <v>153115</v>
      </c>
      <c r="E14" s="241">
        <v>170824</v>
      </c>
      <c r="F14" s="241">
        <v>161500</v>
      </c>
      <c r="G14" s="241"/>
      <c r="H14" s="241">
        <v>451</v>
      </c>
      <c r="I14" s="241">
        <v>451</v>
      </c>
      <c r="J14" s="241"/>
      <c r="K14" s="241"/>
      <c r="L14" s="241"/>
      <c r="M14" s="29">
        <f aca="true" t="shared" si="4" ref="M14:M31">SUM(D14+G14+J14)</f>
        <v>153115</v>
      </c>
      <c r="N14" s="29">
        <f t="shared" si="2"/>
        <v>171275</v>
      </c>
      <c r="O14" s="242">
        <f t="shared" si="2"/>
        <v>161951</v>
      </c>
      <c r="P14" s="238"/>
      <c r="Q14" s="238"/>
      <c r="R14" s="238"/>
      <c r="S14" s="238"/>
      <c r="T14" s="238"/>
      <c r="U14" s="238"/>
      <c r="V14" s="238"/>
      <c r="W14" s="238"/>
      <c r="X14" s="238"/>
      <c r="Y14" s="238"/>
    </row>
    <row r="15" spans="1:25" s="239" customFormat="1" ht="15" customHeight="1">
      <c r="A15" s="231"/>
      <c r="B15" s="232"/>
      <c r="C15" s="27" t="s">
        <v>227</v>
      </c>
      <c r="D15" s="241"/>
      <c r="E15" s="241"/>
      <c r="F15" s="241">
        <v>0</v>
      </c>
      <c r="G15" s="241">
        <v>10200</v>
      </c>
      <c r="H15" s="241">
        <v>8040</v>
      </c>
      <c r="I15" s="241">
        <v>8040</v>
      </c>
      <c r="J15" s="241"/>
      <c r="K15" s="241"/>
      <c r="L15" s="241"/>
      <c r="M15" s="29">
        <f t="shared" si="4"/>
        <v>10200</v>
      </c>
      <c r="N15" s="29">
        <f t="shared" si="2"/>
        <v>8040</v>
      </c>
      <c r="O15" s="242">
        <f t="shared" si="2"/>
        <v>8040</v>
      </c>
      <c r="P15" s="238"/>
      <c r="Q15" s="238"/>
      <c r="R15" s="238"/>
      <c r="S15" s="238"/>
      <c r="T15" s="238"/>
      <c r="U15" s="238"/>
      <c r="V15" s="238"/>
      <c r="W15" s="238"/>
      <c r="X15" s="238"/>
      <c r="Y15" s="238"/>
    </row>
    <row r="16" spans="1:25" s="239" customFormat="1" ht="15" customHeight="1">
      <c r="A16" s="246"/>
      <c r="B16" s="247"/>
      <c r="C16" s="38" t="s">
        <v>228</v>
      </c>
      <c r="D16" s="240">
        <v>2517144</v>
      </c>
      <c r="E16" s="240">
        <v>891692</v>
      </c>
      <c r="F16" s="240">
        <v>558485</v>
      </c>
      <c r="G16" s="240">
        <v>0</v>
      </c>
      <c r="H16" s="240">
        <v>9058</v>
      </c>
      <c r="I16" s="240">
        <v>7815</v>
      </c>
      <c r="J16" s="240">
        <v>1500</v>
      </c>
      <c r="K16" s="240">
        <v>16068</v>
      </c>
      <c r="L16" s="240">
        <v>11189</v>
      </c>
      <c r="M16" s="36">
        <f t="shared" si="4"/>
        <v>2518644</v>
      </c>
      <c r="N16" s="36">
        <f t="shared" si="2"/>
        <v>916818</v>
      </c>
      <c r="O16" s="207">
        <f t="shared" si="2"/>
        <v>577489</v>
      </c>
      <c r="P16" s="238"/>
      <c r="Q16" s="238"/>
      <c r="R16" s="238"/>
      <c r="S16" s="238"/>
      <c r="T16" s="238"/>
      <c r="U16" s="238"/>
      <c r="V16" s="238"/>
      <c r="W16" s="238"/>
      <c r="X16" s="238"/>
      <c r="Y16" s="238"/>
    </row>
    <row r="17" spans="1:25" s="239" customFormat="1" ht="15" customHeight="1">
      <c r="A17" s="232"/>
      <c r="B17" s="232"/>
      <c r="C17" s="38" t="s">
        <v>229</v>
      </c>
      <c r="D17" s="240">
        <v>99646</v>
      </c>
      <c r="E17" s="240">
        <v>94116</v>
      </c>
      <c r="F17" s="240">
        <v>55321</v>
      </c>
      <c r="G17" s="240">
        <v>15800</v>
      </c>
      <c r="H17" s="240">
        <v>7599</v>
      </c>
      <c r="I17" s="240">
        <v>7590</v>
      </c>
      <c r="J17" s="240">
        <v>2350</v>
      </c>
      <c r="K17" s="240">
        <v>6571</v>
      </c>
      <c r="L17" s="240">
        <v>0</v>
      </c>
      <c r="M17" s="36">
        <f t="shared" si="4"/>
        <v>117796</v>
      </c>
      <c r="N17" s="36">
        <f t="shared" si="2"/>
        <v>108286</v>
      </c>
      <c r="O17" s="207">
        <f t="shared" si="2"/>
        <v>62911</v>
      </c>
      <c r="P17" s="238"/>
      <c r="Q17" s="238"/>
      <c r="R17" s="238"/>
      <c r="S17" s="238"/>
      <c r="T17" s="238"/>
      <c r="U17" s="238"/>
      <c r="V17" s="238"/>
      <c r="W17" s="238"/>
      <c r="X17" s="238"/>
      <c r="Y17" s="238"/>
    </row>
    <row r="18" spans="1:25" s="239" customFormat="1" ht="15" customHeight="1">
      <c r="A18" s="232"/>
      <c r="B18" s="232"/>
      <c r="C18" s="38" t="s">
        <v>230</v>
      </c>
      <c r="D18" s="240">
        <v>303871</v>
      </c>
      <c r="E18" s="240">
        <v>242979</v>
      </c>
      <c r="F18" s="240">
        <v>121722</v>
      </c>
      <c r="G18" s="240"/>
      <c r="H18" s="240"/>
      <c r="I18" s="240"/>
      <c r="J18" s="240"/>
      <c r="K18" s="240"/>
      <c r="L18" s="240"/>
      <c r="M18" s="36">
        <f t="shared" si="4"/>
        <v>303871</v>
      </c>
      <c r="N18" s="36">
        <f t="shared" si="2"/>
        <v>242979</v>
      </c>
      <c r="O18" s="207">
        <f t="shared" si="2"/>
        <v>121722</v>
      </c>
      <c r="P18" s="238"/>
      <c r="Q18" s="238"/>
      <c r="R18" s="238"/>
      <c r="S18" s="238"/>
      <c r="T18" s="238"/>
      <c r="U18" s="238"/>
      <c r="V18" s="238"/>
      <c r="W18" s="238"/>
      <c r="X18" s="238"/>
      <c r="Y18" s="238"/>
    </row>
    <row r="19" spans="1:25" s="239" customFormat="1" ht="15" customHeight="1">
      <c r="A19" s="232"/>
      <c r="B19" s="232"/>
      <c r="C19" s="38" t="s">
        <v>44</v>
      </c>
      <c r="D19" s="240">
        <v>11000</v>
      </c>
      <c r="E19" s="240">
        <v>0</v>
      </c>
      <c r="F19" s="240">
        <v>0</v>
      </c>
      <c r="G19" s="240"/>
      <c r="H19" s="240"/>
      <c r="I19" s="240"/>
      <c r="J19" s="240"/>
      <c r="K19" s="240"/>
      <c r="L19" s="240"/>
      <c r="M19" s="36">
        <f t="shared" si="4"/>
        <v>11000</v>
      </c>
      <c r="N19" s="36">
        <f t="shared" si="2"/>
        <v>0</v>
      </c>
      <c r="O19" s="207">
        <f t="shared" si="2"/>
        <v>0</v>
      </c>
      <c r="P19" s="238"/>
      <c r="Q19" s="238"/>
      <c r="R19" s="238"/>
      <c r="S19" s="238"/>
      <c r="T19" s="238"/>
      <c r="U19" s="238"/>
      <c r="V19" s="238"/>
      <c r="W19" s="238"/>
      <c r="X19" s="238"/>
      <c r="Y19" s="238"/>
    </row>
    <row r="20" spans="1:25" s="239" customFormat="1" ht="15" customHeight="1">
      <c r="A20" s="232"/>
      <c r="B20" s="232"/>
      <c r="C20" s="38" t="s">
        <v>126</v>
      </c>
      <c r="D20" s="240">
        <v>139986</v>
      </c>
      <c r="E20" s="240">
        <v>94652</v>
      </c>
      <c r="F20" s="240">
        <v>0</v>
      </c>
      <c r="G20" s="240"/>
      <c r="H20" s="240"/>
      <c r="I20" s="240"/>
      <c r="J20" s="240"/>
      <c r="K20" s="240"/>
      <c r="L20" s="240"/>
      <c r="M20" s="36">
        <f t="shared" si="4"/>
        <v>139986</v>
      </c>
      <c r="N20" s="36">
        <f t="shared" si="2"/>
        <v>94652</v>
      </c>
      <c r="O20" s="207">
        <f t="shared" si="2"/>
        <v>0</v>
      </c>
      <c r="P20" s="238"/>
      <c r="Q20" s="238"/>
      <c r="R20" s="238"/>
      <c r="S20" s="238"/>
      <c r="T20" s="238"/>
      <c r="U20" s="238"/>
      <c r="V20" s="238"/>
      <c r="W20" s="238"/>
      <c r="X20" s="238"/>
      <c r="Y20" s="238"/>
    </row>
    <row r="21" spans="1:25" s="239" customFormat="1" ht="15" customHeight="1">
      <c r="A21" s="232"/>
      <c r="B21" s="232"/>
      <c r="C21" s="38" t="s">
        <v>172</v>
      </c>
      <c r="D21" s="240">
        <v>380285</v>
      </c>
      <c r="E21" s="240">
        <v>62323</v>
      </c>
      <c r="F21" s="240">
        <v>0</v>
      </c>
      <c r="G21" s="240"/>
      <c r="H21" s="240"/>
      <c r="I21" s="240"/>
      <c r="J21" s="240"/>
      <c r="K21" s="240"/>
      <c r="L21" s="240"/>
      <c r="M21" s="36">
        <f t="shared" si="4"/>
        <v>380285</v>
      </c>
      <c r="N21" s="36">
        <f t="shared" si="2"/>
        <v>62323</v>
      </c>
      <c r="O21" s="207">
        <f t="shared" si="2"/>
        <v>0</v>
      </c>
      <c r="P21" s="238"/>
      <c r="Q21" s="238"/>
      <c r="R21" s="238"/>
      <c r="S21" s="238"/>
      <c r="T21" s="238"/>
      <c r="U21" s="238"/>
      <c r="V21" s="238"/>
      <c r="W21" s="238"/>
      <c r="X21" s="238"/>
      <c r="Y21" s="238"/>
    </row>
    <row r="22" spans="1:25" s="239" customFormat="1" ht="15" customHeight="1">
      <c r="A22" s="232"/>
      <c r="B22" s="232"/>
      <c r="C22" s="38" t="s">
        <v>62</v>
      </c>
      <c r="D22" s="240">
        <v>0</v>
      </c>
      <c r="E22" s="240">
        <v>0</v>
      </c>
      <c r="F22" s="240">
        <v>0</v>
      </c>
      <c r="G22" s="240"/>
      <c r="H22" s="240"/>
      <c r="I22" s="240"/>
      <c r="J22" s="240"/>
      <c r="K22" s="240"/>
      <c r="L22" s="240"/>
      <c r="M22" s="36">
        <f t="shared" si="4"/>
        <v>0</v>
      </c>
      <c r="N22" s="36">
        <f t="shared" si="2"/>
        <v>0</v>
      </c>
      <c r="O22" s="207">
        <f t="shared" si="2"/>
        <v>0</v>
      </c>
      <c r="P22" s="238"/>
      <c r="Q22" s="238"/>
      <c r="R22" s="238"/>
      <c r="S22" s="238"/>
      <c r="T22" s="238"/>
      <c r="U22" s="238"/>
      <c r="V22" s="238"/>
      <c r="W22" s="238"/>
      <c r="X22" s="238"/>
      <c r="Y22" s="238"/>
    </row>
    <row r="23" spans="1:25" s="239" customFormat="1" ht="15" customHeight="1">
      <c r="A23" s="232"/>
      <c r="B23" s="232"/>
      <c r="C23" s="38" t="s">
        <v>231</v>
      </c>
      <c r="D23" s="240">
        <f>SUM(D24,D27,D38)</f>
        <v>81400</v>
      </c>
      <c r="E23" s="240">
        <f>E24+E27+E38</f>
        <v>281351</v>
      </c>
      <c r="F23" s="240">
        <v>266951</v>
      </c>
      <c r="G23" s="240">
        <f>G24+G27+G38</f>
        <v>14433</v>
      </c>
      <c r="H23" s="240">
        <f>H24+H27+H38</f>
        <v>4433</v>
      </c>
      <c r="I23" s="240">
        <v>4433</v>
      </c>
      <c r="J23" s="240">
        <f>SUM(J24,J27,J38)</f>
        <v>7500</v>
      </c>
      <c r="K23" s="240">
        <v>0</v>
      </c>
      <c r="L23" s="240"/>
      <c r="M23" s="36">
        <f t="shared" si="4"/>
        <v>103333</v>
      </c>
      <c r="N23" s="36">
        <f t="shared" si="2"/>
        <v>285784</v>
      </c>
      <c r="O23" s="207">
        <f t="shared" si="2"/>
        <v>271384</v>
      </c>
      <c r="P23" s="238"/>
      <c r="Q23" s="238"/>
      <c r="R23" s="238"/>
      <c r="S23" s="238"/>
      <c r="T23" s="238"/>
      <c r="U23" s="238"/>
      <c r="V23" s="238"/>
      <c r="W23" s="238"/>
      <c r="X23" s="238"/>
      <c r="Y23" s="238"/>
    </row>
    <row r="24" spans="1:25" ht="15" customHeight="1">
      <c r="A24" s="248"/>
      <c r="B24" s="248"/>
      <c r="C24" s="27" t="s">
        <v>232</v>
      </c>
      <c r="D24" s="249">
        <f>SUM(D25:D26)</f>
        <v>6800</v>
      </c>
      <c r="E24" s="249">
        <f>SUM(E25:E26)</f>
        <v>2300</v>
      </c>
      <c r="F24" s="249">
        <v>900</v>
      </c>
      <c r="G24" s="241"/>
      <c r="H24" s="249"/>
      <c r="I24" s="249"/>
      <c r="J24" s="241"/>
      <c r="K24" s="249"/>
      <c r="L24" s="249"/>
      <c r="M24" s="29">
        <f t="shared" si="4"/>
        <v>6800</v>
      </c>
      <c r="N24" s="29">
        <f t="shared" si="2"/>
        <v>2300</v>
      </c>
      <c r="O24" s="242">
        <f t="shared" si="2"/>
        <v>900</v>
      </c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254" customFormat="1" ht="15" customHeight="1">
      <c r="A25" s="250"/>
      <c r="B25" s="250"/>
      <c r="C25" s="251" t="s">
        <v>233</v>
      </c>
      <c r="D25" s="252">
        <v>5300</v>
      </c>
      <c r="E25" s="252">
        <v>800</v>
      </c>
      <c r="F25" s="252">
        <v>600</v>
      </c>
      <c r="G25" s="252"/>
      <c r="H25" s="252"/>
      <c r="I25" s="252"/>
      <c r="J25" s="252"/>
      <c r="K25" s="252"/>
      <c r="L25" s="252"/>
      <c r="M25" s="49">
        <f t="shared" si="4"/>
        <v>5300</v>
      </c>
      <c r="N25" s="29">
        <f t="shared" si="2"/>
        <v>800</v>
      </c>
      <c r="O25" s="242">
        <f t="shared" si="2"/>
        <v>600</v>
      </c>
      <c r="P25" s="253"/>
      <c r="Q25" s="253"/>
      <c r="R25" s="253"/>
      <c r="S25" s="253"/>
      <c r="T25" s="253"/>
      <c r="U25" s="253"/>
      <c r="V25" s="253"/>
      <c r="W25" s="253"/>
      <c r="X25" s="253"/>
      <c r="Y25" s="253"/>
    </row>
    <row r="26" spans="1:25" s="254" customFormat="1" ht="15" customHeight="1">
      <c r="A26" s="250"/>
      <c r="B26" s="250"/>
      <c r="C26" s="251" t="s">
        <v>168</v>
      </c>
      <c r="D26" s="252">
        <v>1500</v>
      </c>
      <c r="E26" s="252">
        <v>1500</v>
      </c>
      <c r="F26" s="252">
        <v>300</v>
      </c>
      <c r="G26" s="252"/>
      <c r="H26" s="252"/>
      <c r="I26" s="252"/>
      <c r="J26" s="252"/>
      <c r="K26" s="252"/>
      <c r="L26" s="252"/>
      <c r="M26" s="49">
        <f t="shared" si="4"/>
        <v>1500</v>
      </c>
      <c r="N26" s="29">
        <f t="shared" si="2"/>
        <v>1500</v>
      </c>
      <c r="O26" s="242">
        <f t="shared" si="2"/>
        <v>300</v>
      </c>
      <c r="P26" s="253"/>
      <c r="Q26" s="253"/>
      <c r="R26" s="253"/>
      <c r="S26" s="253"/>
      <c r="T26" s="253"/>
      <c r="U26" s="253"/>
      <c r="V26" s="253"/>
      <c r="W26" s="253"/>
      <c r="X26" s="253"/>
      <c r="Y26" s="253"/>
    </row>
    <row r="27" spans="1:25" ht="15" customHeight="1">
      <c r="A27" s="248"/>
      <c r="B27" s="248"/>
      <c r="C27" s="27" t="s">
        <v>86</v>
      </c>
      <c r="D27" s="241">
        <f>SUM(D28:D35)</f>
        <v>74600</v>
      </c>
      <c r="E27" s="241">
        <f>SUM(E28:E37)</f>
        <v>279051</v>
      </c>
      <c r="F27" s="241">
        <v>266051</v>
      </c>
      <c r="G27" s="241"/>
      <c r="H27" s="241"/>
      <c r="I27" s="241"/>
      <c r="J27" s="241"/>
      <c r="K27" s="241"/>
      <c r="L27" s="241"/>
      <c r="M27" s="29">
        <f t="shared" si="4"/>
        <v>74600</v>
      </c>
      <c r="N27" s="29">
        <f t="shared" si="2"/>
        <v>279051</v>
      </c>
      <c r="O27" s="242">
        <f t="shared" si="2"/>
        <v>266051</v>
      </c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254" customFormat="1" ht="15" customHeight="1">
      <c r="A28" s="250"/>
      <c r="B28" s="250"/>
      <c r="C28" s="251" t="s">
        <v>234</v>
      </c>
      <c r="D28" s="252">
        <v>2000</v>
      </c>
      <c r="E28" s="252">
        <v>2000</v>
      </c>
      <c r="F28" s="252">
        <v>2000</v>
      </c>
      <c r="G28" s="252"/>
      <c r="H28" s="252"/>
      <c r="I28" s="252"/>
      <c r="J28" s="252"/>
      <c r="K28" s="252"/>
      <c r="L28" s="252"/>
      <c r="M28" s="49">
        <f t="shared" si="4"/>
        <v>2000</v>
      </c>
      <c r="N28" s="29">
        <f t="shared" si="2"/>
        <v>2000</v>
      </c>
      <c r="O28" s="242">
        <f t="shared" si="2"/>
        <v>2000</v>
      </c>
      <c r="P28" s="253"/>
      <c r="Q28" s="253"/>
      <c r="R28" s="253"/>
      <c r="S28" s="253"/>
      <c r="T28" s="253"/>
      <c r="U28" s="253"/>
      <c r="V28" s="253"/>
      <c r="W28" s="253"/>
      <c r="X28" s="253"/>
      <c r="Y28" s="253"/>
    </row>
    <row r="29" spans="1:25" s="254" customFormat="1" ht="15" customHeight="1">
      <c r="A29" s="250"/>
      <c r="B29" s="250"/>
      <c r="C29" s="251" t="s">
        <v>235</v>
      </c>
      <c r="D29" s="252">
        <v>5000</v>
      </c>
      <c r="E29" s="252">
        <v>5000</v>
      </c>
      <c r="F29" s="252">
        <v>0</v>
      </c>
      <c r="G29" s="252"/>
      <c r="H29" s="252"/>
      <c r="I29" s="252"/>
      <c r="J29" s="252"/>
      <c r="K29" s="252"/>
      <c r="L29" s="252"/>
      <c r="M29" s="49">
        <f t="shared" si="4"/>
        <v>5000</v>
      </c>
      <c r="N29" s="29">
        <f t="shared" si="2"/>
        <v>5000</v>
      </c>
      <c r="O29" s="242">
        <f t="shared" si="2"/>
        <v>0</v>
      </c>
      <c r="P29" s="253"/>
      <c r="Q29" s="253"/>
      <c r="R29" s="253"/>
      <c r="S29" s="253"/>
      <c r="T29" s="253"/>
      <c r="U29" s="253"/>
      <c r="V29" s="253"/>
      <c r="W29" s="253"/>
      <c r="X29" s="253"/>
      <c r="Y29" s="253"/>
    </row>
    <row r="30" spans="1:25" s="254" customFormat="1" ht="15" customHeight="1">
      <c r="A30" s="250"/>
      <c r="B30" s="250"/>
      <c r="C30" s="251" t="s">
        <v>236</v>
      </c>
      <c r="D30" s="252">
        <v>6000</v>
      </c>
      <c r="E30" s="252">
        <v>6000</v>
      </c>
      <c r="F30" s="252">
        <v>0</v>
      </c>
      <c r="G30" s="252"/>
      <c r="H30" s="252"/>
      <c r="I30" s="252"/>
      <c r="J30" s="252"/>
      <c r="K30" s="252"/>
      <c r="L30" s="252"/>
      <c r="M30" s="49">
        <f t="shared" si="4"/>
        <v>6000</v>
      </c>
      <c r="N30" s="29">
        <f t="shared" si="2"/>
        <v>6000</v>
      </c>
      <c r="O30" s="242">
        <f t="shared" si="2"/>
        <v>0</v>
      </c>
      <c r="P30" s="253"/>
      <c r="Q30" s="253"/>
      <c r="R30" s="253"/>
      <c r="S30" s="253"/>
      <c r="T30" s="253"/>
      <c r="U30" s="253"/>
      <c r="V30" s="253"/>
      <c r="W30" s="253"/>
      <c r="X30" s="253"/>
      <c r="Y30" s="253"/>
    </row>
    <row r="31" spans="1:25" s="254" customFormat="1" ht="15" customHeight="1">
      <c r="A31" s="250"/>
      <c r="B31" s="250"/>
      <c r="C31" s="251" t="s">
        <v>237</v>
      </c>
      <c r="D31" s="252">
        <v>15000</v>
      </c>
      <c r="E31" s="252">
        <v>196000</v>
      </c>
      <c r="F31" s="252">
        <v>196000</v>
      </c>
      <c r="G31" s="252"/>
      <c r="H31" s="252"/>
      <c r="I31" s="252"/>
      <c r="J31" s="252"/>
      <c r="K31" s="252"/>
      <c r="L31" s="252"/>
      <c r="M31" s="49">
        <f t="shared" si="4"/>
        <v>15000</v>
      </c>
      <c r="N31" s="29">
        <f t="shared" si="2"/>
        <v>196000</v>
      </c>
      <c r="O31" s="242">
        <f t="shared" si="2"/>
        <v>196000</v>
      </c>
      <c r="P31" s="253"/>
      <c r="Q31" s="253"/>
      <c r="R31" s="253"/>
      <c r="S31" s="253"/>
      <c r="T31" s="253"/>
      <c r="U31" s="253"/>
      <c r="V31" s="253"/>
      <c r="W31" s="253"/>
      <c r="X31" s="253"/>
      <c r="Y31" s="253"/>
    </row>
    <row r="32" spans="1:25" s="254" customFormat="1" ht="15" customHeight="1">
      <c r="A32" s="250"/>
      <c r="B32" s="250"/>
      <c r="C32" s="251" t="s">
        <v>238</v>
      </c>
      <c r="D32" s="252"/>
      <c r="E32" s="252">
        <v>10980</v>
      </c>
      <c r="F32" s="252">
        <v>10980</v>
      </c>
      <c r="G32" s="252"/>
      <c r="H32" s="252"/>
      <c r="I32" s="252"/>
      <c r="J32" s="252"/>
      <c r="K32" s="252"/>
      <c r="L32" s="252"/>
      <c r="M32" s="49"/>
      <c r="N32" s="29">
        <f t="shared" si="2"/>
        <v>10980</v>
      </c>
      <c r="O32" s="242">
        <f t="shared" si="2"/>
        <v>10980</v>
      </c>
      <c r="P32" s="253"/>
      <c r="Q32" s="253"/>
      <c r="R32" s="253"/>
      <c r="S32" s="253"/>
      <c r="T32" s="253"/>
      <c r="U32" s="253"/>
      <c r="V32" s="253"/>
      <c r="W32" s="253"/>
      <c r="X32" s="253"/>
      <c r="Y32" s="253"/>
    </row>
    <row r="33" spans="1:25" s="254" customFormat="1" ht="26.25" customHeight="1">
      <c r="A33" s="250"/>
      <c r="B33" s="250"/>
      <c r="C33" s="208" t="s">
        <v>239</v>
      </c>
      <c r="D33" s="252">
        <v>34100</v>
      </c>
      <c r="E33" s="252">
        <v>0</v>
      </c>
      <c r="F33" s="252">
        <v>0</v>
      </c>
      <c r="G33" s="252"/>
      <c r="H33" s="252"/>
      <c r="I33" s="252"/>
      <c r="J33" s="252"/>
      <c r="K33" s="252"/>
      <c r="L33" s="252"/>
      <c r="M33" s="49">
        <f>SUM(D33+G33+J33)</f>
        <v>34100</v>
      </c>
      <c r="N33" s="29">
        <f t="shared" si="2"/>
        <v>0</v>
      </c>
      <c r="O33" s="242">
        <f t="shared" si="2"/>
        <v>0</v>
      </c>
      <c r="P33" s="253"/>
      <c r="Q33" s="253"/>
      <c r="R33" s="253"/>
      <c r="S33" s="253"/>
      <c r="T33" s="253"/>
      <c r="U33" s="253"/>
      <c r="V33" s="253"/>
      <c r="W33" s="253"/>
      <c r="X33" s="253"/>
      <c r="Y33" s="253"/>
    </row>
    <row r="34" spans="1:25" s="254" customFormat="1" ht="15" customHeight="1">
      <c r="A34" s="250"/>
      <c r="B34" s="250"/>
      <c r="C34" s="251" t="s">
        <v>146</v>
      </c>
      <c r="D34" s="252">
        <v>5000</v>
      </c>
      <c r="E34" s="252">
        <v>6500</v>
      </c>
      <c r="F34" s="252">
        <v>4500</v>
      </c>
      <c r="G34" s="252"/>
      <c r="H34" s="252"/>
      <c r="I34" s="252"/>
      <c r="J34" s="252"/>
      <c r="K34" s="252"/>
      <c r="L34" s="252"/>
      <c r="M34" s="49">
        <f>SUM(D34+G34+J34)</f>
        <v>5000</v>
      </c>
      <c r="N34" s="29">
        <f t="shared" si="2"/>
        <v>6500</v>
      </c>
      <c r="O34" s="242">
        <f t="shared" si="2"/>
        <v>4500</v>
      </c>
      <c r="P34" s="253"/>
      <c r="Q34" s="253"/>
      <c r="R34" s="253"/>
      <c r="S34" s="253"/>
      <c r="T34" s="253"/>
      <c r="U34" s="253"/>
      <c r="V34" s="253"/>
      <c r="W34" s="253"/>
      <c r="X34" s="253"/>
      <c r="Y34" s="253"/>
    </row>
    <row r="35" spans="1:25" s="254" customFormat="1" ht="15" customHeight="1">
      <c r="A35" s="250"/>
      <c r="B35" s="250"/>
      <c r="C35" s="251" t="s">
        <v>240</v>
      </c>
      <c r="D35" s="252">
        <v>7500</v>
      </c>
      <c r="E35" s="252">
        <v>0</v>
      </c>
      <c r="F35" s="252">
        <v>0</v>
      </c>
      <c r="G35" s="252"/>
      <c r="H35" s="252"/>
      <c r="I35" s="252"/>
      <c r="J35" s="252"/>
      <c r="K35" s="252"/>
      <c r="L35" s="252"/>
      <c r="M35" s="49">
        <f>SUM(D35+G35+J35)</f>
        <v>7500</v>
      </c>
      <c r="N35" s="29">
        <f t="shared" si="2"/>
        <v>0</v>
      </c>
      <c r="O35" s="242">
        <f t="shared" si="2"/>
        <v>0</v>
      </c>
      <c r="P35" s="253"/>
      <c r="Q35" s="253"/>
      <c r="R35" s="253"/>
      <c r="S35" s="253"/>
      <c r="T35" s="253"/>
      <c r="U35" s="253"/>
      <c r="V35" s="253"/>
      <c r="W35" s="253"/>
      <c r="X35" s="253"/>
      <c r="Y35" s="253"/>
    </row>
    <row r="36" spans="1:25" s="254" customFormat="1" ht="15" customHeight="1">
      <c r="A36" s="250"/>
      <c r="B36" s="250"/>
      <c r="C36" s="251" t="s">
        <v>241</v>
      </c>
      <c r="D36" s="252"/>
      <c r="E36" s="252">
        <v>49571</v>
      </c>
      <c r="F36" s="252">
        <v>49571</v>
      </c>
      <c r="G36" s="252"/>
      <c r="H36" s="252"/>
      <c r="I36" s="252"/>
      <c r="J36" s="252"/>
      <c r="K36" s="252"/>
      <c r="L36" s="252"/>
      <c r="M36" s="49"/>
      <c r="N36" s="29">
        <f t="shared" si="2"/>
        <v>49571</v>
      </c>
      <c r="O36" s="242">
        <f t="shared" si="2"/>
        <v>49571</v>
      </c>
      <c r="P36" s="253"/>
      <c r="Q36" s="253"/>
      <c r="R36" s="253"/>
      <c r="S36" s="253"/>
      <c r="T36" s="253"/>
      <c r="U36" s="253"/>
      <c r="V36" s="253"/>
      <c r="W36" s="253"/>
      <c r="X36" s="253"/>
      <c r="Y36" s="253"/>
    </row>
    <row r="37" spans="1:25" s="257" customFormat="1" ht="15" customHeight="1">
      <c r="A37" s="255"/>
      <c r="B37" s="255"/>
      <c r="C37" s="251" t="s">
        <v>147</v>
      </c>
      <c r="D37" s="56"/>
      <c r="E37" s="49">
        <v>3000</v>
      </c>
      <c r="F37" s="49">
        <v>3000</v>
      </c>
      <c r="G37" s="56"/>
      <c r="H37" s="56"/>
      <c r="I37" s="56"/>
      <c r="J37" s="56"/>
      <c r="K37" s="56"/>
      <c r="L37" s="56"/>
      <c r="M37" s="56"/>
      <c r="N37" s="29">
        <f t="shared" si="2"/>
        <v>3000</v>
      </c>
      <c r="O37" s="242">
        <f t="shared" si="2"/>
        <v>3000</v>
      </c>
      <c r="P37" s="256"/>
      <c r="Q37" s="256"/>
      <c r="R37" s="256"/>
      <c r="S37" s="256"/>
      <c r="T37" s="256"/>
      <c r="U37" s="256"/>
      <c r="V37" s="256"/>
      <c r="W37" s="256"/>
      <c r="X37" s="256"/>
      <c r="Y37" s="256"/>
    </row>
    <row r="38" spans="1:25" ht="15" customHeight="1">
      <c r="A38" s="248"/>
      <c r="B38" s="248"/>
      <c r="C38" s="199" t="s">
        <v>242</v>
      </c>
      <c r="D38" s="241"/>
      <c r="E38" s="241"/>
      <c r="F38" s="241">
        <v>0</v>
      </c>
      <c r="G38" s="241">
        <v>14433</v>
      </c>
      <c r="H38" s="241">
        <v>4433</v>
      </c>
      <c r="I38" s="241">
        <v>4433</v>
      </c>
      <c r="J38" s="241">
        <v>7500</v>
      </c>
      <c r="K38" s="241"/>
      <c r="L38" s="241">
        <v>0</v>
      </c>
      <c r="M38" s="29">
        <f>SUM(D38+G38+J38)</f>
        <v>21933</v>
      </c>
      <c r="N38" s="29">
        <f t="shared" si="2"/>
        <v>4433</v>
      </c>
      <c r="O38" s="242">
        <f t="shared" si="2"/>
        <v>4433</v>
      </c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s="239" customFormat="1" ht="15" customHeight="1">
      <c r="A39" s="258"/>
      <c r="B39" s="258"/>
      <c r="C39" s="243" t="s">
        <v>81</v>
      </c>
      <c r="D39" s="240">
        <f>SUM(D40:D41)</f>
        <v>1963</v>
      </c>
      <c r="E39" s="240">
        <f>SUM(E40:E41)</f>
        <v>25238</v>
      </c>
      <c r="F39" s="240">
        <v>3142</v>
      </c>
      <c r="G39" s="240">
        <f>SUM(G40:G41)</f>
        <v>0</v>
      </c>
      <c r="H39" s="240">
        <v>0</v>
      </c>
      <c r="I39" s="240"/>
      <c r="J39" s="240">
        <f>SUM(J40:J41)</f>
        <v>0</v>
      </c>
      <c r="K39" s="240">
        <v>0</v>
      </c>
      <c r="L39" s="240"/>
      <c r="M39" s="36">
        <f>SUM(D39+G39+J39)</f>
        <v>1963</v>
      </c>
      <c r="N39" s="36">
        <f t="shared" si="2"/>
        <v>25238</v>
      </c>
      <c r="O39" s="207">
        <f t="shared" si="2"/>
        <v>3142</v>
      </c>
      <c r="P39" s="238"/>
      <c r="Q39" s="238"/>
      <c r="R39" s="238"/>
      <c r="S39" s="238"/>
      <c r="T39" s="238"/>
      <c r="U39" s="238"/>
      <c r="V39" s="238"/>
      <c r="W39" s="238"/>
      <c r="X39" s="238"/>
      <c r="Y39" s="238"/>
    </row>
    <row r="40" spans="1:25" ht="15" customHeight="1">
      <c r="A40" s="248"/>
      <c r="B40" s="248"/>
      <c r="C40" s="199" t="s">
        <v>243</v>
      </c>
      <c r="D40" s="241">
        <v>840</v>
      </c>
      <c r="E40" s="241">
        <v>20840</v>
      </c>
      <c r="F40" s="241">
        <v>0</v>
      </c>
      <c r="G40" s="241"/>
      <c r="H40" s="241"/>
      <c r="I40" s="241"/>
      <c r="J40" s="241"/>
      <c r="K40" s="241"/>
      <c r="L40" s="241"/>
      <c r="M40" s="29">
        <f>SUM(D40+G40+J40)</f>
        <v>840</v>
      </c>
      <c r="N40" s="29">
        <f t="shared" si="2"/>
        <v>20840</v>
      </c>
      <c r="O40" s="242">
        <f t="shared" si="2"/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" customHeight="1">
      <c r="A41" s="248"/>
      <c r="B41" s="248"/>
      <c r="C41" s="199" t="s">
        <v>244</v>
      </c>
      <c r="D41" s="241">
        <v>1123</v>
      </c>
      <c r="E41" s="241">
        <v>4398</v>
      </c>
      <c r="F41" s="241">
        <v>3142</v>
      </c>
      <c r="G41" s="241"/>
      <c r="H41" s="241"/>
      <c r="I41" s="241"/>
      <c r="J41" s="241"/>
      <c r="K41" s="241"/>
      <c r="L41" s="241"/>
      <c r="M41" s="29">
        <f>SUM(D41+G41+J41)</f>
        <v>1123</v>
      </c>
      <c r="N41" s="29">
        <f t="shared" si="2"/>
        <v>4398</v>
      </c>
      <c r="O41" s="242">
        <f t="shared" si="2"/>
        <v>3142</v>
      </c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s="239" customFormat="1" ht="15" customHeight="1">
      <c r="A42" s="258"/>
      <c r="B42" s="258"/>
      <c r="C42" s="38" t="s">
        <v>245</v>
      </c>
      <c r="D42" s="240">
        <v>20377</v>
      </c>
      <c r="E42" s="240">
        <f>17527+4600</f>
        <v>22127</v>
      </c>
      <c r="F42" s="240">
        <v>21467</v>
      </c>
      <c r="G42" s="240">
        <v>0</v>
      </c>
      <c r="H42" s="240">
        <v>0</v>
      </c>
      <c r="I42" s="240"/>
      <c r="J42" s="240">
        <v>0</v>
      </c>
      <c r="K42" s="240">
        <v>0</v>
      </c>
      <c r="L42" s="240"/>
      <c r="M42" s="36">
        <f>SUM(D42+G42+J42)</f>
        <v>20377</v>
      </c>
      <c r="N42" s="36">
        <f t="shared" si="2"/>
        <v>22127</v>
      </c>
      <c r="O42" s="207">
        <f t="shared" si="2"/>
        <v>21467</v>
      </c>
      <c r="P42" s="238"/>
      <c r="Q42" s="238"/>
      <c r="R42" s="238"/>
      <c r="S42" s="238"/>
      <c r="T42" s="238"/>
      <c r="U42" s="238"/>
      <c r="V42" s="238"/>
      <c r="W42" s="238"/>
      <c r="X42" s="238"/>
      <c r="Y42" s="238"/>
    </row>
    <row r="43" spans="1:25" s="239" customFormat="1" ht="15" customHeight="1">
      <c r="A43" s="258"/>
      <c r="B43" s="258"/>
      <c r="C43" s="38" t="s">
        <v>91</v>
      </c>
      <c r="D43" s="240"/>
      <c r="E43" s="240"/>
      <c r="F43" s="240">
        <v>-136842</v>
      </c>
      <c r="G43" s="240"/>
      <c r="H43" s="240"/>
      <c r="I43" s="240">
        <v>9426</v>
      </c>
      <c r="J43" s="240"/>
      <c r="K43" s="240"/>
      <c r="L43" s="240">
        <v>7193</v>
      </c>
      <c r="M43" s="36">
        <v>0</v>
      </c>
      <c r="N43" s="36">
        <f t="shared" si="2"/>
        <v>0</v>
      </c>
      <c r="O43" s="207">
        <f t="shared" si="2"/>
        <v>-120223</v>
      </c>
      <c r="P43" s="238"/>
      <c r="Q43" s="238"/>
      <c r="R43" s="238"/>
      <c r="S43" s="238"/>
      <c r="T43" s="238"/>
      <c r="U43" s="238"/>
      <c r="V43" s="238"/>
      <c r="W43" s="238"/>
      <c r="X43" s="238"/>
      <c r="Y43" s="238"/>
    </row>
    <row r="44" spans="1:25" s="239" customFormat="1" ht="15" customHeight="1">
      <c r="A44" s="258"/>
      <c r="B44" s="258"/>
      <c r="C44" s="259" t="s">
        <v>98</v>
      </c>
      <c r="D44" s="260">
        <f>SUM(D6,D7,D10,D11,D16,D17,D19,D20,D21,D23,D39,D42,D43,D18)</f>
        <v>5301807</v>
      </c>
      <c r="E44" s="260">
        <f aca="true" t="shared" si="5" ref="E44:M44">SUM(E6,E7,E10,E11,E16,E17,E19,E20,E21,E23,E39,E42,E43,E18)</f>
        <v>3665700</v>
      </c>
      <c r="F44" s="260">
        <f t="shared" si="5"/>
        <v>2715146</v>
      </c>
      <c r="G44" s="260">
        <f t="shared" si="5"/>
        <v>1616405</v>
      </c>
      <c r="H44" s="260">
        <f t="shared" si="5"/>
        <v>1686979</v>
      </c>
      <c r="I44" s="260">
        <f t="shared" si="5"/>
        <v>1636664</v>
      </c>
      <c r="J44" s="260">
        <f t="shared" si="5"/>
        <v>749513</v>
      </c>
      <c r="K44" s="260">
        <f t="shared" si="5"/>
        <v>869809</v>
      </c>
      <c r="L44" s="260">
        <f t="shared" si="5"/>
        <v>829164</v>
      </c>
      <c r="M44" s="260">
        <f t="shared" si="5"/>
        <v>7667725</v>
      </c>
      <c r="N44" s="215">
        <f t="shared" si="2"/>
        <v>6222488</v>
      </c>
      <c r="O44" s="216">
        <f t="shared" si="2"/>
        <v>5180974</v>
      </c>
      <c r="P44" s="26"/>
      <c r="Q44" s="238"/>
      <c r="R44" s="238"/>
      <c r="S44" s="238"/>
      <c r="T44" s="238"/>
      <c r="U44" s="238"/>
      <c r="V44" s="238"/>
      <c r="W44" s="238"/>
      <c r="X44" s="238"/>
      <c r="Y44" s="238"/>
    </row>
  </sheetData>
  <sheetProtection selectLockedCells="1" selectUnlockedCells="1"/>
  <mergeCells count="7">
    <mergeCell ref="C1:O1"/>
    <mergeCell ref="C2:O2"/>
    <mergeCell ref="C4:C5"/>
    <mergeCell ref="D4:F4"/>
    <mergeCell ref="G4:I4"/>
    <mergeCell ref="J4:L4"/>
    <mergeCell ref="M4:O4"/>
  </mergeCells>
  <printOptions horizontalCentered="1"/>
  <pageMargins left="0.39375" right="0.39375" top="0.7479166666666667" bottom="0.19652777777777777" header="0.5902777777777778" footer="0.5118055555555555"/>
  <pageSetup horizontalDpi="300" verticalDpi="300" orientation="landscape" paperSize="9" scale="59"/>
  <headerFooter alignWithMargins="0">
    <oddHeader>&amp;L&amp;8 4. melléklet a 15/2012.(IV.27.) önkormányzati rendelethez</oddHeader>
  </headerFooter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23"/>
  <sheetViews>
    <sheetView zoomScaleSheetLayoutView="100" workbookViewId="0" topLeftCell="A34">
      <selection activeCell="B50" sqref="B50"/>
    </sheetView>
  </sheetViews>
  <sheetFormatPr defaultColWidth="9.00390625" defaultRowHeight="12.75"/>
  <cols>
    <col min="1" max="1" width="6.625" style="261" customWidth="1"/>
    <col min="2" max="2" width="63.375" style="262" customWidth="1"/>
    <col min="3" max="3" width="10.625" style="263" customWidth="1"/>
    <col min="4" max="4" width="9.25390625" style="264" customWidth="1"/>
    <col min="5" max="5" width="9.00390625" style="265" customWidth="1"/>
    <col min="6" max="7" width="8.75390625" style="262" customWidth="1"/>
    <col min="8" max="8" width="9.625" style="262" customWidth="1"/>
    <col min="9" max="9" width="9.375" style="262" customWidth="1"/>
    <col min="10" max="10" width="10.125" style="262" customWidth="1"/>
    <col min="11" max="11" width="9.375" style="262" customWidth="1"/>
    <col min="12" max="12" width="9.125" style="262" customWidth="1"/>
    <col min="13" max="13" width="8.875" style="266" customWidth="1"/>
    <col min="14" max="14" width="9.625" style="262" customWidth="1"/>
    <col min="15" max="16384" width="9.125" style="262" customWidth="1"/>
  </cols>
  <sheetData>
    <row r="1" spans="1:14" ht="12.75">
      <c r="A1" s="267"/>
      <c r="B1" s="265"/>
      <c r="C1" s="268"/>
      <c r="D1" s="269"/>
      <c r="F1" s="265"/>
      <c r="G1" s="265"/>
      <c r="H1" s="265"/>
      <c r="I1" s="265"/>
      <c r="J1" s="265"/>
      <c r="K1" s="265"/>
      <c r="L1" s="265"/>
      <c r="M1" s="270"/>
      <c r="N1" s="265"/>
    </row>
    <row r="2" spans="1:14" ht="17.25" customHeight="1">
      <c r="A2" s="271" t="s">
        <v>246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 ht="15.75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12.75" customHeight="1">
      <c r="A4" s="273"/>
      <c r="B4" s="274"/>
      <c r="C4" s="275"/>
      <c r="D4" s="276"/>
      <c r="F4" s="274"/>
      <c r="G4" s="274"/>
      <c r="H4" s="274"/>
      <c r="I4" s="274"/>
      <c r="J4" s="274"/>
      <c r="K4" s="274"/>
      <c r="L4" s="276"/>
      <c r="M4" s="277"/>
      <c r="N4" s="277"/>
    </row>
    <row r="5" spans="1:14" ht="18" customHeight="1">
      <c r="A5" s="278" t="s">
        <v>3</v>
      </c>
      <c r="B5" s="278"/>
      <c r="C5" s="278"/>
      <c r="D5" s="279" t="s">
        <v>247</v>
      </c>
      <c r="E5" s="278" t="s">
        <v>248</v>
      </c>
      <c r="F5" s="280" t="s">
        <v>249</v>
      </c>
      <c r="G5" s="280"/>
      <c r="H5" s="280"/>
      <c r="I5" s="280"/>
      <c r="J5" s="280"/>
      <c r="K5" s="280" t="s">
        <v>250</v>
      </c>
      <c r="L5" s="280"/>
      <c r="M5" s="281" t="s">
        <v>251</v>
      </c>
      <c r="N5" s="282" t="s">
        <v>252</v>
      </c>
    </row>
    <row r="6" spans="1:14" s="286" customFormat="1" ht="13.5" customHeight="1">
      <c r="A6" s="278"/>
      <c r="B6" s="278"/>
      <c r="C6" s="278"/>
      <c r="D6" s="279"/>
      <c r="E6" s="278"/>
      <c r="F6" s="283" t="s">
        <v>253</v>
      </c>
      <c r="G6" s="284" t="s">
        <v>254</v>
      </c>
      <c r="H6" s="284" t="s">
        <v>255</v>
      </c>
      <c r="I6" s="284" t="s">
        <v>256</v>
      </c>
      <c r="J6" s="284" t="s">
        <v>257</v>
      </c>
      <c r="K6" s="285" t="s">
        <v>158</v>
      </c>
      <c r="L6" s="285" t="s">
        <v>156</v>
      </c>
      <c r="M6" s="281"/>
      <c r="N6" s="282"/>
    </row>
    <row r="7" spans="1:14" s="286" customFormat="1" ht="18.75" customHeight="1">
      <c r="A7" s="278"/>
      <c r="B7" s="278"/>
      <c r="C7" s="278"/>
      <c r="D7" s="279"/>
      <c r="E7" s="278"/>
      <c r="F7" s="283"/>
      <c r="G7" s="284"/>
      <c r="H7" s="284"/>
      <c r="I7" s="284"/>
      <c r="J7" s="284"/>
      <c r="K7" s="285"/>
      <c r="L7" s="285"/>
      <c r="M7" s="281"/>
      <c r="N7" s="282"/>
    </row>
    <row r="8" spans="1:14" s="286" customFormat="1" ht="12" customHeight="1">
      <c r="A8" s="287" t="s">
        <v>258</v>
      </c>
      <c r="B8" s="288" t="s">
        <v>259</v>
      </c>
      <c r="C8" s="289" t="s">
        <v>8</v>
      </c>
      <c r="D8" s="290">
        <v>1100</v>
      </c>
      <c r="E8" s="291">
        <f aca="true" t="shared" si="0" ref="E8:E45">SUM(F8:N8)</f>
        <v>8615</v>
      </c>
      <c r="F8" s="292"/>
      <c r="G8" s="291"/>
      <c r="H8" s="291">
        <v>8150</v>
      </c>
      <c r="I8" s="291">
        <v>465</v>
      </c>
      <c r="J8" s="291"/>
      <c r="K8" s="291"/>
      <c r="L8" s="291"/>
      <c r="M8" s="291"/>
      <c r="N8" s="293"/>
    </row>
    <row r="9" spans="1:14" s="286" customFormat="1" ht="12" customHeight="1">
      <c r="A9" s="287"/>
      <c r="B9" s="288"/>
      <c r="C9" s="289" t="s">
        <v>5</v>
      </c>
      <c r="D9" s="290">
        <v>1100</v>
      </c>
      <c r="E9" s="291">
        <f t="shared" si="0"/>
        <v>5475</v>
      </c>
      <c r="F9" s="292"/>
      <c r="G9" s="291"/>
      <c r="H9" s="291">
        <v>5010</v>
      </c>
      <c r="I9" s="291">
        <v>465</v>
      </c>
      <c r="J9" s="291"/>
      <c r="K9" s="291"/>
      <c r="L9" s="291"/>
      <c r="M9" s="291"/>
      <c r="N9" s="293"/>
    </row>
    <row r="10" spans="1:14" s="286" customFormat="1" ht="12" customHeight="1">
      <c r="A10" s="287"/>
      <c r="B10" s="288"/>
      <c r="C10" s="289" t="s">
        <v>6</v>
      </c>
      <c r="D10" s="290">
        <v>503</v>
      </c>
      <c r="E10" s="291">
        <f t="shared" si="0"/>
        <v>5098</v>
      </c>
      <c r="F10" s="292"/>
      <c r="G10" s="291"/>
      <c r="H10" s="291">
        <v>4633</v>
      </c>
      <c r="I10" s="291">
        <v>465</v>
      </c>
      <c r="J10" s="291"/>
      <c r="K10" s="291"/>
      <c r="L10" s="291"/>
      <c r="M10" s="291"/>
      <c r="N10" s="293"/>
    </row>
    <row r="11" spans="1:14" s="286" customFormat="1" ht="12" customHeight="1">
      <c r="A11" s="294">
        <v>360000</v>
      </c>
      <c r="B11" s="295" t="s">
        <v>260</v>
      </c>
      <c r="C11" s="289" t="s">
        <v>8</v>
      </c>
      <c r="D11" s="290">
        <v>1252</v>
      </c>
      <c r="E11" s="291">
        <f t="shared" si="0"/>
        <v>7768</v>
      </c>
      <c r="F11" s="292"/>
      <c r="G11" s="291"/>
      <c r="H11" s="291">
        <v>500</v>
      </c>
      <c r="I11" s="291">
        <v>78</v>
      </c>
      <c r="J11" s="291"/>
      <c r="K11" s="291">
        <v>1050</v>
      </c>
      <c r="L11" s="291">
        <v>6140</v>
      </c>
      <c r="M11" s="291"/>
      <c r="N11" s="293"/>
    </row>
    <row r="12" spans="1:14" s="286" customFormat="1" ht="12" customHeight="1">
      <c r="A12" s="294"/>
      <c r="B12" s="295"/>
      <c r="C12" s="289" t="s">
        <v>5</v>
      </c>
      <c r="D12" s="290">
        <v>1252</v>
      </c>
      <c r="E12" s="291">
        <f t="shared" si="0"/>
        <v>29497</v>
      </c>
      <c r="F12" s="292"/>
      <c r="G12" s="291"/>
      <c r="H12" s="291">
        <v>500</v>
      </c>
      <c r="I12" s="291">
        <v>78</v>
      </c>
      <c r="J12" s="291"/>
      <c r="K12" s="291">
        <v>1050</v>
      </c>
      <c r="L12" s="291">
        <v>27869</v>
      </c>
      <c r="M12" s="291"/>
      <c r="N12" s="293"/>
    </row>
    <row r="13" spans="1:14" s="286" customFormat="1" ht="12" customHeight="1">
      <c r="A13" s="294"/>
      <c r="B13" s="295"/>
      <c r="C13" s="289" t="s">
        <v>6</v>
      </c>
      <c r="D13" s="290">
        <v>810</v>
      </c>
      <c r="E13" s="291">
        <f t="shared" si="0"/>
        <v>6048</v>
      </c>
      <c r="F13" s="292"/>
      <c r="G13" s="291"/>
      <c r="H13" s="291">
        <v>781</v>
      </c>
      <c r="I13" s="291">
        <v>78</v>
      </c>
      <c r="J13" s="291"/>
      <c r="K13" s="291">
        <v>1373</v>
      </c>
      <c r="L13" s="291">
        <v>3816</v>
      </c>
      <c r="M13" s="291"/>
      <c r="N13" s="293"/>
    </row>
    <row r="14" spans="1:14" s="286" customFormat="1" ht="12" customHeight="1">
      <c r="A14" s="294">
        <v>370000</v>
      </c>
      <c r="B14" s="288" t="s">
        <v>261</v>
      </c>
      <c r="C14" s="289" t="s">
        <v>8</v>
      </c>
      <c r="D14" s="290">
        <v>14450</v>
      </c>
      <c r="E14" s="291">
        <f t="shared" si="0"/>
        <v>36780</v>
      </c>
      <c r="F14" s="292"/>
      <c r="G14" s="291"/>
      <c r="H14" s="291">
        <v>17000</v>
      </c>
      <c r="I14" s="291">
        <v>8525</v>
      </c>
      <c r="J14" s="291"/>
      <c r="K14" s="291">
        <v>10805</v>
      </c>
      <c r="L14" s="291">
        <v>450</v>
      </c>
      <c r="M14" s="291"/>
      <c r="N14" s="293"/>
    </row>
    <row r="15" spans="1:14" s="286" customFormat="1" ht="12" customHeight="1">
      <c r="A15" s="294"/>
      <c r="B15" s="288"/>
      <c r="C15" s="289" t="s">
        <v>5</v>
      </c>
      <c r="D15" s="290">
        <v>14754</v>
      </c>
      <c r="E15" s="291">
        <f t="shared" si="0"/>
        <v>38191</v>
      </c>
      <c r="F15" s="292"/>
      <c r="G15" s="291"/>
      <c r="H15" s="291">
        <v>14749</v>
      </c>
      <c r="I15" s="291">
        <v>8829</v>
      </c>
      <c r="J15" s="291"/>
      <c r="K15" s="291">
        <v>10805</v>
      </c>
      <c r="L15" s="291">
        <v>3808</v>
      </c>
      <c r="M15" s="291"/>
      <c r="N15" s="293"/>
    </row>
    <row r="16" spans="1:14" s="286" customFormat="1" ht="12" customHeight="1">
      <c r="A16" s="294"/>
      <c r="B16" s="288"/>
      <c r="C16" s="289" t="s">
        <v>6</v>
      </c>
      <c r="D16" s="290">
        <v>17678</v>
      </c>
      <c r="E16" s="291">
        <f t="shared" si="0"/>
        <v>35882</v>
      </c>
      <c r="F16" s="292"/>
      <c r="G16" s="291"/>
      <c r="H16" s="291">
        <v>13259</v>
      </c>
      <c r="I16" s="291">
        <v>8829</v>
      </c>
      <c r="J16" s="291"/>
      <c r="K16" s="291">
        <v>10482</v>
      </c>
      <c r="L16" s="291">
        <v>3312</v>
      </c>
      <c r="M16" s="291"/>
      <c r="N16" s="293"/>
    </row>
    <row r="17" spans="1:14" s="286" customFormat="1" ht="12" customHeight="1">
      <c r="A17" s="294">
        <v>381103</v>
      </c>
      <c r="B17" s="288" t="s">
        <v>262</v>
      </c>
      <c r="C17" s="289" t="s">
        <v>8</v>
      </c>
      <c r="D17" s="290">
        <v>0</v>
      </c>
      <c r="E17" s="291">
        <f t="shared" si="0"/>
        <v>31525</v>
      </c>
      <c r="F17" s="292"/>
      <c r="G17" s="291"/>
      <c r="H17" s="291">
        <v>18825</v>
      </c>
      <c r="I17" s="291">
        <v>12700</v>
      </c>
      <c r="J17" s="291"/>
      <c r="K17" s="291"/>
      <c r="L17" s="291"/>
      <c r="M17" s="291"/>
      <c r="N17" s="293"/>
    </row>
    <row r="18" spans="1:14" s="286" customFormat="1" ht="12" customHeight="1">
      <c r="A18" s="294"/>
      <c r="B18" s="288"/>
      <c r="C18" s="289" t="s">
        <v>5</v>
      </c>
      <c r="D18" s="290">
        <v>0</v>
      </c>
      <c r="E18" s="291">
        <f t="shared" si="0"/>
        <v>36442</v>
      </c>
      <c r="F18" s="292"/>
      <c r="G18" s="291"/>
      <c r="H18" s="291">
        <v>21442</v>
      </c>
      <c r="I18" s="291">
        <v>15000</v>
      </c>
      <c r="J18" s="291"/>
      <c r="K18" s="291"/>
      <c r="L18" s="291"/>
      <c r="M18" s="291"/>
      <c r="N18" s="293"/>
    </row>
    <row r="19" spans="1:14" s="286" customFormat="1" ht="12" customHeight="1">
      <c r="A19" s="294"/>
      <c r="B19" s="288"/>
      <c r="C19" s="289" t="s">
        <v>6</v>
      </c>
      <c r="D19" s="290">
        <v>0</v>
      </c>
      <c r="E19" s="291">
        <f t="shared" si="0"/>
        <v>32853</v>
      </c>
      <c r="F19" s="292"/>
      <c r="G19" s="291"/>
      <c r="H19" s="291">
        <v>17878</v>
      </c>
      <c r="I19" s="291">
        <v>14975</v>
      </c>
      <c r="J19" s="291"/>
      <c r="K19" s="291"/>
      <c r="L19" s="291"/>
      <c r="M19" s="291"/>
      <c r="N19" s="293"/>
    </row>
    <row r="20" spans="1:14" s="286" customFormat="1" ht="12" customHeight="1">
      <c r="A20" s="294">
        <v>412000</v>
      </c>
      <c r="B20" s="288" t="s">
        <v>263</v>
      </c>
      <c r="C20" s="289" t="s">
        <v>8</v>
      </c>
      <c r="D20" s="290">
        <v>1069774</v>
      </c>
      <c r="E20" s="291">
        <f t="shared" si="0"/>
        <v>2163087</v>
      </c>
      <c r="F20" s="292"/>
      <c r="G20" s="291"/>
      <c r="H20" s="291"/>
      <c r="I20" s="291">
        <v>98996</v>
      </c>
      <c r="J20" s="291"/>
      <c r="K20" s="291">
        <v>62341</v>
      </c>
      <c r="L20" s="291">
        <v>1996750</v>
      </c>
      <c r="M20" s="291">
        <v>5000</v>
      </c>
      <c r="N20" s="293"/>
    </row>
    <row r="21" spans="1:14" s="286" customFormat="1" ht="12" customHeight="1">
      <c r="A21" s="294"/>
      <c r="B21" s="288"/>
      <c r="C21" s="289" t="s">
        <v>5</v>
      </c>
      <c r="D21" s="290">
        <v>72985</v>
      </c>
      <c r="E21" s="291">
        <f t="shared" si="0"/>
        <v>386171</v>
      </c>
      <c r="F21" s="292">
        <v>5876</v>
      </c>
      <c r="G21" s="291">
        <v>1428</v>
      </c>
      <c r="H21" s="291">
        <v>2620</v>
      </c>
      <c r="I21" s="291">
        <v>54986</v>
      </c>
      <c r="J21" s="291"/>
      <c r="K21" s="291">
        <v>54939</v>
      </c>
      <c r="L21" s="291">
        <v>261322</v>
      </c>
      <c r="M21" s="291">
        <v>5000</v>
      </c>
      <c r="N21" s="293"/>
    </row>
    <row r="22" spans="1:14" s="286" customFormat="1" ht="12" customHeight="1">
      <c r="A22" s="294"/>
      <c r="B22" s="288"/>
      <c r="C22" s="289" t="s">
        <v>6</v>
      </c>
      <c r="D22" s="290">
        <v>63675</v>
      </c>
      <c r="E22" s="291">
        <f t="shared" si="0"/>
        <v>146388</v>
      </c>
      <c r="F22" s="292">
        <v>5157</v>
      </c>
      <c r="G22" s="291">
        <v>1253</v>
      </c>
      <c r="H22" s="291">
        <v>2642</v>
      </c>
      <c r="I22" s="291">
        <v>29594</v>
      </c>
      <c r="J22" s="291"/>
      <c r="K22" s="291">
        <v>22479</v>
      </c>
      <c r="L22" s="291">
        <v>85263</v>
      </c>
      <c r="M22" s="291">
        <v>0</v>
      </c>
      <c r="N22" s="293"/>
    </row>
    <row r="23" spans="1:14" s="286" customFormat="1" ht="12" customHeight="1">
      <c r="A23" s="294">
        <v>421100</v>
      </c>
      <c r="B23" s="288" t="s">
        <v>264</v>
      </c>
      <c r="C23" s="289" t="s">
        <v>8</v>
      </c>
      <c r="D23" s="290">
        <v>101933</v>
      </c>
      <c r="E23" s="291">
        <f t="shared" si="0"/>
        <v>321431</v>
      </c>
      <c r="F23" s="292"/>
      <c r="G23" s="291"/>
      <c r="H23" s="291">
        <v>6180</v>
      </c>
      <c r="I23" s="291">
        <v>35073</v>
      </c>
      <c r="J23" s="291"/>
      <c r="K23" s="291">
        <v>10000</v>
      </c>
      <c r="L23" s="291">
        <v>253178</v>
      </c>
      <c r="M23" s="291"/>
      <c r="N23" s="293">
        <v>17000</v>
      </c>
    </row>
    <row r="24" spans="1:14" s="286" customFormat="1" ht="12" customHeight="1">
      <c r="A24" s="294"/>
      <c r="B24" s="288"/>
      <c r="C24" s="289" t="s">
        <v>5</v>
      </c>
      <c r="D24" s="290">
        <v>86759</v>
      </c>
      <c r="E24" s="291">
        <f t="shared" si="0"/>
        <v>316895</v>
      </c>
      <c r="F24" s="292">
        <v>462</v>
      </c>
      <c r="G24" s="291">
        <v>112</v>
      </c>
      <c r="H24" s="291">
        <v>22101</v>
      </c>
      <c r="I24" s="291">
        <v>30098</v>
      </c>
      <c r="J24" s="291"/>
      <c r="K24" s="291">
        <v>12221</v>
      </c>
      <c r="L24" s="291">
        <v>246901</v>
      </c>
      <c r="M24" s="291"/>
      <c r="N24" s="293">
        <v>5000</v>
      </c>
    </row>
    <row r="25" spans="1:14" s="286" customFormat="1" ht="12" customHeight="1">
      <c r="A25" s="294"/>
      <c r="B25" s="288"/>
      <c r="C25" s="289" t="s">
        <v>6</v>
      </c>
      <c r="D25" s="290">
        <v>93813</v>
      </c>
      <c r="E25" s="291">
        <f t="shared" si="0"/>
        <v>208802</v>
      </c>
      <c r="F25" s="292">
        <v>462</v>
      </c>
      <c r="G25" s="291">
        <v>112</v>
      </c>
      <c r="H25" s="291">
        <v>22280</v>
      </c>
      <c r="I25" s="291">
        <v>8340</v>
      </c>
      <c r="J25" s="291"/>
      <c r="K25" s="291">
        <v>8009</v>
      </c>
      <c r="L25" s="291">
        <v>169599</v>
      </c>
      <c r="M25" s="291"/>
      <c r="N25" s="293"/>
    </row>
    <row r="26" spans="1:14" s="286" customFormat="1" ht="12" customHeight="1">
      <c r="A26" s="294">
        <v>493909</v>
      </c>
      <c r="B26" s="288" t="s">
        <v>265</v>
      </c>
      <c r="C26" s="289" t="s">
        <v>8</v>
      </c>
      <c r="D26" s="290">
        <v>0</v>
      </c>
      <c r="E26" s="291">
        <f t="shared" si="0"/>
        <v>4500</v>
      </c>
      <c r="F26" s="292"/>
      <c r="G26" s="291"/>
      <c r="H26" s="291"/>
      <c r="I26" s="291">
        <v>4500</v>
      </c>
      <c r="J26" s="291"/>
      <c r="K26" s="291"/>
      <c r="L26" s="291"/>
      <c r="M26" s="291"/>
      <c r="N26" s="293"/>
    </row>
    <row r="27" spans="1:14" s="286" customFormat="1" ht="12" customHeight="1">
      <c r="A27" s="294"/>
      <c r="B27" s="288"/>
      <c r="C27" s="289" t="s">
        <v>5</v>
      </c>
      <c r="D27" s="290">
        <v>7469</v>
      </c>
      <c r="E27" s="291">
        <f t="shared" si="0"/>
        <v>18619</v>
      </c>
      <c r="F27" s="292"/>
      <c r="G27" s="291"/>
      <c r="H27" s="291"/>
      <c r="I27" s="291">
        <v>18619</v>
      </c>
      <c r="J27" s="291"/>
      <c r="K27" s="291"/>
      <c r="L27" s="291"/>
      <c r="M27" s="291"/>
      <c r="N27" s="293"/>
    </row>
    <row r="28" spans="1:14" s="286" customFormat="1" ht="12" customHeight="1">
      <c r="A28" s="294"/>
      <c r="B28" s="288"/>
      <c r="C28" s="289" t="s">
        <v>6</v>
      </c>
      <c r="D28" s="290">
        <v>7469</v>
      </c>
      <c r="E28" s="291">
        <f t="shared" si="0"/>
        <v>15294</v>
      </c>
      <c r="F28" s="292"/>
      <c r="G28" s="291"/>
      <c r="H28" s="291"/>
      <c r="I28" s="291">
        <v>15294</v>
      </c>
      <c r="J28" s="291"/>
      <c r="K28" s="291"/>
      <c r="L28" s="291"/>
      <c r="M28" s="291"/>
      <c r="N28" s="293"/>
    </row>
    <row r="29" spans="1:14" s="286" customFormat="1" ht="12" customHeight="1">
      <c r="A29" s="294">
        <v>522110</v>
      </c>
      <c r="B29" s="288" t="s">
        <v>266</v>
      </c>
      <c r="C29" s="289" t="s">
        <v>8</v>
      </c>
      <c r="D29" s="290">
        <v>0</v>
      </c>
      <c r="E29" s="291">
        <f t="shared" si="0"/>
        <v>44818</v>
      </c>
      <c r="F29" s="292"/>
      <c r="G29" s="291"/>
      <c r="H29" s="291">
        <v>36525</v>
      </c>
      <c r="I29" s="291">
        <v>8293</v>
      </c>
      <c r="J29" s="296"/>
      <c r="K29" s="296"/>
      <c r="L29" s="291"/>
      <c r="M29" s="291"/>
      <c r="N29" s="293"/>
    </row>
    <row r="30" spans="1:14" s="286" customFormat="1" ht="12" customHeight="1">
      <c r="A30" s="294"/>
      <c r="B30" s="288"/>
      <c r="C30" s="289" t="s">
        <v>5</v>
      </c>
      <c r="D30" s="290">
        <v>0</v>
      </c>
      <c r="E30" s="291">
        <f t="shared" si="0"/>
        <v>41257</v>
      </c>
      <c r="F30" s="292"/>
      <c r="G30" s="291"/>
      <c r="H30" s="291">
        <v>32964</v>
      </c>
      <c r="I30" s="291">
        <v>8293</v>
      </c>
      <c r="J30" s="291"/>
      <c r="K30" s="296"/>
      <c r="L30" s="291"/>
      <c r="M30" s="291"/>
      <c r="N30" s="293"/>
    </row>
    <row r="31" spans="1:14" s="286" customFormat="1" ht="12" customHeight="1">
      <c r="A31" s="294"/>
      <c r="B31" s="288"/>
      <c r="C31" s="289" t="s">
        <v>6</v>
      </c>
      <c r="D31" s="290">
        <v>100</v>
      </c>
      <c r="E31" s="291">
        <f t="shared" si="0"/>
        <v>39649</v>
      </c>
      <c r="F31" s="292"/>
      <c r="G31" s="291"/>
      <c r="H31" s="291">
        <v>31316</v>
      </c>
      <c r="I31" s="291">
        <v>8293</v>
      </c>
      <c r="J31" s="291">
        <v>40</v>
      </c>
      <c r="K31" s="296"/>
      <c r="L31" s="291"/>
      <c r="M31" s="291"/>
      <c r="N31" s="293"/>
    </row>
    <row r="32" spans="1:14" s="286" customFormat="1" ht="12" customHeight="1">
      <c r="A32" s="294">
        <v>552001</v>
      </c>
      <c r="B32" s="288" t="s">
        <v>267</v>
      </c>
      <c r="C32" s="289" t="s">
        <v>8</v>
      </c>
      <c r="D32" s="290">
        <v>2840</v>
      </c>
      <c r="E32" s="291">
        <f t="shared" si="0"/>
        <v>5818</v>
      </c>
      <c r="F32" s="292"/>
      <c r="G32" s="291"/>
      <c r="H32" s="291">
        <v>3618</v>
      </c>
      <c r="I32" s="291"/>
      <c r="J32" s="296"/>
      <c r="K32" s="291">
        <v>2200</v>
      </c>
      <c r="L32" s="291"/>
      <c r="M32" s="291"/>
      <c r="N32" s="293"/>
    </row>
    <row r="33" spans="1:14" s="286" customFormat="1" ht="12" customHeight="1">
      <c r="A33" s="294"/>
      <c r="B33" s="288"/>
      <c r="C33" s="289" t="s">
        <v>5</v>
      </c>
      <c r="D33" s="290">
        <v>4730</v>
      </c>
      <c r="E33" s="291">
        <f t="shared" si="0"/>
        <v>3818</v>
      </c>
      <c r="F33" s="292"/>
      <c r="G33" s="291"/>
      <c r="H33" s="291">
        <v>1618</v>
      </c>
      <c r="I33" s="291"/>
      <c r="J33" s="296"/>
      <c r="K33" s="291">
        <v>2200</v>
      </c>
      <c r="L33" s="291"/>
      <c r="M33" s="291"/>
      <c r="N33" s="293"/>
    </row>
    <row r="34" spans="1:14" s="286" customFormat="1" ht="12" customHeight="1">
      <c r="A34" s="294"/>
      <c r="B34" s="288"/>
      <c r="C34" s="289" t="s">
        <v>6</v>
      </c>
      <c r="D34" s="290">
        <v>2262</v>
      </c>
      <c r="E34" s="291">
        <f t="shared" si="0"/>
        <v>3789</v>
      </c>
      <c r="F34" s="292"/>
      <c r="G34" s="291"/>
      <c r="H34" s="291">
        <v>1552</v>
      </c>
      <c r="I34" s="291"/>
      <c r="J34" s="296"/>
      <c r="K34" s="291">
        <v>2237</v>
      </c>
      <c r="L34" s="291"/>
      <c r="M34" s="291"/>
      <c r="N34" s="293"/>
    </row>
    <row r="35" spans="1:14" s="286" customFormat="1" ht="12" customHeight="1">
      <c r="A35" s="297">
        <v>581100</v>
      </c>
      <c r="B35" s="298" t="s">
        <v>268</v>
      </c>
      <c r="C35" s="289" t="s">
        <v>8</v>
      </c>
      <c r="D35" s="290">
        <v>0</v>
      </c>
      <c r="E35" s="291">
        <f t="shared" si="0"/>
        <v>1800</v>
      </c>
      <c r="F35" s="299"/>
      <c r="G35" s="300"/>
      <c r="H35" s="300">
        <v>1800</v>
      </c>
      <c r="I35" s="300"/>
      <c r="J35" s="300"/>
      <c r="K35" s="300"/>
      <c r="L35" s="300"/>
      <c r="M35" s="300"/>
      <c r="N35" s="301"/>
    </row>
    <row r="36" spans="1:14" s="286" customFormat="1" ht="12" customHeight="1">
      <c r="A36" s="297"/>
      <c r="B36" s="298"/>
      <c r="C36" s="289" t="s">
        <v>5</v>
      </c>
      <c r="D36" s="290">
        <v>0</v>
      </c>
      <c r="E36" s="291">
        <f t="shared" si="0"/>
        <v>1800</v>
      </c>
      <c r="F36" s="299"/>
      <c r="G36" s="300"/>
      <c r="H36" s="300">
        <v>1800</v>
      </c>
      <c r="I36" s="300"/>
      <c r="J36" s="300"/>
      <c r="K36" s="300"/>
      <c r="L36" s="300"/>
      <c r="M36" s="300"/>
      <c r="N36" s="301"/>
    </row>
    <row r="37" spans="1:14" s="286" customFormat="1" ht="12" customHeight="1">
      <c r="A37" s="297"/>
      <c r="B37" s="298"/>
      <c r="C37" s="289" t="s">
        <v>6</v>
      </c>
      <c r="D37" s="290">
        <v>256</v>
      </c>
      <c r="E37" s="291">
        <f t="shared" si="0"/>
        <v>1424</v>
      </c>
      <c r="F37" s="299"/>
      <c r="G37" s="300"/>
      <c r="H37" s="300">
        <v>1424</v>
      </c>
      <c r="I37" s="300"/>
      <c r="J37" s="300"/>
      <c r="K37" s="300"/>
      <c r="L37" s="300"/>
      <c r="M37" s="300"/>
      <c r="N37" s="301"/>
    </row>
    <row r="38" spans="1:14" s="286" customFormat="1" ht="12" customHeight="1">
      <c r="A38" s="294">
        <v>581900</v>
      </c>
      <c r="B38" s="288" t="s">
        <v>269</v>
      </c>
      <c r="C38" s="289" t="s">
        <v>8</v>
      </c>
      <c r="D38" s="290">
        <v>0</v>
      </c>
      <c r="E38" s="291">
        <f t="shared" si="0"/>
        <v>13518</v>
      </c>
      <c r="F38" s="292">
        <v>3520</v>
      </c>
      <c r="G38" s="291">
        <v>748</v>
      </c>
      <c r="H38" s="291">
        <v>9250</v>
      </c>
      <c r="I38" s="291"/>
      <c r="J38" s="291"/>
      <c r="K38" s="291"/>
      <c r="L38" s="291"/>
      <c r="M38" s="291"/>
      <c r="N38" s="293"/>
    </row>
    <row r="39" spans="1:14" s="286" customFormat="1" ht="12" customHeight="1">
      <c r="A39" s="294"/>
      <c r="B39" s="288"/>
      <c r="C39" s="289" t="s">
        <v>5</v>
      </c>
      <c r="D39" s="290">
        <v>0</v>
      </c>
      <c r="E39" s="291">
        <f t="shared" si="0"/>
        <v>29535</v>
      </c>
      <c r="F39" s="292">
        <v>5760</v>
      </c>
      <c r="G39" s="291">
        <v>1353</v>
      </c>
      <c r="H39" s="291">
        <v>21792</v>
      </c>
      <c r="I39" s="291">
        <v>630</v>
      </c>
      <c r="J39" s="291"/>
      <c r="K39" s="291"/>
      <c r="L39" s="291"/>
      <c r="M39" s="291"/>
      <c r="N39" s="293"/>
    </row>
    <row r="40" spans="1:14" s="286" customFormat="1" ht="12" customHeight="1">
      <c r="A40" s="294"/>
      <c r="B40" s="288"/>
      <c r="C40" s="289" t="s">
        <v>6</v>
      </c>
      <c r="D40" s="290">
        <v>115</v>
      </c>
      <c r="E40" s="291">
        <f t="shared" si="0"/>
        <v>27411</v>
      </c>
      <c r="F40" s="292">
        <v>4186</v>
      </c>
      <c r="G40" s="291">
        <v>837</v>
      </c>
      <c r="H40" s="291">
        <v>21758</v>
      </c>
      <c r="I40" s="291">
        <v>630</v>
      </c>
      <c r="J40" s="291"/>
      <c r="K40" s="291"/>
      <c r="L40" s="291"/>
      <c r="M40" s="291"/>
      <c r="N40" s="293"/>
    </row>
    <row r="41" spans="1:14" s="286" customFormat="1" ht="12" customHeight="1">
      <c r="A41" s="294">
        <v>681000</v>
      </c>
      <c r="B41" s="288" t="s">
        <v>270</v>
      </c>
      <c r="C41" s="289" t="s">
        <v>8</v>
      </c>
      <c r="D41" s="290">
        <v>230585</v>
      </c>
      <c r="E41" s="291">
        <f t="shared" si="0"/>
        <v>36000</v>
      </c>
      <c r="F41" s="292"/>
      <c r="G41" s="291"/>
      <c r="H41" s="291">
        <v>13000</v>
      </c>
      <c r="I41" s="291"/>
      <c r="J41" s="291"/>
      <c r="K41" s="291"/>
      <c r="L41" s="291">
        <v>23000</v>
      </c>
      <c r="M41" s="291"/>
      <c r="N41" s="293"/>
    </row>
    <row r="42" spans="1:14" s="286" customFormat="1" ht="12" customHeight="1">
      <c r="A42" s="294"/>
      <c r="B42" s="288"/>
      <c r="C42" s="289" t="s">
        <v>5</v>
      </c>
      <c r="D42" s="290">
        <v>180419</v>
      </c>
      <c r="E42" s="291">
        <f t="shared" si="0"/>
        <v>90837</v>
      </c>
      <c r="F42" s="292"/>
      <c r="G42" s="291"/>
      <c r="H42" s="291">
        <v>17337</v>
      </c>
      <c r="I42" s="291"/>
      <c r="J42" s="291"/>
      <c r="K42" s="291"/>
      <c r="L42" s="291">
        <v>73500</v>
      </c>
      <c r="M42" s="291"/>
      <c r="N42" s="293"/>
    </row>
    <row r="43" spans="1:14" s="286" customFormat="1" ht="12" customHeight="1">
      <c r="A43" s="294"/>
      <c r="B43" s="288"/>
      <c r="C43" s="289" t="s">
        <v>6</v>
      </c>
      <c r="D43" s="290">
        <v>49470</v>
      </c>
      <c r="E43" s="291">
        <f t="shared" si="0"/>
        <v>58547</v>
      </c>
      <c r="F43" s="292"/>
      <c r="G43" s="291"/>
      <c r="H43" s="291">
        <v>10547</v>
      </c>
      <c r="I43" s="291"/>
      <c r="J43" s="291"/>
      <c r="K43" s="291"/>
      <c r="L43" s="291">
        <v>48000</v>
      </c>
      <c r="M43" s="291"/>
      <c r="N43" s="293"/>
    </row>
    <row r="44" spans="1:14" s="286" customFormat="1" ht="12" customHeight="1">
      <c r="A44" s="294">
        <v>682001</v>
      </c>
      <c r="B44" s="288" t="s">
        <v>271</v>
      </c>
      <c r="C44" s="289" t="s">
        <v>8</v>
      </c>
      <c r="D44" s="290">
        <v>116540</v>
      </c>
      <c r="E44" s="291">
        <f t="shared" si="0"/>
        <v>37696</v>
      </c>
      <c r="F44" s="292"/>
      <c r="G44" s="291"/>
      <c r="H44" s="291">
        <v>37696</v>
      </c>
      <c r="I44" s="291"/>
      <c r="J44" s="291"/>
      <c r="K44" s="291"/>
      <c r="L44" s="291"/>
      <c r="M44" s="291"/>
      <c r="N44" s="293"/>
    </row>
    <row r="45" spans="1:14" s="286" customFormat="1" ht="12" customHeight="1">
      <c r="A45" s="294"/>
      <c r="B45" s="288"/>
      <c r="C45" s="289" t="s">
        <v>5</v>
      </c>
      <c r="D45" s="290">
        <v>116553</v>
      </c>
      <c r="E45" s="291">
        <f t="shared" si="0"/>
        <v>37699</v>
      </c>
      <c r="F45" s="292"/>
      <c r="G45" s="291"/>
      <c r="H45" s="291">
        <v>37699</v>
      </c>
      <c r="I45" s="291"/>
      <c r="J45" s="291"/>
      <c r="K45" s="291"/>
      <c r="L45" s="291"/>
      <c r="M45" s="291"/>
      <c r="N45" s="293"/>
    </row>
    <row r="46" spans="1:14" s="286" customFormat="1" ht="12" customHeight="1">
      <c r="A46" s="294"/>
      <c r="B46" s="288"/>
      <c r="C46" s="289" t="s">
        <v>6</v>
      </c>
      <c r="D46" s="290">
        <v>55856</v>
      </c>
      <c r="E46" s="291">
        <v>40328</v>
      </c>
      <c r="F46" s="292"/>
      <c r="G46" s="291"/>
      <c r="H46" s="291">
        <v>40328</v>
      </c>
      <c r="I46" s="291"/>
      <c r="J46" s="291"/>
      <c r="K46" s="291"/>
      <c r="L46" s="291"/>
      <c r="M46" s="291"/>
      <c r="N46" s="293"/>
    </row>
    <row r="47" spans="1:14" s="286" customFormat="1" ht="12" customHeight="1">
      <c r="A47" s="294">
        <v>682002</v>
      </c>
      <c r="B47" s="288" t="s">
        <v>272</v>
      </c>
      <c r="C47" s="289" t="s">
        <v>8</v>
      </c>
      <c r="D47" s="290">
        <v>47281</v>
      </c>
      <c r="E47" s="291">
        <f>SUM(F47:N47)</f>
        <v>4380</v>
      </c>
      <c r="F47" s="292"/>
      <c r="G47" s="291"/>
      <c r="H47" s="291">
        <v>4380</v>
      </c>
      <c r="I47" s="291"/>
      <c r="J47" s="291"/>
      <c r="K47" s="291"/>
      <c r="L47" s="291"/>
      <c r="M47" s="291"/>
      <c r="N47" s="293"/>
    </row>
    <row r="48" spans="1:14" s="286" customFormat="1" ht="12" customHeight="1">
      <c r="A48" s="294"/>
      <c r="B48" s="288"/>
      <c r="C48" s="289" t="s">
        <v>5</v>
      </c>
      <c r="D48" s="290">
        <v>61669</v>
      </c>
      <c r="E48" s="291">
        <f>SUM(F48:N48)</f>
        <v>13778</v>
      </c>
      <c r="F48" s="292"/>
      <c r="G48" s="291"/>
      <c r="H48" s="291">
        <v>13778</v>
      </c>
      <c r="I48" s="291"/>
      <c r="J48" s="291"/>
      <c r="K48" s="291"/>
      <c r="L48" s="291"/>
      <c r="M48" s="291"/>
      <c r="N48" s="293"/>
    </row>
    <row r="49" spans="1:14" s="286" customFormat="1" ht="12" customHeight="1">
      <c r="A49" s="294"/>
      <c r="B49" s="288"/>
      <c r="C49" s="289" t="s">
        <v>6</v>
      </c>
      <c r="D49" s="290">
        <v>63833</v>
      </c>
      <c r="E49" s="291">
        <v>10410</v>
      </c>
      <c r="F49" s="292"/>
      <c r="G49" s="291"/>
      <c r="H49" s="291">
        <v>10410</v>
      </c>
      <c r="I49" s="291"/>
      <c r="J49" s="291"/>
      <c r="K49" s="291"/>
      <c r="L49" s="291"/>
      <c r="M49" s="291"/>
      <c r="N49" s="293"/>
    </row>
    <row r="50" spans="1:14" s="286" customFormat="1" ht="12" customHeight="1">
      <c r="A50" s="294">
        <v>683200</v>
      </c>
      <c r="B50" s="288" t="s">
        <v>273</v>
      </c>
      <c r="C50" s="289" t="s">
        <v>8</v>
      </c>
      <c r="D50" s="290">
        <v>0</v>
      </c>
      <c r="E50" s="291">
        <f>SUM(F50:N50)</f>
        <v>4700</v>
      </c>
      <c r="F50" s="292"/>
      <c r="G50" s="291"/>
      <c r="H50" s="291">
        <v>4700</v>
      </c>
      <c r="I50" s="291"/>
      <c r="J50" s="291"/>
      <c r="K50" s="291"/>
      <c r="L50" s="291"/>
      <c r="M50" s="291"/>
      <c r="N50" s="293"/>
    </row>
    <row r="51" spans="1:14" s="286" customFormat="1" ht="12" customHeight="1">
      <c r="A51" s="294"/>
      <c r="B51" s="288"/>
      <c r="C51" s="289" t="s">
        <v>5</v>
      </c>
      <c r="D51" s="290">
        <v>0</v>
      </c>
      <c r="E51" s="291">
        <f>SUM(F51:N51)</f>
        <v>4700</v>
      </c>
      <c r="F51" s="292"/>
      <c r="G51" s="291"/>
      <c r="H51" s="291">
        <v>4700</v>
      </c>
      <c r="I51" s="291"/>
      <c r="J51" s="291"/>
      <c r="K51" s="291"/>
      <c r="L51" s="291"/>
      <c r="M51" s="291"/>
      <c r="N51" s="293"/>
    </row>
    <row r="52" spans="1:14" s="286" customFormat="1" ht="12" customHeight="1">
      <c r="A52" s="294"/>
      <c r="B52" s="288"/>
      <c r="C52" s="289" t="s">
        <v>6</v>
      </c>
      <c r="D52" s="290">
        <v>0</v>
      </c>
      <c r="E52" s="291">
        <v>3013</v>
      </c>
      <c r="F52" s="292"/>
      <c r="G52" s="291"/>
      <c r="H52" s="291">
        <v>3013</v>
      </c>
      <c r="I52" s="291"/>
      <c r="J52" s="291"/>
      <c r="K52" s="291"/>
      <c r="L52" s="291"/>
      <c r="M52" s="291"/>
      <c r="N52" s="293"/>
    </row>
    <row r="53" spans="1:14" s="286" customFormat="1" ht="12" customHeight="1">
      <c r="A53" s="294">
        <v>750000</v>
      </c>
      <c r="B53" s="288" t="s">
        <v>274</v>
      </c>
      <c r="C53" s="289" t="s">
        <v>8</v>
      </c>
      <c r="D53" s="290">
        <v>0</v>
      </c>
      <c r="E53" s="291">
        <f>SUM(F53:N53)</f>
        <v>4356</v>
      </c>
      <c r="F53" s="292"/>
      <c r="G53" s="291"/>
      <c r="H53" s="291">
        <v>3000</v>
      </c>
      <c r="I53" s="291">
        <v>1356</v>
      </c>
      <c r="J53" s="291"/>
      <c r="K53" s="291"/>
      <c r="L53" s="291"/>
      <c r="M53" s="291"/>
      <c r="N53" s="293"/>
    </row>
    <row r="54" spans="1:14" s="286" customFormat="1" ht="12" customHeight="1">
      <c r="A54" s="294"/>
      <c r="B54" s="288"/>
      <c r="C54" s="289" t="s">
        <v>5</v>
      </c>
      <c r="D54" s="290">
        <v>0</v>
      </c>
      <c r="E54" s="291">
        <f>SUM(F54:N54)</f>
        <v>4356</v>
      </c>
      <c r="F54" s="292"/>
      <c r="G54" s="291"/>
      <c r="H54" s="291">
        <v>3000</v>
      </c>
      <c r="I54" s="291">
        <v>1356</v>
      </c>
      <c r="J54" s="291"/>
      <c r="K54" s="291"/>
      <c r="L54" s="291"/>
      <c r="M54" s="291"/>
      <c r="N54" s="293"/>
    </row>
    <row r="55" spans="1:14" s="286" customFormat="1" ht="12" customHeight="1">
      <c r="A55" s="294"/>
      <c r="B55" s="288"/>
      <c r="C55" s="289" t="s">
        <v>6</v>
      </c>
      <c r="D55" s="290">
        <v>15</v>
      </c>
      <c r="E55" s="291">
        <v>3845</v>
      </c>
      <c r="F55" s="292"/>
      <c r="G55" s="291"/>
      <c r="H55" s="291">
        <v>2489</v>
      </c>
      <c r="I55" s="291">
        <v>1356</v>
      </c>
      <c r="J55" s="291"/>
      <c r="K55" s="291"/>
      <c r="L55" s="291"/>
      <c r="M55" s="291"/>
      <c r="N55" s="293"/>
    </row>
    <row r="56" spans="1:14" s="286" customFormat="1" ht="12" customHeight="1">
      <c r="A56" s="294">
        <v>773000</v>
      </c>
      <c r="B56" s="288" t="s">
        <v>275</v>
      </c>
      <c r="C56" s="289" t="s">
        <v>8</v>
      </c>
      <c r="D56" s="290">
        <v>0</v>
      </c>
      <c r="E56" s="291">
        <f>SUM(F56:N56)</f>
        <v>3906</v>
      </c>
      <c r="F56" s="299"/>
      <c r="G56" s="300"/>
      <c r="H56" s="300">
        <v>3906</v>
      </c>
      <c r="I56" s="300"/>
      <c r="J56" s="300"/>
      <c r="K56" s="300"/>
      <c r="L56" s="300"/>
      <c r="M56" s="300"/>
      <c r="N56" s="301"/>
    </row>
    <row r="57" spans="1:14" s="286" customFormat="1" ht="12" customHeight="1">
      <c r="A57" s="294"/>
      <c r="B57" s="288"/>
      <c r="C57" s="289" t="s">
        <v>5</v>
      </c>
      <c r="D57" s="290">
        <v>0</v>
      </c>
      <c r="E57" s="291">
        <f>SUM(F57:N57)</f>
        <v>4156</v>
      </c>
      <c r="F57" s="299"/>
      <c r="G57" s="300"/>
      <c r="H57" s="300">
        <v>4156</v>
      </c>
      <c r="I57" s="300"/>
      <c r="J57" s="300"/>
      <c r="K57" s="300"/>
      <c r="L57" s="300"/>
      <c r="M57" s="300"/>
      <c r="N57" s="301"/>
    </row>
    <row r="58" spans="1:14" s="286" customFormat="1" ht="12" customHeight="1">
      <c r="A58" s="294"/>
      <c r="B58" s="288"/>
      <c r="C58" s="289" t="s">
        <v>6</v>
      </c>
      <c r="D58" s="290">
        <v>0</v>
      </c>
      <c r="E58" s="291">
        <v>4142</v>
      </c>
      <c r="F58" s="299"/>
      <c r="G58" s="300"/>
      <c r="H58" s="300">
        <v>4142</v>
      </c>
      <c r="I58" s="300"/>
      <c r="J58" s="300"/>
      <c r="K58" s="300"/>
      <c r="L58" s="300"/>
      <c r="M58" s="300"/>
      <c r="N58" s="301"/>
    </row>
    <row r="59" spans="1:14" s="286" customFormat="1" ht="12" customHeight="1">
      <c r="A59" s="294">
        <v>813000</v>
      </c>
      <c r="B59" s="288" t="s">
        <v>276</v>
      </c>
      <c r="C59" s="289" t="s">
        <v>8</v>
      </c>
      <c r="D59" s="290">
        <v>0</v>
      </c>
      <c r="E59" s="291">
        <f>SUM(F59:N59)</f>
        <v>69718</v>
      </c>
      <c r="F59" s="292"/>
      <c r="G59" s="291"/>
      <c r="H59" s="291">
        <v>50620</v>
      </c>
      <c r="I59" s="291">
        <v>19098</v>
      </c>
      <c r="J59" s="291"/>
      <c r="K59" s="291"/>
      <c r="L59" s="291"/>
      <c r="M59" s="291"/>
      <c r="N59" s="293"/>
    </row>
    <row r="60" spans="1:14" s="304" customFormat="1" ht="12" customHeight="1">
      <c r="A60" s="294"/>
      <c r="B60" s="288"/>
      <c r="C60" s="289" t="s">
        <v>5</v>
      </c>
      <c r="D60" s="302">
        <v>0</v>
      </c>
      <c r="E60" s="303">
        <f>SUM(F60:N60)</f>
        <v>70218</v>
      </c>
      <c r="F60" s="292"/>
      <c r="G60" s="291"/>
      <c r="H60" s="291">
        <v>51120</v>
      </c>
      <c r="I60" s="291">
        <v>19098</v>
      </c>
      <c r="J60" s="291"/>
      <c r="K60" s="291"/>
      <c r="L60" s="291"/>
      <c r="M60" s="291"/>
      <c r="N60" s="293"/>
    </row>
    <row r="61" spans="1:14" s="304" customFormat="1" ht="12" customHeight="1">
      <c r="A61" s="305"/>
      <c r="B61" s="306"/>
      <c r="C61" s="307" t="s">
        <v>6</v>
      </c>
      <c r="D61" s="308">
        <v>125</v>
      </c>
      <c r="E61" s="309">
        <v>69548</v>
      </c>
      <c r="F61" s="310"/>
      <c r="G61" s="311"/>
      <c r="H61" s="311">
        <v>50387</v>
      </c>
      <c r="I61" s="311">
        <v>19098</v>
      </c>
      <c r="J61" s="311">
        <v>63</v>
      </c>
      <c r="K61" s="311"/>
      <c r="L61" s="311"/>
      <c r="M61" s="311"/>
      <c r="N61" s="312"/>
    </row>
    <row r="62" spans="1:14" s="304" customFormat="1" ht="12" customHeight="1">
      <c r="A62" s="313">
        <v>813000</v>
      </c>
      <c r="B62" s="314" t="s">
        <v>277</v>
      </c>
      <c r="C62" s="315" t="s">
        <v>8</v>
      </c>
      <c r="D62" s="316">
        <v>0</v>
      </c>
      <c r="E62" s="316">
        <f>SUM(F62:N62)</f>
        <v>2000</v>
      </c>
      <c r="F62" s="317"/>
      <c r="G62" s="316"/>
      <c r="H62" s="316">
        <v>2000</v>
      </c>
      <c r="I62" s="316"/>
      <c r="J62" s="316"/>
      <c r="K62" s="316"/>
      <c r="L62" s="316"/>
      <c r="M62" s="316"/>
      <c r="N62" s="318"/>
    </row>
    <row r="63" spans="1:14" s="286" customFormat="1" ht="12" customHeight="1">
      <c r="A63" s="313"/>
      <c r="B63" s="314"/>
      <c r="C63" s="289" t="s">
        <v>5</v>
      </c>
      <c r="D63" s="319">
        <v>0</v>
      </c>
      <c r="E63" s="316">
        <f>SUM(F63:N63)</f>
        <v>2000</v>
      </c>
      <c r="F63" s="317"/>
      <c r="G63" s="316"/>
      <c r="H63" s="316">
        <v>2000</v>
      </c>
      <c r="I63" s="316"/>
      <c r="J63" s="316"/>
      <c r="K63" s="316"/>
      <c r="L63" s="316"/>
      <c r="M63" s="316"/>
      <c r="N63" s="318"/>
    </row>
    <row r="64" spans="1:14" s="286" customFormat="1" ht="12" customHeight="1">
      <c r="A64" s="313"/>
      <c r="B64" s="314"/>
      <c r="C64" s="289" t="s">
        <v>6</v>
      </c>
      <c r="D64" s="319">
        <v>0</v>
      </c>
      <c r="E64" s="291">
        <v>1667</v>
      </c>
      <c r="F64" s="317"/>
      <c r="G64" s="316"/>
      <c r="H64" s="316">
        <v>1667</v>
      </c>
      <c r="I64" s="316"/>
      <c r="J64" s="316"/>
      <c r="K64" s="316"/>
      <c r="L64" s="316"/>
      <c r="M64" s="316"/>
      <c r="N64" s="318"/>
    </row>
    <row r="65" spans="1:14" s="286" customFormat="1" ht="12" customHeight="1">
      <c r="A65" s="313">
        <v>821900</v>
      </c>
      <c r="B65" s="314" t="s">
        <v>278</v>
      </c>
      <c r="C65" s="289" t="s">
        <v>8</v>
      </c>
      <c r="D65" s="319">
        <v>0</v>
      </c>
      <c r="E65" s="291">
        <f>SUM(F65:N65)</f>
        <v>4250</v>
      </c>
      <c r="F65" s="320"/>
      <c r="G65" s="321"/>
      <c r="H65" s="321">
        <v>4250</v>
      </c>
      <c r="I65" s="321"/>
      <c r="J65" s="321"/>
      <c r="K65" s="321"/>
      <c r="L65" s="321"/>
      <c r="M65" s="321"/>
      <c r="N65" s="322"/>
    </row>
    <row r="66" spans="1:14" s="286" customFormat="1" ht="12" customHeight="1">
      <c r="A66" s="294"/>
      <c r="B66" s="288"/>
      <c r="C66" s="289" t="s">
        <v>5</v>
      </c>
      <c r="D66" s="290">
        <v>0</v>
      </c>
      <c r="E66" s="291">
        <f>SUM(F66:N66)</f>
        <v>5000</v>
      </c>
      <c r="F66" s="299"/>
      <c r="G66" s="300"/>
      <c r="H66" s="300">
        <v>5000</v>
      </c>
      <c r="I66" s="300"/>
      <c r="J66" s="300"/>
      <c r="K66" s="300"/>
      <c r="L66" s="300"/>
      <c r="M66" s="300"/>
      <c r="N66" s="301"/>
    </row>
    <row r="67" spans="1:14" s="286" customFormat="1" ht="12" customHeight="1">
      <c r="A67" s="294"/>
      <c r="B67" s="288"/>
      <c r="C67" s="289" t="s">
        <v>6</v>
      </c>
      <c r="D67" s="290">
        <v>0</v>
      </c>
      <c r="E67" s="291">
        <v>4994</v>
      </c>
      <c r="F67" s="299"/>
      <c r="G67" s="300"/>
      <c r="H67" s="300">
        <v>4994</v>
      </c>
      <c r="I67" s="300"/>
      <c r="J67" s="300"/>
      <c r="K67" s="300"/>
      <c r="L67" s="300"/>
      <c r="M67" s="300"/>
      <c r="N67" s="301"/>
    </row>
    <row r="68" spans="1:14" s="286" customFormat="1" ht="12" customHeight="1">
      <c r="A68" s="294">
        <v>829900</v>
      </c>
      <c r="B68" s="288" t="s">
        <v>279</v>
      </c>
      <c r="C68" s="289" t="s">
        <v>8</v>
      </c>
      <c r="D68" s="290">
        <v>0</v>
      </c>
      <c r="E68" s="291">
        <f>SUM(F68:N68)</f>
        <v>0</v>
      </c>
      <c r="F68" s="299"/>
      <c r="G68" s="300"/>
      <c r="H68" s="300"/>
      <c r="I68" s="300"/>
      <c r="J68" s="300"/>
      <c r="K68" s="300"/>
      <c r="L68" s="300"/>
      <c r="M68" s="300"/>
      <c r="N68" s="301"/>
    </row>
    <row r="69" spans="1:14" s="286" customFormat="1" ht="12" customHeight="1">
      <c r="A69" s="294"/>
      <c r="B69" s="288"/>
      <c r="C69" s="289" t="s">
        <v>5</v>
      </c>
      <c r="D69" s="290">
        <v>13314</v>
      </c>
      <c r="E69" s="291">
        <f>SUM(F69:N69)</f>
        <v>13314</v>
      </c>
      <c r="F69" s="299">
        <v>10122</v>
      </c>
      <c r="G69" s="300">
        <v>2494</v>
      </c>
      <c r="H69" s="300">
        <v>698</v>
      </c>
      <c r="I69" s="300"/>
      <c r="J69" s="300"/>
      <c r="K69" s="300"/>
      <c r="L69" s="300"/>
      <c r="M69" s="300"/>
      <c r="N69" s="301"/>
    </row>
    <row r="70" spans="1:14" s="286" customFormat="1" ht="12" customHeight="1">
      <c r="A70" s="294"/>
      <c r="B70" s="288"/>
      <c r="C70" s="289" t="s">
        <v>6</v>
      </c>
      <c r="D70" s="290">
        <v>13314</v>
      </c>
      <c r="E70" s="291">
        <v>13314</v>
      </c>
      <c r="F70" s="299">
        <v>10122</v>
      </c>
      <c r="G70" s="300">
        <v>2494</v>
      </c>
      <c r="H70" s="300">
        <v>698</v>
      </c>
      <c r="I70" s="300"/>
      <c r="J70" s="300"/>
      <c r="K70" s="300"/>
      <c r="L70" s="300"/>
      <c r="M70" s="300"/>
      <c r="N70" s="301"/>
    </row>
    <row r="71" spans="1:14" s="286" customFormat="1" ht="12" customHeight="1">
      <c r="A71" s="294">
        <v>841112</v>
      </c>
      <c r="B71" s="288" t="s">
        <v>280</v>
      </c>
      <c r="C71" s="289" t="s">
        <v>8</v>
      </c>
      <c r="D71" s="290">
        <v>0</v>
      </c>
      <c r="E71" s="291">
        <f>SUM(F71:N71)</f>
        <v>48459</v>
      </c>
      <c r="F71" s="299">
        <v>38188</v>
      </c>
      <c r="G71" s="300">
        <v>10271</v>
      </c>
      <c r="H71" s="300"/>
      <c r="I71" s="300"/>
      <c r="J71" s="300"/>
      <c r="K71" s="300"/>
      <c r="L71" s="300"/>
      <c r="M71" s="300"/>
      <c r="N71" s="301"/>
    </row>
    <row r="72" spans="1:14" s="286" customFormat="1" ht="12" customHeight="1">
      <c r="A72" s="294"/>
      <c r="B72" s="288"/>
      <c r="C72" s="289" t="s">
        <v>5</v>
      </c>
      <c r="D72" s="290">
        <v>0</v>
      </c>
      <c r="E72" s="291">
        <f>SUM(F72:N72)</f>
        <v>48459</v>
      </c>
      <c r="F72" s="299">
        <v>38188</v>
      </c>
      <c r="G72" s="300">
        <v>10271</v>
      </c>
      <c r="H72" s="300"/>
      <c r="I72" s="300"/>
      <c r="J72" s="300"/>
      <c r="K72" s="300"/>
      <c r="L72" s="300"/>
      <c r="M72" s="300"/>
      <c r="N72" s="301"/>
    </row>
    <row r="73" spans="1:14" s="286" customFormat="1" ht="12" customHeight="1">
      <c r="A73" s="294"/>
      <c r="B73" s="288"/>
      <c r="C73" s="289" t="s">
        <v>6</v>
      </c>
      <c r="D73" s="290">
        <v>70</v>
      </c>
      <c r="E73" s="291">
        <v>48185</v>
      </c>
      <c r="F73" s="299">
        <v>38017</v>
      </c>
      <c r="G73" s="300">
        <v>9836</v>
      </c>
      <c r="H73" s="300">
        <v>332</v>
      </c>
      <c r="I73" s="300"/>
      <c r="J73" s="300"/>
      <c r="K73" s="300"/>
      <c r="L73" s="300"/>
      <c r="M73" s="300"/>
      <c r="N73" s="301"/>
    </row>
    <row r="74" spans="1:14" s="286" customFormat="1" ht="12" customHeight="1">
      <c r="A74" s="294">
        <v>841116</v>
      </c>
      <c r="B74" s="288" t="s">
        <v>281</v>
      </c>
      <c r="C74" s="289" t="s">
        <v>8</v>
      </c>
      <c r="D74" s="290">
        <v>3</v>
      </c>
      <c r="E74" s="291">
        <f>SUM(F74:N74)</f>
        <v>3</v>
      </c>
      <c r="F74" s="299"/>
      <c r="G74" s="300"/>
      <c r="H74" s="300">
        <v>3</v>
      </c>
      <c r="I74" s="300"/>
      <c r="J74" s="300"/>
      <c r="K74" s="300"/>
      <c r="L74" s="300"/>
      <c r="M74" s="300"/>
      <c r="N74" s="301"/>
    </row>
    <row r="75" spans="1:14" s="286" customFormat="1" ht="12" customHeight="1">
      <c r="A75" s="294"/>
      <c r="B75" s="288"/>
      <c r="C75" s="289" t="s">
        <v>5</v>
      </c>
      <c r="D75" s="290">
        <v>3</v>
      </c>
      <c r="E75" s="291">
        <f>SUM(F75:N75)</f>
        <v>3</v>
      </c>
      <c r="F75" s="299"/>
      <c r="G75" s="300"/>
      <c r="H75" s="300">
        <v>3</v>
      </c>
      <c r="I75" s="300"/>
      <c r="J75" s="300"/>
      <c r="K75" s="300"/>
      <c r="L75" s="300"/>
      <c r="M75" s="300"/>
      <c r="N75" s="301"/>
    </row>
    <row r="76" spans="1:14" s="286" customFormat="1" ht="12" customHeight="1">
      <c r="A76" s="294"/>
      <c r="B76" s="288"/>
      <c r="C76" s="289" t="s">
        <v>6</v>
      </c>
      <c r="D76" s="290">
        <v>3</v>
      </c>
      <c r="E76" s="291">
        <v>3</v>
      </c>
      <c r="F76" s="299"/>
      <c r="G76" s="300"/>
      <c r="H76" s="300">
        <v>3</v>
      </c>
      <c r="I76" s="300"/>
      <c r="J76" s="300"/>
      <c r="K76" s="300"/>
      <c r="L76" s="300"/>
      <c r="M76" s="300"/>
      <c r="N76" s="301"/>
    </row>
    <row r="77" spans="1:14" s="286" customFormat="1" ht="12" customHeight="1">
      <c r="A77" s="294">
        <v>841126</v>
      </c>
      <c r="B77" s="288" t="s">
        <v>282</v>
      </c>
      <c r="C77" s="289" t="s">
        <v>8</v>
      </c>
      <c r="D77" s="290">
        <v>87215</v>
      </c>
      <c r="E77" s="291">
        <f>SUM(F77:N77)</f>
        <v>1080392</v>
      </c>
      <c r="F77" s="299">
        <v>231678</v>
      </c>
      <c r="G77" s="300">
        <v>75612</v>
      </c>
      <c r="H77" s="300">
        <v>221450</v>
      </c>
      <c r="I77" s="300">
        <v>28750</v>
      </c>
      <c r="J77" s="300"/>
      <c r="K77" s="300"/>
      <c r="L77" s="300">
        <v>24431</v>
      </c>
      <c r="M77" s="300"/>
      <c r="N77" s="301">
        <v>498471</v>
      </c>
    </row>
    <row r="78" spans="1:14" s="286" customFormat="1" ht="12" customHeight="1">
      <c r="A78" s="294"/>
      <c r="B78" s="288"/>
      <c r="C78" s="289" t="s">
        <v>5</v>
      </c>
      <c r="D78" s="290">
        <v>79019</v>
      </c>
      <c r="E78" s="291">
        <f>SUM(F78:N78)</f>
        <v>730877</v>
      </c>
      <c r="F78" s="299">
        <v>232115</v>
      </c>
      <c r="G78" s="300">
        <v>75716</v>
      </c>
      <c r="H78" s="300">
        <v>209662</v>
      </c>
      <c r="I78" s="300">
        <v>29283</v>
      </c>
      <c r="J78" s="300"/>
      <c r="K78" s="300"/>
      <c r="L78" s="300">
        <v>32685</v>
      </c>
      <c r="M78" s="300"/>
      <c r="N78" s="301">
        <v>151416</v>
      </c>
    </row>
    <row r="79" spans="1:14" s="286" customFormat="1" ht="12" customHeight="1">
      <c r="A79" s="294"/>
      <c r="B79" s="288"/>
      <c r="C79" s="289" t="s">
        <v>6</v>
      </c>
      <c r="D79" s="290">
        <v>138891</v>
      </c>
      <c r="E79" s="291">
        <v>531250</v>
      </c>
      <c r="F79" s="299">
        <v>222759</v>
      </c>
      <c r="G79" s="300">
        <v>64434</v>
      </c>
      <c r="H79" s="300">
        <v>203173</v>
      </c>
      <c r="I79" s="300">
        <v>22444</v>
      </c>
      <c r="J79" s="300"/>
      <c r="K79" s="300"/>
      <c r="L79" s="300">
        <v>18440</v>
      </c>
      <c r="M79" s="300"/>
      <c r="N79" s="301"/>
    </row>
    <row r="80" spans="1:14" s="286" customFormat="1" ht="12" customHeight="1">
      <c r="A80" s="294">
        <v>841126</v>
      </c>
      <c r="B80" s="288" t="s">
        <v>283</v>
      </c>
      <c r="C80" s="289" t="s">
        <v>8</v>
      </c>
      <c r="D80" s="290">
        <v>601932</v>
      </c>
      <c r="E80" s="291">
        <f>SUM(F80:N80)</f>
        <v>0</v>
      </c>
      <c r="F80" s="299"/>
      <c r="G80" s="300"/>
      <c r="H80" s="300"/>
      <c r="I80" s="300"/>
      <c r="J80" s="300"/>
      <c r="K80" s="300"/>
      <c r="L80" s="300"/>
      <c r="M80" s="300"/>
      <c r="N80" s="301"/>
    </row>
    <row r="81" spans="1:14" s="286" customFormat="1" ht="12" customHeight="1">
      <c r="A81" s="294"/>
      <c r="B81" s="288"/>
      <c r="C81" s="289" t="s">
        <v>5</v>
      </c>
      <c r="D81" s="290">
        <v>842333</v>
      </c>
      <c r="E81" s="291">
        <f>SUM(F81:N81)</f>
        <v>0</v>
      </c>
      <c r="F81" s="299"/>
      <c r="G81" s="300"/>
      <c r="H81" s="300"/>
      <c r="I81" s="300"/>
      <c r="J81" s="300"/>
      <c r="K81" s="300"/>
      <c r="L81" s="300"/>
      <c r="M81" s="300"/>
      <c r="N81" s="301"/>
    </row>
    <row r="82" spans="1:14" s="286" customFormat="1" ht="12" customHeight="1">
      <c r="A82" s="294"/>
      <c r="B82" s="288"/>
      <c r="C82" s="289" t="s">
        <v>6</v>
      </c>
      <c r="D82" s="290">
        <v>842336</v>
      </c>
      <c r="E82" s="291">
        <f>SUM(F82:N82)</f>
        <v>0</v>
      </c>
      <c r="F82" s="299"/>
      <c r="G82" s="300"/>
      <c r="H82" s="300"/>
      <c r="I82" s="300"/>
      <c r="J82" s="300"/>
      <c r="K82" s="300"/>
      <c r="L82" s="300"/>
      <c r="M82" s="300"/>
      <c r="N82" s="301"/>
    </row>
    <row r="83" spans="1:14" s="286" customFormat="1" ht="12" customHeight="1">
      <c r="A83" s="294">
        <v>841133</v>
      </c>
      <c r="B83" s="288" t="s">
        <v>284</v>
      </c>
      <c r="C83" s="289" t="s">
        <v>8</v>
      </c>
      <c r="D83" s="290">
        <v>1452675</v>
      </c>
      <c r="E83" s="291">
        <f>SUM(F83:N83)</f>
        <v>54842</v>
      </c>
      <c r="F83" s="299">
        <v>43764</v>
      </c>
      <c r="G83" s="300">
        <v>11078</v>
      </c>
      <c r="H83" s="300"/>
      <c r="I83" s="300"/>
      <c r="J83" s="300"/>
      <c r="K83" s="300"/>
      <c r="L83" s="300"/>
      <c r="M83" s="300"/>
      <c r="N83" s="301"/>
    </row>
    <row r="84" spans="1:14" s="286" customFormat="1" ht="12" customHeight="1">
      <c r="A84" s="294"/>
      <c r="B84" s="288"/>
      <c r="C84" s="289" t="s">
        <v>5</v>
      </c>
      <c r="D84" s="290">
        <v>1462608</v>
      </c>
      <c r="E84" s="291">
        <f>SUM(F84:N84)</f>
        <v>64515</v>
      </c>
      <c r="F84" s="299">
        <v>42842</v>
      </c>
      <c r="G84" s="300">
        <v>10828</v>
      </c>
      <c r="H84" s="300">
        <v>10845</v>
      </c>
      <c r="I84" s="300"/>
      <c r="J84" s="300"/>
      <c r="K84" s="300"/>
      <c r="L84" s="300"/>
      <c r="M84" s="300"/>
      <c r="N84" s="301"/>
    </row>
    <row r="85" spans="1:14" s="286" customFormat="1" ht="12" customHeight="1">
      <c r="A85" s="294"/>
      <c r="B85" s="288"/>
      <c r="C85" s="289" t="s">
        <v>6</v>
      </c>
      <c r="D85" s="290">
        <v>1465628</v>
      </c>
      <c r="E85" s="291">
        <v>58700</v>
      </c>
      <c r="F85" s="299">
        <v>36152</v>
      </c>
      <c r="G85" s="300">
        <v>7327</v>
      </c>
      <c r="H85" s="300">
        <v>15221</v>
      </c>
      <c r="I85" s="300"/>
      <c r="J85" s="300"/>
      <c r="K85" s="300"/>
      <c r="L85" s="300"/>
      <c r="M85" s="300"/>
      <c r="N85" s="301"/>
    </row>
    <row r="86" spans="1:14" s="286" customFormat="1" ht="12" customHeight="1">
      <c r="A86" s="294">
        <v>841191</v>
      </c>
      <c r="B86" s="288" t="s">
        <v>285</v>
      </c>
      <c r="C86" s="289" t="s">
        <v>8</v>
      </c>
      <c r="D86" s="290">
        <v>0</v>
      </c>
      <c r="E86" s="291">
        <f>SUM(F86:N86)</f>
        <v>0</v>
      </c>
      <c r="F86" s="299"/>
      <c r="G86" s="300"/>
      <c r="H86" s="300"/>
      <c r="I86" s="300"/>
      <c r="J86" s="300"/>
      <c r="K86" s="300"/>
      <c r="L86" s="300"/>
      <c r="M86" s="300"/>
      <c r="N86" s="301"/>
    </row>
    <row r="87" spans="1:14" s="286" customFormat="1" ht="12" customHeight="1">
      <c r="A87" s="294"/>
      <c r="B87" s="288"/>
      <c r="C87" s="289" t="s">
        <v>5</v>
      </c>
      <c r="D87" s="290">
        <v>0</v>
      </c>
      <c r="E87" s="291">
        <f>SUM(F87:N87)</f>
        <v>336</v>
      </c>
      <c r="F87" s="299"/>
      <c r="G87" s="300"/>
      <c r="H87" s="300">
        <v>336</v>
      </c>
      <c r="I87" s="300"/>
      <c r="J87" s="300"/>
      <c r="K87" s="300"/>
      <c r="L87" s="300"/>
      <c r="M87" s="300"/>
      <c r="N87" s="301"/>
    </row>
    <row r="88" spans="1:14" s="286" customFormat="1" ht="12" customHeight="1">
      <c r="A88" s="294"/>
      <c r="B88" s="288"/>
      <c r="C88" s="289" t="s">
        <v>6</v>
      </c>
      <c r="D88" s="290">
        <v>0</v>
      </c>
      <c r="E88" s="291">
        <v>353</v>
      </c>
      <c r="F88" s="299"/>
      <c r="G88" s="300"/>
      <c r="H88" s="300">
        <v>353</v>
      </c>
      <c r="I88" s="300"/>
      <c r="J88" s="300"/>
      <c r="K88" s="300"/>
      <c r="L88" s="300"/>
      <c r="M88" s="300"/>
      <c r="N88" s="301"/>
    </row>
    <row r="89" spans="1:14" s="286" customFormat="1" ht="12" customHeight="1">
      <c r="A89" s="294">
        <v>841192</v>
      </c>
      <c r="B89" s="288" t="s">
        <v>286</v>
      </c>
      <c r="C89" s="289" t="s">
        <v>8</v>
      </c>
      <c r="D89" s="290">
        <v>1500</v>
      </c>
      <c r="E89" s="291">
        <f>SUM(F89:N89)</f>
        <v>2000</v>
      </c>
      <c r="F89" s="299"/>
      <c r="G89" s="300"/>
      <c r="H89" s="300">
        <v>2000</v>
      </c>
      <c r="I89" s="300"/>
      <c r="J89" s="300"/>
      <c r="K89" s="300"/>
      <c r="L89" s="300"/>
      <c r="M89" s="323"/>
      <c r="N89" s="301"/>
    </row>
    <row r="90" spans="1:14" s="304" customFormat="1" ht="12" customHeight="1">
      <c r="A90" s="294"/>
      <c r="B90" s="288"/>
      <c r="C90" s="289" t="s">
        <v>5</v>
      </c>
      <c r="D90" s="290">
        <v>1500</v>
      </c>
      <c r="E90" s="291">
        <f>SUM(F90:N90)</f>
        <v>3022</v>
      </c>
      <c r="F90" s="299"/>
      <c r="G90" s="300"/>
      <c r="H90" s="300">
        <v>3022</v>
      </c>
      <c r="I90" s="300"/>
      <c r="J90" s="300"/>
      <c r="K90" s="300"/>
      <c r="L90" s="300"/>
      <c r="M90" s="323"/>
      <c r="N90" s="301"/>
    </row>
    <row r="91" spans="1:14" s="304" customFormat="1" ht="12" customHeight="1">
      <c r="A91" s="294"/>
      <c r="B91" s="288"/>
      <c r="C91" s="289" t="s">
        <v>6</v>
      </c>
      <c r="D91" s="290">
        <v>1199</v>
      </c>
      <c r="E91" s="291">
        <v>3002</v>
      </c>
      <c r="F91" s="299"/>
      <c r="G91" s="300"/>
      <c r="H91" s="300">
        <v>3002</v>
      </c>
      <c r="I91" s="300"/>
      <c r="J91" s="300"/>
      <c r="K91" s="300"/>
      <c r="L91" s="300"/>
      <c r="M91" s="323"/>
      <c r="N91" s="301"/>
    </row>
    <row r="92" spans="1:14" s="304" customFormat="1" ht="12" customHeight="1">
      <c r="A92" s="294">
        <v>841192</v>
      </c>
      <c r="B92" s="288" t="s">
        <v>287</v>
      </c>
      <c r="C92" s="289" t="s">
        <v>8</v>
      </c>
      <c r="D92" s="290">
        <v>0</v>
      </c>
      <c r="E92" s="291">
        <f>SUM(F92:N92)</f>
        <v>5080</v>
      </c>
      <c r="F92" s="299">
        <v>4000</v>
      </c>
      <c r="G92" s="300">
        <v>1080</v>
      </c>
      <c r="H92" s="300"/>
      <c r="I92" s="300"/>
      <c r="J92" s="300"/>
      <c r="K92" s="300"/>
      <c r="L92" s="300"/>
      <c r="M92" s="323"/>
      <c r="N92" s="301"/>
    </row>
    <row r="93" spans="1:14" s="286" customFormat="1" ht="12" customHeight="1">
      <c r="A93" s="294"/>
      <c r="B93" s="288"/>
      <c r="C93" s="289" t="s">
        <v>5</v>
      </c>
      <c r="D93" s="290">
        <v>0</v>
      </c>
      <c r="E93" s="291">
        <f>SUM(F93:N93)</f>
        <v>5080</v>
      </c>
      <c r="F93" s="299">
        <v>3807</v>
      </c>
      <c r="G93" s="300">
        <v>1080</v>
      </c>
      <c r="H93" s="300"/>
      <c r="I93" s="300">
        <v>193</v>
      </c>
      <c r="J93" s="300"/>
      <c r="K93" s="300"/>
      <c r="L93" s="300"/>
      <c r="M93" s="323"/>
      <c r="N93" s="301"/>
    </row>
    <row r="94" spans="1:14" s="286" customFormat="1" ht="12" customHeight="1">
      <c r="A94" s="294"/>
      <c r="B94" s="288"/>
      <c r="C94" s="289" t="s">
        <v>6</v>
      </c>
      <c r="D94" s="290">
        <v>0</v>
      </c>
      <c r="E94" s="291">
        <v>1163</v>
      </c>
      <c r="F94" s="299">
        <v>534</v>
      </c>
      <c r="G94" s="300">
        <v>144</v>
      </c>
      <c r="H94" s="300">
        <v>98</v>
      </c>
      <c r="I94" s="300">
        <v>387</v>
      </c>
      <c r="J94" s="300"/>
      <c r="K94" s="300"/>
      <c r="L94" s="300"/>
      <c r="M94" s="323"/>
      <c r="N94" s="301"/>
    </row>
    <row r="95" spans="1:14" s="286" customFormat="1" ht="12" customHeight="1">
      <c r="A95" s="294">
        <v>841192</v>
      </c>
      <c r="B95" s="288" t="s">
        <v>288</v>
      </c>
      <c r="C95" s="289" t="s">
        <v>8</v>
      </c>
      <c r="D95" s="290">
        <v>1000</v>
      </c>
      <c r="E95" s="291">
        <f>SUM(F95:N95)</f>
        <v>0</v>
      </c>
      <c r="F95" s="299"/>
      <c r="G95" s="300"/>
      <c r="H95" s="300"/>
      <c r="I95" s="300"/>
      <c r="J95" s="300"/>
      <c r="K95" s="300"/>
      <c r="L95" s="300"/>
      <c r="M95" s="300"/>
      <c r="N95" s="301"/>
    </row>
    <row r="96" spans="1:14" s="286" customFormat="1" ht="12" customHeight="1">
      <c r="A96" s="294"/>
      <c r="B96" s="288"/>
      <c r="C96" s="289" t="s">
        <v>5</v>
      </c>
      <c r="D96" s="290">
        <v>1000</v>
      </c>
      <c r="E96" s="291">
        <f>SUM(F96:N96)</f>
        <v>0</v>
      </c>
      <c r="F96" s="299"/>
      <c r="G96" s="300"/>
      <c r="H96" s="300"/>
      <c r="I96" s="300"/>
      <c r="J96" s="300"/>
      <c r="K96" s="300"/>
      <c r="L96" s="300"/>
      <c r="M96" s="300"/>
      <c r="N96" s="301"/>
    </row>
    <row r="97" spans="1:14" s="286" customFormat="1" ht="12" customHeight="1">
      <c r="A97" s="294"/>
      <c r="B97" s="288"/>
      <c r="C97" s="289" t="s">
        <v>6</v>
      </c>
      <c r="D97" s="290">
        <v>1000</v>
      </c>
      <c r="E97" s="291">
        <v>352</v>
      </c>
      <c r="F97" s="299"/>
      <c r="G97" s="300"/>
      <c r="H97" s="300">
        <v>352</v>
      </c>
      <c r="I97" s="300"/>
      <c r="J97" s="300"/>
      <c r="K97" s="300"/>
      <c r="L97" s="300"/>
      <c r="M97" s="300"/>
      <c r="N97" s="301"/>
    </row>
    <row r="98" spans="1:14" s="286" customFormat="1" ht="12" customHeight="1">
      <c r="A98" s="294">
        <v>841401</v>
      </c>
      <c r="B98" s="288" t="s">
        <v>289</v>
      </c>
      <c r="C98" s="289" t="s">
        <v>8</v>
      </c>
      <c r="D98" s="290">
        <v>0</v>
      </c>
      <c r="E98" s="291">
        <f>SUM(F98:N98)</f>
        <v>11375</v>
      </c>
      <c r="F98" s="292"/>
      <c r="G98" s="291"/>
      <c r="H98" s="291">
        <v>11375</v>
      </c>
      <c r="I98" s="291"/>
      <c r="J98" s="291"/>
      <c r="K98" s="291"/>
      <c r="L98" s="291"/>
      <c r="M98" s="291"/>
      <c r="N98" s="293"/>
    </row>
    <row r="99" spans="1:14" s="286" customFormat="1" ht="12" customHeight="1">
      <c r="A99" s="294"/>
      <c r="B99" s="288"/>
      <c r="C99" s="289" t="s">
        <v>5</v>
      </c>
      <c r="D99" s="290">
        <v>1862</v>
      </c>
      <c r="E99" s="291">
        <f>SUM(F99:N99)</f>
        <v>11747</v>
      </c>
      <c r="F99" s="292"/>
      <c r="G99" s="291"/>
      <c r="H99" s="291">
        <v>11747</v>
      </c>
      <c r="I99" s="291"/>
      <c r="J99" s="291"/>
      <c r="K99" s="291"/>
      <c r="L99" s="291"/>
      <c r="M99" s="291"/>
      <c r="N99" s="293"/>
    </row>
    <row r="100" spans="1:14" s="286" customFormat="1" ht="12" customHeight="1">
      <c r="A100" s="294"/>
      <c r="B100" s="288"/>
      <c r="C100" s="289" t="s">
        <v>6</v>
      </c>
      <c r="D100" s="290">
        <v>1863</v>
      </c>
      <c r="E100" s="291">
        <v>11203</v>
      </c>
      <c r="F100" s="292"/>
      <c r="G100" s="291"/>
      <c r="H100" s="291">
        <v>11203</v>
      </c>
      <c r="I100" s="291"/>
      <c r="J100" s="291"/>
      <c r="K100" s="291"/>
      <c r="L100" s="291"/>
      <c r="M100" s="291"/>
      <c r="N100" s="293"/>
    </row>
    <row r="101" spans="1:14" s="286" customFormat="1" ht="12" customHeight="1">
      <c r="A101" s="294">
        <v>841402</v>
      </c>
      <c r="B101" s="288" t="s">
        <v>290</v>
      </c>
      <c r="C101" s="289" t="s">
        <v>8</v>
      </c>
      <c r="D101" s="290">
        <v>0</v>
      </c>
      <c r="E101" s="291">
        <f>SUM(F101:N101)</f>
        <v>46395</v>
      </c>
      <c r="F101" s="292"/>
      <c r="G101" s="291"/>
      <c r="H101" s="291">
        <v>46395</v>
      </c>
      <c r="I101" s="291"/>
      <c r="J101" s="291"/>
      <c r="K101" s="291"/>
      <c r="L101" s="291"/>
      <c r="M101" s="291"/>
      <c r="N101" s="293"/>
    </row>
    <row r="102" spans="1:14" s="286" customFormat="1" ht="12" customHeight="1">
      <c r="A102" s="294"/>
      <c r="B102" s="288"/>
      <c r="C102" s="289" t="s">
        <v>5</v>
      </c>
      <c r="D102" s="290">
        <v>3480</v>
      </c>
      <c r="E102" s="291">
        <f>SUM(F102:N102)</f>
        <v>52375</v>
      </c>
      <c r="F102" s="292"/>
      <c r="G102" s="291"/>
      <c r="H102" s="291">
        <v>50832</v>
      </c>
      <c r="I102" s="291"/>
      <c r="J102" s="291"/>
      <c r="K102" s="291"/>
      <c r="L102" s="291">
        <v>1543</v>
      </c>
      <c r="M102" s="291"/>
      <c r="N102" s="293"/>
    </row>
    <row r="103" spans="1:14" s="286" customFormat="1" ht="12" customHeight="1">
      <c r="A103" s="294"/>
      <c r="B103" s="288"/>
      <c r="C103" s="289" t="s">
        <v>6</v>
      </c>
      <c r="D103" s="290">
        <v>3485</v>
      </c>
      <c r="E103" s="291">
        <v>52077</v>
      </c>
      <c r="F103" s="292"/>
      <c r="G103" s="291"/>
      <c r="H103" s="291">
        <v>50535</v>
      </c>
      <c r="I103" s="291"/>
      <c r="J103" s="291"/>
      <c r="K103" s="291"/>
      <c r="L103" s="291">
        <v>1542</v>
      </c>
      <c r="M103" s="291"/>
      <c r="N103" s="293"/>
    </row>
    <row r="104" spans="1:14" s="286" customFormat="1" ht="12" customHeight="1">
      <c r="A104" s="294">
        <v>841403</v>
      </c>
      <c r="B104" s="288" t="s">
        <v>291</v>
      </c>
      <c r="C104" s="289" t="s">
        <v>8</v>
      </c>
      <c r="D104" s="290">
        <v>17535</v>
      </c>
      <c r="E104" s="291">
        <f>SUM(F104:N104)</f>
        <v>181216</v>
      </c>
      <c r="F104" s="292">
        <v>79928</v>
      </c>
      <c r="G104" s="291">
        <v>19994</v>
      </c>
      <c r="H104" s="291">
        <v>6567</v>
      </c>
      <c r="I104" s="291">
        <v>69727</v>
      </c>
      <c r="J104" s="291"/>
      <c r="K104" s="291"/>
      <c r="L104" s="291"/>
      <c r="M104" s="291">
        <v>5000</v>
      </c>
      <c r="N104" s="293"/>
    </row>
    <row r="105" spans="1:14" s="286" customFormat="1" ht="11.25" customHeight="1">
      <c r="A105" s="294"/>
      <c r="B105" s="288"/>
      <c r="C105" s="289" t="s">
        <v>5</v>
      </c>
      <c r="D105" s="290">
        <v>13080</v>
      </c>
      <c r="E105" s="291">
        <f>SUM(F105:N105)</f>
        <v>182770</v>
      </c>
      <c r="F105" s="292">
        <v>77972</v>
      </c>
      <c r="G105" s="291">
        <v>19465</v>
      </c>
      <c r="H105" s="291">
        <v>8567</v>
      </c>
      <c r="I105" s="291">
        <v>41058</v>
      </c>
      <c r="J105" s="291"/>
      <c r="K105" s="291">
        <v>483</v>
      </c>
      <c r="L105" s="291">
        <v>28725</v>
      </c>
      <c r="M105" s="291">
        <v>6500</v>
      </c>
      <c r="N105" s="293"/>
    </row>
    <row r="106" spans="1:14" s="286" customFormat="1" ht="11.25" customHeight="1">
      <c r="A106" s="294"/>
      <c r="B106" s="288"/>
      <c r="C106" s="289" t="s">
        <v>6</v>
      </c>
      <c r="D106" s="290">
        <v>11100</v>
      </c>
      <c r="E106" s="291">
        <v>170386</v>
      </c>
      <c r="F106" s="292">
        <v>69796</v>
      </c>
      <c r="G106" s="291">
        <v>16244</v>
      </c>
      <c r="H106" s="291">
        <v>17432</v>
      </c>
      <c r="I106" s="291">
        <v>34432</v>
      </c>
      <c r="J106" s="291">
        <v>320</v>
      </c>
      <c r="K106" s="291">
        <v>437</v>
      </c>
      <c r="L106" s="291">
        <v>28725</v>
      </c>
      <c r="M106" s="291">
        <v>3000</v>
      </c>
      <c r="N106" s="293"/>
    </row>
    <row r="107" spans="1:14" s="286" customFormat="1" ht="11.25" customHeight="1">
      <c r="A107" s="294">
        <v>841403</v>
      </c>
      <c r="B107" s="288" t="s">
        <v>292</v>
      </c>
      <c r="C107" s="289" t="s">
        <v>8</v>
      </c>
      <c r="D107" s="290">
        <v>5400</v>
      </c>
      <c r="E107" s="291">
        <f>SUM(F107:N107)</f>
        <v>121463</v>
      </c>
      <c r="F107" s="292">
        <v>80</v>
      </c>
      <c r="G107" s="291">
        <v>25</v>
      </c>
      <c r="H107" s="291">
        <v>18035</v>
      </c>
      <c r="I107" s="291">
        <v>77323</v>
      </c>
      <c r="J107" s="291"/>
      <c r="K107" s="291">
        <v>5000</v>
      </c>
      <c r="L107" s="291"/>
      <c r="M107" s="291">
        <v>21000</v>
      </c>
      <c r="N107" s="293"/>
    </row>
    <row r="108" spans="1:14" s="286" customFormat="1" ht="12" customHeight="1">
      <c r="A108" s="294"/>
      <c r="B108" s="288"/>
      <c r="C108" s="289" t="s">
        <v>5</v>
      </c>
      <c r="D108" s="290">
        <v>155915</v>
      </c>
      <c r="E108" s="291">
        <f>SUM(F108:N108)</f>
        <v>349414</v>
      </c>
      <c r="F108" s="292">
        <v>247</v>
      </c>
      <c r="G108" s="291">
        <v>58</v>
      </c>
      <c r="H108" s="291">
        <v>45031</v>
      </c>
      <c r="I108" s="291">
        <v>97003</v>
      </c>
      <c r="J108" s="291"/>
      <c r="K108" s="291">
        <v>0</v>
      </c>
      <c r="L108" s="291">
        <v>5075</v>
      </c>
      <c r="M108" s="291">
        <v>202000</v>
      </c>
      <c r="N108" s="293"/>
    </row>
    <row r="109" spans="1:14" s="286" customFormat="1" ht="12" customHeight="1">
      <c r="A109" s="294"/>
      <c r="B109" s="288"/>
      <c r="C109" s="289" t="s">
        <v>6</v>
      </c>
      <c r="D109" s="290">
        <v>155575</v>
      </c>
      <c r="E109" s="291">
        <v>279963</v>
      </c>
      <c r="F109" s="292">
        <v>167</v>
      </c>
      <c r="G109" s="291">
        <v>33</v>
      </c>
      <c r="H109" s="291">
        <v>35670</v>
      </c>
      <c r="I109" s="291">
        <v>45580</v>
      </c>
      <c r="J109" s="291"/>
      <c r="K109" s="291">
        <v>0</v>
      </c>
      <c r="L109" s="291">
        <v>1013</v>
      </c>
      <c r="M109" s="291">
        <v>197500</v>
      </c>
      <c r="N109" s="293"/>
    </row>
    <row r="110" spans="1:14" s="286" customFormat="1" ht="12" customHeight="1">
      <c r="A110" s="294">
        <v>841403</v>
      </c>
      <c r="B110" s="288" t="s">
        <v>293</v>
      </c>
      <c r="C110" s="289" t="s">
        <v>8</v>
      </c>
      <c r="D110" s="290">
        <v>1600</v>
      </c>
      <c r="E110" s="291">
        <f>SUM(F110:N110)</f>
        <v>34963</v>
      </c>
      <c r="F110" s="299">
        <v>1000</v>
      </c>
      <c r="G110" s="300">
        <v>300</v>
      </c>
      <c r="H110" s="300">
        <v>18163</v>
      </c>
      <c r="I110" s="300">
        <v>13000</v>
      </c>
      <c r="J110" s="300"/>
      <c r="K110" s="300"/>
      <c r="L110" s="300">
        <v>2500</v>
      </c>
      <c r="M110" s="300"/>
      <c r="N110" s="301"/>
    </row>
    <row r="111" spans="1:15" s="286" customFormat="1" ht="12" customHeight="1">
      <c r="A111" s="294"/>
      <c r="B111" s="288"/>
      <c r="C111" s="289" t="s">
        <v>5</v>
      </c>
      <c r="D111" s="290">
        <v>1600</v>
      </c>
      <c r="E111" s="291">
        <f>SUM(F111:N111)</f>
        <v>25313</v>
      </c>
      <c r="F111" s="299">
        <v>1270</v>
      </c>
      <c r="G111" s="300">
        <v>380</v>
      </c>
      <c r="H111" s="300">
        <v>19163</v>
      </c>
      <c r="I111" s="300">
        <v>3000</v>
      </c>
      <c r="J111" s="300"/>
      <c r="K111" s="300"/>
      <c r="L111" s="300">
        <v>1500</v>
      </c>
      <c r="M111" s="300"/>
      <c r="N111" s="301"/>
      <c r="O111" s="324"/>
    </row>
    <row r="112" spans="1:15" s="286" customFormat="1" ht="12" customHeight="1">
      <c r="A112" s="294"/>
      <c r="B112" s="288"/>
      <c r="C112" s="289" t="s">
        <v>6</v>
      </c>
      <c r="D112" s="290">
        <v>1250</v>
      </c>
      <c r="E112" s="291">
        <v>12595</v>
      </c>
      <c r="F112" s="299">
        <v>690</v>
      </c>
      <c r="G112" s="300">
        <v>125</v>
      </c>
      <c r="H112" s="300">
        <v>8780</v>
      </c>
      <c r="I112" s="300">
        <v>1500</v>
      </c>
      <c r="J112" s="300"/>
      <c r="K112" s="300"/>
      <c r="L112" s="300">
        <v>1500</v>
      </c>
      <c r="M112" s="300"/>
      <c r="N112" s="301"/>
      <c r="O112" s="324"/>
    </row>
    <row r="113" spans="1:15" s="286" customFormat="1" ht="12" customHeight="1">
      <c r="A113" s="294">
        <v>841901</v>
      </c>
      <c r="B113" s="288" t="s">
        <v>294</v>
      </c>
      <c r="C113" s="289" t="s">
        <v>8</v>
      </c>
      <c r="D113" s="290">
        <v>1284228</v>
      </c>
      <c r="E113" s="291">
        <f aca="true" t="shared" si="1" ref="E113:E120">SUM(F113:N113)</f>
        <v>0</v>
      </c>
      <c r="F113" s="299"/>
      <c r="G113" s="300"/>
      <c r="H113" s="300"/>
      <c r="I113" s="300"/>
      <c r="J113" s="300"/>
      <c r="K113" s="300"/>
      <c r="L113" s="300"/>
      <c r="M113" s="323"/>
      <c r="N113" s="301"/>
      <c r="O113" s="324"/>
    </row>
    <row r="114" spans="1:15" s="286" customFormat="1" ht="12" customHeight="1">
      <c r="A114" s="294"/>
      <c r="B114" s="288"/>
      <c r="C114" s="289" t="s">
        <v>5</v>
      </c>
      <c r="D114" s="290">
        <v>1298854</v>
      </c>
      <c r="E114" s="291">
        <f t="shared" si="1"/>
        <v>0</v>
      </c>
      <c r="F114" s="299"/>
      <c r="G114" s="300"/>
      <c r="H114" s="300"/>
      <c r="I114" s="300"/>
      <c r="J114" s="300"/>
      <c r="K114" s="300"/>
      <c r="L114" s="300"/>
      <c r="M114" s="323"/>
      <c r="N114" s="301"/>
      <c r="O114" s="324"/>
    </row>
    <row r="115" spans="1:15" s="286" customFormat="1" ht="12" customHeight="1">
      <c r="A115" s="294"/>
      <c r="B115" s="288"/>
      <c r="C115" s="289" t="s">
        <v>6</v>
      </c>
      <c r="D115" s="290">
        <v>1298855</v>
      </c>
      <c r="E115" s="291">
        <f t="shared" si="1"/>
        <v>0</v>
      </c>
      <c r="F115" s="299"/>
      <c r="G115" s="300"/>
      <c r="H115" s="300"/>
      <c r="I115" s="300"/>
      <c r="J115" s="300"/>
      <c r="K115" s="300"/>
      <c r="L115" s="300"/>
      <c r="M115" s="323"/>
      <c r="N115" s="301"/>
      <c r="O115" s="324"/>
    </row>
    <row r="116" spans="1:15" s="286" customFormat="1" ht="12" customHeight="1">
      <c r="A116" s="294">
        <v>841901</v>
      </c>
      <c r="B116" s="288" t="s">
        <v>295</v>
      </c>
      <c r="C116" s="289" t="s">
        <v>8</v>
      </c>
      <c r="D116" s="290">
        <v>0</v>
      </c>
      <c r="E116" s="291">
        <f t="shared" si="1"/>
        <v>0</v>
      </c>
      <c r="F116" s="299"/>
      <c r="G116" s="300"/>
      <c r="H116" s="300"/>
      <c r="I116" s="300"/>
      <c r="J116" s="300"/>
      <c r="K116" s="300"/>
      <c r="L116" s="300"/>
      <c r="M116" s="300"/>
      <c r="N116" s="301"/>
      <c r="O116" s="324"/>
    </row>
    <row r="117" spans="1:14" s="304" customFormat="1" ht="12" customHeight="1">
      <c r="A117" s="294"/>
      <c r="B117" s="288"/>
      <c r="C117" s="289" t="s">
        <v>5</v>
      </c>
      <c r="D117" s="290">
        <v>0</v>
      </c>
      <c r="E117" s="291">
        <f t="shared" si="1"/>
        <v>0</v>
      </c>
      <c r="F117" s="325"/>
      <c r="G117" s="300"/>
      <c r="H117" s="300"/>
      <c r="I117" s="300"/>
      <c r="J117" s="300"/>
      <c r="K117" s="300"/>
      <c r="L117" s="300"/>
      <c r="M117" s="300"/>
      <c r="N117" s="301"/>
    </row>
    <row r="118" spans="1:14" s="304" customFormat="1" ht="12" customHeight="1">
      <c r="A118" s="305"/>
      <c r="B118" s="306"/>
      <c r="C118" s="326" t="s">
        <v>6</v>
      </c>
      <c r="D118" s="327">
        <v>0</v>
      </c>
      <c r="E118" s="328">
        <f t="shared" si="1"/>
        <v>0</v>
      </c>
      <c r="F118" s="329"/>
      <c r="G118" s="330"/>
      <c r="H118" s="330"/>
      <c r="I118" s="330"/>
      <c r="J118" s="330"/>
      <c r="K118" s="330"/>
      <c r="L118" s="330"/>
      <c r="M118" s="330"/>
      <c r="N118" s="331"/>
    </row>
    <row r="119" spans="1:15" s="286" customFormat="1" ht="12" customHeight="1">
      <c r="A119" s="313">
        <v>841906</v>
      </c>
      <c r="B119" s="314" t="s">
        <v>296</v>
      </c>
      <c r="C119" s="315" t="s">
        <v>8</v>
      </c>
      <c r="D119" s="316">
        <v>1000000</v>
      </c>
      <c r="E119" s="316">
        <f t="shared" si="1"/>
        <v>84551</v>
      </c>
      <c r="F119" s="321"/>
      <c r="G119" s="320"/>
      <c r="H119" s="321">
        <v>64174</v>
      </c>
      <c r="I119" s="321"/>
      <c r="J119" s="321"/>
      <c r="K119" s="321"/>
      <c r="L119" s="321"/>
      <c r="M119" s="321">
        <v>20377</v>
      </c>
      <c r="N119" s="322"/>
      <c r="O119" s="324"/>
    </row>
    <row r="120" spans="1:15" s="286" customFormat="1" ht="12" customHeight="1">
      <c r="A120" s="294"/>
      <c r="B120" s="288"/>
      <c r="C120" s="289" t="s">
        <v>5</v>
      </c>
      <c r="D120" s="319">
        <v>0</v>
      </c>
      <c r="E120" s="316">
        <f t="shared" si="1"/>
        <v>79151</v>
      </c>
      <c r="F120" s="320"/>
      <c r="G120" s="300"/>
      <c r="H120" s="300">
        <v>53749</v>
      </c>
      <c r="I120" s="300">
        <v>3275</v>
      </c>
      <c r="J120" s="300"/>
      <c r="K120" s="300"/>
      <c r="L120" s="300"/>
      <c r="M120" s="300">
        <v>22127</v>
      </c>
      <c r="N120" s="301"/>
      <c r="O120" s="324"/>
    </row>
    <row r="121" spans="1:15" s="286" customFormat="1" ht="12" customHeight="1">
      <c r="A121" s="294"/>
      <c r="B121" s="288"/>
      <c r="C121" s="289" t="s">
        <v>6</v>
      </c>
      <c r="D121" s="290">
        <v>0</v>
      </c>
      <c r="E121" s="291">
        <v>76140</v>
      </c>
      <c r="F121" s="299"/>
      <c r="G121" s="300"/>
      <c r="H121" s="300">
        <v>51531</v>
      </c>
      <c r="I121" s="300">
        <v>3142</v>
      </c>
      <c r="J121" s="300"/>
      <c r="K121" s="300"/>
      <c r="L121" s="300"/>
      <c r="M121" s="300">
        <v>21467</v>
      </c>
      <c r="N121" s="301"/>
      <c r="O121" s="324"/>
    </row>
    <row r="122" spans="1:15" s="286" customFormat="1" ht="12" customHeight="1">
      <c r="A122" s="294">
        <v>841907</v>
      </c>
      <c r="B122" s="288" t="s">
        <v>297</v>
      </c>
      <c r="C122" s="289" t="s">
        <v>8</v>
      </c>
      <c r="D122" s="290">
        <v>21933</v>
      </c>
      <c r="E122" s="291">
        <f>SUM(F122:N122)</f>
        <v>41600</v>
      </c>
      <c r="F122" s="299"/>
      <c r="G122" s="300"/>
      <c r="H122" s="300"/>
      <c r="I122" s="300"/>
      <c r="J122" s="300"/>
      <c r="K122" s="300"/>
      <c r="L122" s="300"/>
      <c r="M122" s="300">
        <v>41600</v>
      </c>
      <c r="N122" s="301"/>
      <c r="O122" s="324"/>
    </row>
    <row r="123" spans="1:15" s="286" customFormat="1" ht="12" customHeight="1">
      <c r="A123" s="313"/>
      <c r="B123" s="314"/>
      <c r="C123" s="289" t="s">
        <v>5</v>
      </c>
      <c r="D123" s="319">
        <v>4433</v>
      </c>
      <c r="E123" s="291">
        <f>SUM(F123:N123)</f>
        <v>0</v>
      </c>
      <c r="F123" s="320"/>
      <c r="G123" s="321"/>
      <c r="H123" s="321"/>
      <c r="I123" s="321"/>
      <c r="J123" s="321"/>
      <c r="K123" s="321"/>
      <c r="L123" s="321"/>
      <c r="M123" s="321">
        <v>0</v>
      </c>
      <c r="N123" s="322"/>
      <c r="O123" s="324"/>
    </row>
    <row r="124" spans="1:15" s="286" customFormat="1" ht="12" customHeight="1">
      <c r="A124" s="313"/>
      <c r="B124" s="314"/>
      <c r="C124" s="289" t="s">
        <v>6</v>
      </c>
      <c r="D124" s="319">
        <v>12538</v>
      </c>
      <c r="E124" s="291">
        <v>8105</v>
      </c>
      <c r="F124" s="320"/>
      <c r="G124" s="321"/>
      <c r="H124" s="321"/>
      <c r="I124" s="321">
        <v>8105</v>
      </c>
      <c r="J124" s="321"/>
      <c r="K124" s="321"/>
      <c r="L124" s="321"/>
      <c r="M124" s="321"/>
      <c r="N124" s="322"/>
      <c r="O124" s="324"/>
    </row>
    <row r="125" spans="1:15" s="286" customFormat="1" ht="12" customHeight="1">
      <c r="A125" s="313">
        <v>841126</v>
      </c>
      <c r="B125" s="314" t="s">
        <v>44</v>
      </c>
      <c r="C125" s="289" t="s">
        <v>8</v>
      </c>
      <c r="D125" s="319">
        <v>0</v>
      </c>
      <c r="E125" s="291">
        <f>SUM(F125:N125)</f>
        <v>11000</v>
      </c>
      <c r="F125" s="320"/>
      <c r="G125" s="321"/>
      <c r="H125" s="321"/>
      <c r="I125" s="321"/>
      <c r="J125" s="321"/>
      <c r="K125" s="321"/>
      <c r="L125" s="321"/>
      <c r="M125" s="321"/>
      <c r="N125" s="322">
        <v>11000</v>
      </c>
      <c r="O125" s="324"/>
    </row>
    <row r="126" spans="1:15" s="286" customFormat="1" ht="12" customHeight="1">
      <c r="A126" s="294"/>
      <c r="B126" s="288"/>
      <c r="C126" s="289" t="s">
        <v>5</v>
      </c>
      <c r="D126" s="290">
        <v>0</v>
      </c>
      <c r="E126" s="291">
        <f>SUM(F126:N126)</f>
        <v>0</v>
      </c>
      <c r="F126" s="299"/>
      <c r="G126" s="300"/>
      <c r="H126" s="300"/>
      <c r="I126" s="300"/>
      <c r="J126" s="300"/>
      <c r="K126" s="300"/>
      <c r="L126" s="300"/>
      <c r="M126" s="300"/>
      <c r="N126" s="301">
        <v>0</v>
      </c>
      <c r="O126" s="324"/>
    </row>
    <row r="127" spans="1:15" s="286" customFormat="1" ht="12" customHeight="1">
      <c r="A127" s="294"/>
      <c r="B127" s="288"/>
      <c r="C127" s="289" t="s">
        <v>6</v>
      </c>
      <c r="D127" s="290">
        <v>0</v>
      </c>
      <c r="E127" s="291">
        <f>SUM(F127:N127)</f>
        <v>0</v>
      </c>
      <c r="F127" s="299"/>
      <c r="G127" s="300"/>
      <c r="H127" s="300"/>
      <c r="I127" s="300"/>
      <c r="J127" s="300"/>
      <c r="K127" s="300"/>
      <c r="L127" s="300"/>
      <c r="M127" s="300"/>
      <c r="N127" s="301"/>
      <c r="O127" s="324"/>
    </row>
    <row r="128" spans="1:15" s="286" customFormat="1" ht="12" customHeight="1">
      <c r="A128" s="294">
        <v>842155</v>
      </c>
      <c r="B128" s="288" t="s">
        <v>298</v>
      </c>
      <c r="C128" s="289" t="s">
        <v>8</v>
      </c>
      <c r="D128" s="290">
        <v>18469</v>
      </c>
      <c r="E128" s="291">
        <f>SUM(F128:N128)</f>
        <v>131</v>
      </c>
      <c r="F128" s="299"/>
      <c r="G128" s="300"/>
      <c r="H128" s="300"/>
      <c r="I128" s="300">
        <v>131</v>
      </c>
      <c r="J128" s="300"/>
      <c r="K128" s="300"/>
      <c r="L128" s="300"/>
      <c r="M128" s="300"/>
      <c r="N128" s="301"/>
      <c r="O128" s="324"/>
    </row>
    <row r="129" spans="1:15" s="286" customFormat="1" ht="12" customHeight="1">
      <c r="A129" s="294"/>
      <c r="B129" s="288"/>
      <c r="C129" s="289" t="s">
        <v>5</v>
      </c>
      <c r="D129" s="290">
        <v>18469</v>
      </c>
      <c r="E129" s="291">
        <f>SUM(F129:N129)</f>
        <v>7895</v>
      </c>
      <c r="F129" s="299"/>
      <c r="G129" s="300"/>
      <c r="H129" s="300">
        <v>4764</v>
      </c>
      <c r="I129" s="300">
        <v>131</v>
      </c>
      <c r="J129" s="300"/>
      <c r="K129" s="300"/>
      <c r="L129" s="300"/>
      <c r="M129" s="300">
        <v>3000</v>
      </c>
      <c r="N129" s="301"/>
      <c r="O129" s="324"/>
    </row>
    <row r="130" spans="1:15" s="286" customFormat="1" ht="12" customHeight="1">
      <c r="A130" s="294"/>
      <c r="B130" s="288"/>
      <c r="C130" s="289" t="s">
        <v>6</v>
      </c>
      <c r="D130" s="290">
        <v>10625</v>
      </c>
      <c r="E130" s="291">
        <v>6835</v>
      </c>
      <c r="F130" s="299"/>
      <c r="G130" s="300"/>
      <c r="H130" s="300">
        <v>3703</v>
      </c>
      <c r="I130" s="300">
        <v>132</v>
      </c>
      <c r="J130" s="300"/>
      <c r="K130" s="300"/>
      <c r="L130" s="300"/>
      <c r="M130" s="300">
        <v>3000</v>
      </c>
      <c r="N130" s="301"/>
      <c r="O130" s="324"/>
    </row>
    <row r="131" spans="1:15" s="286" customFormat="1" ht="12" customHeight="1">
      <c r="A131" s="294">
        <v>842155</v>
      </c>
      <c r="B131" s="288" t="s">
        <v>299</v>
      </c>
      <c r="C131" s="289" t="s">
        <v>8</v>
      </c>
      <c r="D131" s="290">
        <v>1378</v>
      </c>
      <c r="E131" s="291">
        <f>SUM(F131:N131)</f>
        <v>10800</v>
      </c>
      <c r="F131" s="299"/>
      <c r="G131" s="300"/>
      <c r="H131" s="300">
        <v>10800</v>
      </c>
      <c r="I131" s="300"/>
      <c r="J131" s="300"/>
      <c r="K131" s="300"/>
      <c r="L131" s="300"/>
      <c r="M131" s="300"/>
      <c r="N131" s="301"/>
      <c r="O131" s="324"/>
    </row>
    <row r="132" spans="1:15" s="286" customFormat="1" ht="12" customHeight="1">
      <c r="A132" s="294"/>
      <c r="B132" s="288"/>
      <c r="C132" s="289" t="s">
        <v>5</v>
      </c>
      <c r="D132" s="290">
        <v>6142</v>
      </c>
      <c r="E132" s="291">
        <f>SUM(F132:N132)</f>
        <v>10680</v>
      </c>
      <c r="F132" s="299">
        <v>735</v>
      </c>
      <c r="G132" s="300">
        <v>62</v>
      </c>
      <c r="H132" s="300">
        <v>9713</v>
      </c>
      <c r="I132" s="300">
        <v>170</v>
      </c>
      <c r="J132" s="300"/>
      <c r="K132" s="300"/>
      <c r="L132" s="300"/>
      <c r="M132" s="300"/>
      <c r="N132" s="301"/>
      <c r="O132" s="324"/>
    </row>
    <row r="133" spans="1:15" s="286" customFormat="1" ht="12" customHeight="1">
      <c r="A133" s="294"/>
      <c r="B133" s="288"/>
      <c r="C133" s="289" t="s">
        <v>6</v>
      </c>
      <c r="D133" s="290">
        <v>6462</v>
      </c>
      <c r="E133" s="291">
        <v>10246</v>
      </c>
      <c r="F133" s="299">
        <v>735</v>
      </c>
      <c r="G133" s="300">
        <v>62</v>
      </c>
      <c r="H133" s="300">
        <v>9279</v>
      </c>
      <c r="I133" s="300">
        <v>170</v>
      </c>
      <c r="J133" s="300"/>
      <c r="K133" s="300"/>
      <c r="L133" s="300"/>
      <c r="M133" s="300"/>
      <c r="N133" s="301"/>
      <c r="O133" s="324"/>
    </row>
    <row r="134" spans="1:15" s="286" customFormat="1" ht="12" customHeight="1">
      <c r="A134" s="297">
        <v>842421</v>
      </c>
      <c r="B134" s="298" t="s">
        <v>300</v>
      </c>
      <c r="C134" s="289" t="s">
        <v>8</v>
      </c>
      <c r="D134" s="290">
        <v>0</v>
      </c>
      <c r="E134" s="291">
        <f>SUM(F134:N134)</f>
        <v>3800</v>
      </c>
      <c r="F134" s="332"/>
      <c r="G134" s="323"/>
      <c r="H134" s="300"/>
      <c r="I134" s="323">
        <v>3800</v>
      </c>
      <c r="J134" s="323"/>
      <c r="K134" s="323"/>
      <c r="L134" s="323"/>
      <c r="M134" s="323"/>
      <c r="N134" s="301"/>
      <c r="O134" s="324"/>
    </row>
    <row r="135" spans="1:15" s="286" customFormat="1" ht="12" customHeight="1">
      <c r="A135" s="297"/>
      <c r="B135" s="298"/>
      <c r="C135" s="289" t="s">
        <v>5</v>
      </c>
      <c r="D135" s="290">
        <v>0</v>
      </c>
      <c r="E135" s="291">
        <f>SUM(F135:N135)</f>
        <v>3800</v>
      </c>
      <c r="F135" s="332"/>
      <c r="G135" s="323"/>
      <c r="H135" s="300"/>
      <c r="I135" s="323">
        <v>3800</v>
      </c>
      <c r="J135" s="323"/>
      <c r="K135" s="323"/>
      <c r="L135" s="323"/>
      <c r="M135" s="323"/>
      <c r="N135" s="301"/>
      <c r="O135" s="324"/>
    </row>
    <row r="136" spans="1:15" s="286" customFormat="1" ht="12" customHeight="1">
      <c r="A136" s="297"/>
      <c r="B136" s="298"/>
      <c r="C136" s="289" t="s">
        <v>6</v>
      </c>
      <c r="D136" s="290">
        <v>0</v>
      </c>
      <c r="E136" s="291">
        <v>3350</v>
      </c>
      <c r="F136" s="332"/>
      <c r="G136" s="323"/>
      <c r="H136" s="300"/>
      <c r="I136" s="323">
        <v>3350</v>
      </c>
      <c r="J136" s="323"/>
      <c r="K136" s="323"/>
      <c r="L136" s="323"/>
      <c r="M136" s="323"/>
      <c r="N136" s="301"/>
      <c r="O136" s="324"/>
    </row>
    <row r="137" spans="1:15" s="286" customFormat="1" ht="12" customHeight="1">
      <c r="A137" s="294">
        <v>842521</v>
      </c>
      <c r="B137" s="288" t="s">
        <v>301</v>
      </c>
      <c r="C137" s="289" t="s">
        <v>8</v>
      </c>
      <c r="D137" s="290">
        <v>0</v>
      </c>
      <c r="E137" s="291">
        <f>SUM(F137:N137)</f>
        <v>250</v>
      </c>
      <c r="F137" s="292"/>
      <c r="G137" s="291"/>
      <c r="H137" s="291">
        <v>250</v>
      </c>
      <c r="I137" s="291"/>
      <c r="J137" s="291"/>
      <c r="K137" s="291"/>
      <c r="L137" s="291"/>
      <c r="M137" s="291"/>
      <c r="N137" s="293"/>
      <c r="O137" s="324"/>
    </row>
    <row r="138" spans="1:15" s="304" customFormat="1" ht="12" customHeight="1">
      <c r="A138" s="294"/>
      <c r="B138" s="288"/>
      <c r="C138" s="289" t="s">
        <v>5</v>
      </c>
      <c r="D138" s="290">
        <v>0</v>
      </c>
      <c r="E138" s="291">
        <f>SUM(F138:N138)</f>
        <v>750</v>
      </c>
      <c r="F138" s="292"/>
      <c r="G138" s="291"/>
      <c r="H138" s="291">
        <v>250</v>
      </c>
      <c r="I138" s="291">
        <v>500</v>
      </c>
      <c r="J138" s="291"/>
      <c r="K138" s="291"/>
      <c r="L138" s="291"/>
      <c r="M138" s="291"/>
      <c r="N138" s="293"/>
      <c r="O138" s="324"/>
    </row>
    <row r="139" spans="1:15" s="304" customFormat="1" ht="12" customHeight="1">
      <c r="A139" s="294"/>
      <c r="B139" s="288"/>
      <c r="C139" s="289" t="s">
        <v>6</v>
      </c>
      <c r="D139" s="290">
        <v>60</v>
      </c>
      <c r="E139" s="291">
        <v>274</v>
      </c>
      <c r="F139" s="292">
        <v>191</v>
      </c>
      <c r="G139" s="291"/>
      <c r="H139" s="291">
        <v>83</v>
      </c>
      <c r="I139" s="291"/>
      <c r="J139" s="291"/>
      <c r="K139" s="291"/>
      <c r="L139" s="291"/>
      <c r="M139" s="291"/>
      <c r="N139" s="293"/>
      <c r="O139" s="324"/>
    </row>
    <row r="140" spans="1:15" s="304" customFormat="1" ht="12" customHeight="1">
      <c r="A140" s="294">
        <v>851011</v>
      </c>
      <c r="B140" s="288" t="s">
        <v>302</v>
      </c>
      <c r="C140" s="289" t="s">
        <v>8</v>
      </c>
      <c r="D140" s="290">
        <v>0</v>
      </c>
      <c r="E140" s="291">
        <f>SUM(F140:N140)</f>
        <v>9600</v>
      </c>
      <c r="F140" s="299"/>
      <c r="G140" s="300"/>
      <c r="H140" s="300"/>
      <c r="I140" s="300">
        <v>9600</v>
      </c>
      <c r="J140" s="300"/>
      <c r="K140" s="300"/>
      <c r="L140" s="300"/>
      <c r="M140" s="323"/>
      <c r="N140" s="301"/>
      <c r="O140" s="324"/>
    </row>
    <row r="141" spans="1:15" s="286" customFormat="1" ht="12" customHeight="1">
      <c r="A141" s="294"/>
      <c r="B141" s="288"/>
      <c r="C141" s="289" t="s">
        <v>5</v>
      </c>
      <c r="D141" s="290">
        <v>10980</v>
      </c>
      <c r="E141" s="291">
        <f>SUM(F141:N141)</f>
        <v>20580</v>
      </c>
      <c r="F141" s="299"/>
      <c r="G141" s="300"/>
      <c r="H141" s="300"/>
      <c r="I141" s="300">
        <v>9600</v>
      </c>
      <c r="J141" s="300"/>
      <c r="K141" s="300"/>
      <c r="L141" s="300"/>
      <c r="M141" s="300">
        <v>10980</v>
      </c>
      <c r="N141" s="301"/>
      <c r="O141" s="324"/>
    </row>
    <row r="142" spans="1:15" s="286" customFormat="1" ht="12" customHeight="1">
      <c r="A142" s="294"/>
      <c r="B142" s="288"/>
      <c r="C142" s="289" t="s">
        <v>6</v>
      </c>
      <c r="D142" s="290">
        <v>10980</v>
      </c>
      <c r="E142" s="291">
        <v>20580</v>
      </c>
      <c r="F142" s="299"/>
      <c r="G142" s="300"/>
      <c r="H142" s="300"/>
      <c r="I142" s="300">
        <v>9600</v>
      </c>
      <c r="J142" s="300"/>
      <c r="K142" s="300"/>
      <c r="L142" s="300"/>
      <c r="M142" s="300">
        <v>10980</v>
      </c>
      <c r="N142" s="301"/>
      <c r="O142" s="324"/>
    </row>
    <row r="143" spans="1:15" s="286" customFormat="1" ht="12" customHeight="1">
      <c r="A143" s="294">
        <v>852000</v>
      </c>
      <c r="B143" s="288" t="s">
        <v>303</v>
      </c>
      <c r="C143" s="289" t="s">
        <v>8</v>
      </c>
      <c r="D143" s="290">
        <v>32317</v>
      </c>
      <c r="E143" s="291">
        <f>SUM(F143:N143)</f>
        <v>4000</v>
      </c>
      <c r="F143" s="299"/>
      <c r="G143" s="300"/>
      <c r="H143" s="300"/>
      <c r="I143" s="300">
        <v>4000</v>
      </c>
      <c r="J143" s="300"/>
      <c r="K143" s="300"/>
      <c r="L143" s="300"/>
      <c r="M143" s="323"/>
      <c r="N143" s="301"/>
      <c r="O143" s="324"/>
    </row>
    <row r="144" spans="1:15" s="286" customFormat="1" ht="12" customHeight="1">
      <c r="A144" s="294"/>
      <c r="B144" s="288"/>
      <c r="C144" s="289" t="s">
        <v>5</v>
      </c>
      <c r="D144" s="290">
        <v>93360</v>
      </c>
      <c r="E144" s="291">
        <f>SUM(F144:N144)</f>
        <v>70815</v>
      </c>
      <c r="F144" s="299">
        <v>1973</v>
      </c>
      <c r="G144" s="300">
        <v>507</v>
      </c>
      <c r="H144" s="300">
        <v>2266</v>
      </c>
      <c r="I144" s="300">
        <v>4500</v>
      </c>
      <c r="J144" s="300"/>
      <c r="K144" s="300"/>
      <c r="L144" s="300">
        <v>61569</v>
      </c>
      <c r="M144" s="323"/>
      <c r="N144" s="301"/>
      <c r="O144" s="324"/>
    </row>
    <row r="145" spans="1:15" s="286" customFormat="1" ht="12" customHeight="1">
      <c r="A145" s="294"/>
      <c r="B145" s="288"/>
      <c r="C145" s="289" t="s">
        <v>6</v>
      </c>
      <c r="D145" s="290">
        <v>87099</v>
      </c>
      <c r="E145" s="291">
        <v>70036</v>
      </c>
      <c r="F145" s="299">
        <v>1973</v>
      </c>
      <c r="G145" s="300">
        <v>507</v>
      </c>
      <c r="H145" s="300">
        <v>3368</v>
      </c>
      <c r="I145" s="300">
        <v>4500</v>
      </c>
      <c r="J145" s="300"/>
      <c r="K145" s="300"/>
      <c r="L145" s="300">
        <v>59688</v>
      </c>
      <c r="M145" s="323"/>
      <c r="N145" s="301"/>
      <c r="O145" s="324"/>
    </row>
    <row r="146" spans="1:15" s="286" customFormat="1" ht="12" customHeight="1">
      <c r="A146" s="294">
        <v>852000</v>
      </c>
      <c r="B146" s="288" t="s">
        <v>304</v>
      </c>
      <c r="C146" s="289" t="s">
        <v>8</v>
      </c>
      <c r="D146" s="290">
        <v>0</v>
      </c>
      <c r="E146" s="291" t="e">
        <f>("#név?",F146:N146)</f>
        <v>#VALUE!</v>
      </c>
      <c r="F146" s="299"/>
      <c r="G146" s="300"/>
      <c r="H146" s="300"/>
      <c r="I146" s="300"/>
      <c r="J146" s="300"/>
      <c r="K146" s="300"/>
      <c r="L146" s="300"/>
      <c r="M146" s="323"/>
      <c r="N146" s="301"/>
      <c r="O146" s="324"/>
    </row>
    <row r="147" spans="1:15" s="286" customFormat="1" ht="12" customHeight="1">
      <c r="A147" s="294"/>
      <c r="B147" s="288"/>
      <c r="C147" s="289" t="s">
        <v>5</v>
      </c>
      <c r="D147" s="290">
        <v>0</v>
      </c>
      <c r="E147" s="291">
        <f aca="true" t="shared" si="2" ref="E147:E156">SUM(F147:N147)</f>
        <v>0</v>
      </c>
      <c r="F147" s="299"/>
      <c r="G147" s="300"/>
      <c r="H147" s="300"/>
      <c r="I147" s="300"/>
      <c r="J147" s="300"/>
      <c r="K147" s="300"/>
      <c r="L147" s="300"/>
      <c r="M147" s="323"/>
      <c r="N147" s="301"/>
      <c r="O147" s="324"/>
    </row>
    <row r="148" spans="1:15" s="286" customFormat="1" ht="12" customHeight="1">
      <c r="A148" s="294"/>
      <c r="B148" s="288"/>
      <c r="C148" s="289" t="s">
        <v>6</v>
      </c>
      <c r="D148" s="290">
        <v>0</v>
      </c>
      <c r="E148" s="291">
        <f t="shared" si="2"/>
        <v>0</v>
      </c>
      <c r="F148" s="299"/>
      <c r="G148" s="300"/>
      <c r="H148" s="300"/>
      <c r="I148" s="300"/>
      <c r="J148" s="300"/>
      <c r="K148" s="300"/>
      <c r="L148" s="300"/>
      <c r="M148" s="323"/>
      <c r="N148" s="301"/>
      <c r="O148" s="324"/>
    </row>
    <row r="149" spans="1:15" s="286" customFormat="1" ht="12" customHeight="1">
      <c r="A149" s="294">
        <v>852000</v>
      </c>
      <c r="B149" s="288" t="s">
        <v>305</v>
      </c>
      <c r="C149" s="289" t="s">
        <v>8</v>
      </c>
      <c r="D149" s="290">
        <v>0</v>
      </c>
      <c r="E149" s="291">
        <f t="shared" si="2"/>
        <v>0</v>
      </c>
      <c r="F149" s="299"/>
      <c r="G149" s="300"/>
      <c r="H149" s="300"/>
      <c r="I149" s="300"/>
      <c r="J149" s="300"/>
      <c r="K149" s="300"/>
      <c r="L149" s="300"/>
      <c r="M149" s="300"/>
      <c r="N149" s="301"/>
      <c r="O149" s="324"/>
    </row>
    <row r="150" spans="1:15" s="286" customFormat="1" ht="12" customHeight="1">
      <c r="A150" s="294"/>
      <c r="B150" s="288"/>
      <c r="C150" s="289" t="s">
        <v>5</v>
      </c>
      <c r="D150" s="290">
        <v>0</v>
      </c>
      <c r="E150" s="291">
        <f t="shared" si="2"/>
        <v>0</v>
      </c>
      <c r="F150" s="299"/>
      <c r="G150" s="300"/>
      <c r="H150" s="300"/>
      <c r="I150" s="300"/>
      <c r="J150" s="300"/>
      <c r="K150" s="300"/>
      <c r="L150" s="300"/>
      <c r="M150" s="300"/>
      <c r="N150" s="301"/>
      <c r="O150" s="324"/>
    </row>
    <row r="151" spans="1:15" s="286" customFormat="1" ht="12" customHeight="1">
      <c r="A151" s="294"/>
      <c r="B151" s="288"/>
      <c r="C151" s="289" t="s">
        <v>6</v>
      </c>
      <c r="D151" s="290">
        <v>0</v>
      </c>
      <c r="E151" s="291">
        <f t="shared" si="2"/>
        <v>0</v>
      </c>
      <c r="F151" s="299"/>
      <c r="G151" s="300"/>
      <c r="H151" s="300"/>
      <c r="I151" s="300"/>
      <c r="J151" s="300"/>
      <c r="K151" s="300"/>
      <c r="L151" s="300"/>
      <c r="M151" s="300"/>
      <c r="N151" s="301"/>
      <c r="O151" s="324"/>
    </row>
    <row r="152" spans="1:15" s="286" customFormat="1" ht="12" customHeight="1">
      <c r="A152" s="294">
        <v>854233</v>
      </c>
      <c r="B152" s="288" t="s">
        <v>306</v>
      </c>
      <c r="C152" s="289" t="s">
        <v>8</v>
      </c>
      <c r="D152" s="290">
        <v>0</v>
      </c>
      <c r="E152" s="291">
        <f t="shared" si="2"/>
        <v>400</v>
      </c>
      <c r="F152" s="299">
        <v>400</v>
      </c>
      <c r="G152" s="300"/>
      <c r="H152" s="300"/>
      <c r="I152" s="300"/>
      <c r="J152" s="300"/>
      <c r="K152" s="300"/>
      <c r="L152" s="300"/>
      <c r="M152" s="323"/>
      <c r="N152" s="301"/>
      <c r="O152" s="324"/>
    </row>
    <row r="153" spans="1:15" s="286" customFormat="1" ht="12" customHeight="1">
      <c r="A153" s="294"/>
      <c r="B153" s="288"/>
      <c r="C153" s="289" t="s">
        <v>5</v>
      </c>
      <c r="D153" s="290">
        <v>0</v>
      </c>
      <c r="E153" s="291">
        <f t="shared" si="2"/>
        <v>1400</v>
      </c>
      <c r="F153" s="299">
        <v>1400</v>
      </c>
      <c r="G153" s="300"/>
      <c r="H153" s="300"/>
      <c r="I153" s="300"/>
      <c r="J153" s="300"/>
      <c r="K153" s="300"/>
      <c r="L153" s="300"/>
      <c r="M153" s="323"/>
      <c r="N153" s="301"/>
      <c r="O153" s="324"/>
    </row>
    <row r="154" spans="1:15" s="286" customFormat="1" ht="12" customHeight="1">
      <c r="A154" s="294"/>
      <c r="B154" s="288"/>
      <c r="C154" s="289" t="s">
        <v>6</v>
      </c>
      <c r="D154" s="290">
        <v>0</v>
      </c>
      <c r="E154" s="291">
        <f t="shared" si="2"/>
        <v>0</v>
      </c>
      <c r="F154" s="299"/>
      <c r="G154" s="300"/>
      <c r="H154" s="300"/>
      <c r="I154" s="300"/>
      <c r="J154" s="300"/>
      <c r="K154" s="300"/>
      <c r="L154" s="300"/>
      <c r="M154" s="323"/>
      <c r="N154" s="301"/>
      <c r="O154" s="324"/>
    </row>
    <row r="155" spans="1:15" s="286" customFormat="1" ht="12" customHeight="1">
      <c r="A155" s="294">
        <v>854234</v>
      </c>
      <c r="B155" s="288" t="s">
        <v>307</v>
      </c>
      <c r="C155" s="289" t="s">
        <v>8</v>
      </c>
      <c r="D155" s="290">
        <v>0</v>
      </c>
      <c r="E155" s="291">
        <f t="shared" si="2"/>
        <v>5500</v>
      </c>
      <c r="F155" s="299"/>
      <c r="G155" s="300"/>
      <c r="H155" s="300"/>
      <c r="I155" s="300">
        <v>5500</v>
      </c>
      <c r="J155" s="300"/>
      <c r="K155" s="300"/>
      <c r="L155" s="300"/>
      <c r="M155" s="323"/>
      <c r="N155" s="301"/>
      <c r="O155" s="324"/>
    </row>
    <row r="156" spans="1:15" s="286" customFormat="1" ht="12" customHeight="1">
      <c r="A156" s="294"/>
      <c r="B156" s="288"/>
      <c r="C156" s="289" t="s">
        <v>5</v>
      </c>
      <c r="D156" s="290">
        <v>0</v>
      </c>
      <c r="E156" s="291">
        <f t="shared" si="2"/>
        <v>4500</v>
      </c>
      <c r="F156" s="299"/>
      <c r="G156" s="300"/>
      <c r="H156" s="300"/>
      <c r="I156" s="300">
        <v>4500</v>
      </c>
      <c r="J156" s="300"/>
      <c r="K156" s="300"/>
      <c r="L156" s="300"/>
      <c r="M156" s="323"/>
      <c r="N156" s="301"/>
      <c r="O156" s="324"/>
    </row>
    <row r="157" spans="1:15" s="286" customFormat="1" ht="12" customHeight="1">
      <c r="A157" s="294"/>
      <c r="B157" s="288"/>
      <c r="C157" s="289" t="s">
        <v>6</v>
      </c>
      <c r="D157" s="290">
        <v>415</v>
      </c>
      <c r="E157" s="291">
        <v>4250</v>
      </c>
      <c r="F157" s="299"/>
      <c r="G157" s="300"/>
      <c r="H157" s="300"/>
      <c r="I157" s="300">
        <v>4250</v>
      </c>
      <c r="J157" s="300"/>
      <c r="K157" s="300"/>
      <c r="L157" s="300"/>
      <c r="M157" s="323"/>
      <c r="N157" s="301"/>
      <c r="O157" s="324"/>
    </row>
    <row r="158" spans="1:15" s="286" customFormat="1" ht="12" customHeight="1">
      <c r="A158" s="294">
        <v>855100</v>
      </c>
      <c r="B158" s="288" t="s">
        <v>308</v>
      </c>
      <c r="C158" s="289" t="s">
        <v>8</v>
      </c>
      <c r="D158" s="290">
        <v>50</v>
      </c>
      <c r="E158" s="291">
        <f>SUM(F158:N158)</f>
        <v>3450</v>
      </c>
      <c r="F158" s="299"/>
      <c r="G158" s="300"/>
      <c r="H158" s="300">
        <v>3450</v>
      </c>
      <c r="I158" s="300"/>
      <c r="J158" s="300"/>
      <c r="K158" s="300"/>
      <c r="L158" s="300"/>
      <c r="M158" s="300"/>
      <c r="N158" s="301"/>
      <c r="O158" s="324"/>
    </row>
    <row r="159" spans="1:15" s="286" customFormat="1" ht="12" customHeight="1">
      <c r="A159" s="294"/>
      <c r="B159" s="288"/>
      <c r="C159" s="289" t="s">
        <v>5</v>
      </c>
      <c r="D159" s="290">
        <v>40228</v>
      </c>
      <c r="E159" s="291">
        <f>SUM(F159:N159)</f>
        <v>43628</v>
      </c>
      <c r="F159" s="299"/>
      <c r="G159" s="300"/>
      <c r="H159" s="300">
        <v>43628</v>
      </c>
      <c r="I159" s="300"/>
      <c r="J159" s="300"/>
      <c r="K159" s="300"/>
      <c r="L159" s="300"/>
      <c r="M159" s="300"/>
      <c r="N159" s="301"/>
      <c r="O159" s="324"/>
    </row>
    <row r="160" spans="1:15" s="286" customFormat="1" ht="12" customHeight="1">
      <c r="A160" s="294"/>
      <c r="B160" s="288"/>
      <c r="C160" s="289" t="s">
        <v>6</v>
      </c>
      <c r="D160" s="290">
        <v>33562</v>
      </c>
      <c r="E160" s="291">
        <v>40219</v>
      </c>
      <c r="F160" s="299"/>
      <c r="G160" s="300"/>
      <c r="H160" s="300">
        <v>40219</v>
      </c>
      <c r="I160" s="300"/>
      <c r="J160" s="300"/>
      <c r="K160" s="300"/>
      <c r="L160" s="300"/>
      <c r="M160" s="300"/>
      <c r="N160" s="301"/>
      <c r="O160" s="324"/>
    </row>
    <row r="161" spans="1:15" s="286" customFormat="1" ht="12" customHeight="1">
      <c r="A161" s="294">
        <v>856000</v>
      </c>
      <c r="B161" s="288" t="s">
        <v>309</v>
      </c>
      <c r="C161" s="289" t="s">
        <v>8</v>
      </c>
      <c r="D161" s="290">
        <v>0</v>
      </c>
      <c r="E161" s="291">
        <f>SUM(F161:N161)</f>
        <v>0</v>
      </c>
      <c r="F161" s="299"/>
      <c r="G161" s="300"/>
      <c r="H161" s="300"/>
      <c r="I161" s="300"/>
      <c r="J161" s="300"/>
      <c r="K161" s="300"/>
      <c r="L161" s="300"/>
      <c r="M161" s="300"/>
      <c r="N161" s="301"/>
      <c r="O161" s="324"/>
    </row>
    <row r="162" spans="1:15" s="286" customFormat="1" ht="12" customHeight="1">
      <c r="A162" s="294"/>
      <c r="B162" s="288"/>
      <c r="C162" s="289" t="s">
        <v>5</v>
      </c>
      <c r="D162" s="290">
        <v>0</v>
      </c>
      <c r="E162" s="291">
        <f>SUM(F162:N162)</f>
        <v>0</v>
      </c>
      <c r="F162" s="299"/>
      <c r="G162" s="300"/>
      <c r="H162" s="300"/>
      <c r="I162" s="300"/>
      <c r="J162" s="300"/>
      <c r="K162" s="300"/>
      <c r="L162" s="300"/>
      <c r="M162" s="300"/>
      <c r="N162" s="301"/>
      <c r="O162" s="324"/>
    </row>
    <row r="163" spans="1:15" s="286" customFormat="1" ht="12" customHeight="1">
      <c r="A163" s="294"/>
      <c r="B163" s="288"/>
      <c r="C163" s="289" t="s">
        <v>6</v>
      </c>
      <c r="D163" s="290">
        <v>0</v>
      </c>
      <c r="E163" s="291">
        <f>SUM(F163:N163)</f>
        <v>0</v>
      </c>
      <c r="F163" s="299"/>
      <c r="G163" s="300"/>
      <c r="H163" s="300"/>
      <c r="I163" s="300"/>
      <c r="J163" s="300"/>
      <c r="K163" s="300"/>
      <c r="L163" s="300"/>
      <c r="M163" s="300"/>
      <c r="N163" s="301"/>
      <c r="O163" s="324"/>
    </row>
    <row r="164" spans="1:15" s="286" customFormat="1" ht="12" customHeight="1">
      <c r="A164" s="294">
        <v>856020</v>
      </c>
      <c r="B164" s="288" t="s">
        <v>310</v>
      </c>
      <c r="C164" s="289" t="s">
        <v>8</v>
      </c>
      <c r="D164" s="290">
        <v>0</v>
      </c>
      <c r="E164" s="291">
        <f>SUM(F164:N164)</f>
        <v>1500</v>
      </c>
      <c r="F164" s="299"/>
      <c r="G164" s="300"/>
      <c r="H164" s="300">
        <v>1500</v>
      </c>
      <c r="I164" s="300"/>
      <c r="J164" s="300"/>
      <c r="K164" s="300"/>
      <c r="L164" s="300"/>
      <c r="M164" s="300"/>
      <c r="N164" s="301"/>
      <c r="O164" s="324"/>
    </row>
    <row r="165" spans="1:15" s="286" customFormat="1" ht="12" customHeight="1">
      <c r="A165" s="294"/>
      <c r="B165" s="288"/>
      <c r="C165" s="289" t="s">
        <v>5</v>
      </c>
      <c r="D165" s="290">
        <v>0</v>
      </c>
      <c r="E165" s="291">
        <f>SUM(F165:N165)</f>
        <v>1500</v>
      </c>
      <c r="F165" s="299"/>
      <c r="G165" s="300"/>
      <c r="H165" s="300">
        <v>1500</v>
      </c>
      <c r="I165" s="300"/>
      <c r="J165" s="300"/>
      <c r="K165" s="300"/>
      <c r="L165" s="300"/>
      <c r="M165" s="300"/>
      <c r="N165" s="301"/>
      <c r="O165" s="324"/>
    </row>
    <row r="166" spans="1:15" s="286" customFormat="1" ht="12" customHeight="1">
      <c r="A166" s="294"/>
      <c r="B166" s="288"/>
      <c r="C166" s="289" t="s">
        <v>6</v>
      </c>
      <c r="D166" s="290">
        <v>0</v>
      </c>
      <c r="E166" s="291">
        <v>531</v>
      </c>
      <c r="F166" s="299"/>
      <c r="G166" s="300"/>
      <c r="H166" s="300">
        <v>531</v>
      </c>
      <c r="I166" s="300"/>
      <c r="J166" s="300"/>
      <c r="K166" s="300"/>
      <c r="L166" s="300"/>
      <c r="M166" s="300"/>
      <c r="N166" s="301"/>
      <c r="O166" s="324"/>
    </row>
    <row r="167" spans="1:15" s="286" customFormat="1" ht="12" customHeight="1">
      <c r="A167" s="294">
        <v>860000</v>
      </c>
      <c r="B167" s="288" t="s">
        <v>311</v>
      </c>
      <c r="C167" s="289" t="s">
        <v>8</v>
      </c>
      <c r="D167" s="290">
        <v>0</v>
      </c>
      <c r="E167" s="291">
        <f>SUM(F167:N167)</f>
        <v>800</v>
      </c>
      <c r="F167" s="299"/>
      <c r="G167" s="300"/>
      <c r="H167" s="300"/>
      <c r="I167" s="300">
        <v>800</v>
      </c>
      <c r="J167" s="300"/>
      <c r="K167" s="300"/>
      <c r="L167" s="300"/>
      <c r="M167" s="300"/>
      <c r="N167" s="301"/>
      <c r="O167" s="324"/>
    </row>
    <row r="168" spans="1:15" s="286" customFormat="1" ht="12" customHeight="1">
      <c r="A168" s="294"/>
      <c r="B168" s="288"/>
      <c r="C168" s="289" t="s">
        <v>5</v>
      </c>
      <c r="D168" s="290">
        <v>0</v>
      </c>
      <c r="E168" s="291">
        <f>SUM(F168:N168)</f>
        <v>800</v>
      </c>
      <c r="F168" s="299"/>
      <c r="G168" s="300"/>
      <c r="H168" s="300"/>
      <c r="I168" s="300">
        <v>800</v>
      </c>
      <c r="J168" s="300"/>
      <c r="K168" s="300"/>
      <c r="L168" s="300"/>
      <c r="M168" s="300"/>
      <c r="N168" s="301"/>
      <c r="O168" s="324"/>
    </row>
    <row r="169" spans="1:15" s="286" customFormat="1" ht="12" customHeight="1">
      <c r="A169" s="294"/>
      <c r="B169" s="288"/>
      <c r="C169" s="289" t="s">
        <v>6</v>
      </c>
      <c r="D169" s="290">
        <v>0</v>
      </c>
      <c r="E169" s="291">
        <v>800</v>
      </c>
      <c r="F169" s="299"/>
      <c r="G169" s="300"/>
      <c r="H169" s="300"/>
      <c r="I169" s="300">
        <v>800</v>
      </c>
      <c r="J169" s="300"/>
      <c r="K169" s="300"/>
      <c r="L169" s="300"/>
      <c r="M169" s="300"/>
      <c r="N169" s="301"/>
      <c r="O169" s="324"/>
    </row>
    <row r="170" spans="1:15" s="286" customFormat="1" ht="12" customHeight="1">
      <c r="A170" s="294">
        <v>862000</v>
      </c>
      <c r="B170" s="288" t="s">
        <v>312</v>
      </c>
      <c r="C170" s="289" t="s">
        <v>8</v>
      </c>
      <c r="D170" s="290">
        <v>0</v>
      </c>
      <c r="E170" s="291">
        <f>SUM(F170:N170)</f>
        <v>5950</v>
      </c>
      <c r="F170" s="299"/>
      <c r="G170" s="300"/>
      <c r="H170" s="300"/>
      <c r="I170" s="300">
        <v>5950</v>
      </c>
      <c r="J170" s="300"/>
      <c r="K170" s="300"/>
      <c r="L170" s="300"/>
      <c r="M170" s="300"/>
      <c r="N170" s="301"/>
      <c r="O170" s="324"/>
    </row>
    <row r="171" spans="1:15" s="304" customFormat="1" ht="12" customHeight="1">
      <c r="A171" s="294"/>
      <c r="B171" s="288"/>
      <c r="C171" s="289" t="s">
        <v>5</v>
      </c>
      <c r="D171" s="290">
        <v>0</v>
      </c>
      <c r="E171" s="291">
        <f>SUM(F171:N171)</f>
        <v>5950</v>
      </c>
      <c r="F171" s="299"/>
      <c r="G171" s="300"/>
      <c r="H171" s="300"/>
      <c r="I171" s="300">
        <v>5950</v>
      </c>
      <c r="J171" s="300"/>
      <c r="K171" s="300"/>
      <c r="L171" s="300"/>
      <c r="M171" s="300"/>
      <c r="N171" s="301"/>
      <c r="O171" s="324"/>
    </row>
    <row r="172" spans="1:15" s="304" customFormat="1" ht="12" customHeight="1">
      <c r="A172" s="294"/>
      <c r="B172" s="288"/>
      <c r="C172" s="289" t="s">
        <v>6</v>
      </c>
      <c r="D172" s="290">
        <v>0</v>
      </c>
      <c r="E172" s="291">
        <v>5950</v>
      </c>
      <c r="F172" s="299"/>
      <c r="G172" s="300"/>
      <c r="H172" s="300"/>
      <c r="I172" s="300">
        <v>5950</v>
      </c>
      <c r="J172" s="300"/>
      <c r="K172" s="300"/>
      <c r="L172" s="300"/>
      <c r="M172" s="300"/>
      <c r="N172" s="301"/>
      <c r="O172" s="324"/>
    </row>
    <row r="173" spans="1:15" s="304" customFormat="1" ht="12" customHeight="1">
      <c r="A173" s="294">
        <v>869045</v>
      </c>
      <c r="B173" s="288" t="s">
        <v>313</v>
      </c>
      <c r="C173" s="289" t="s">
        <v>8</v>
      </c>
      <c r="D173" s="290">
        <v>0</v>
      </c>
      <c r="E173" s="291">
        <f>SUM(F173:N173)</f>
        <v>0</v>
      </c>
      <c r="F173" s="299"/>
      <c r="G173" s="300"/>
      <c r="H173" s="300"/>
      <c r="I173" s="300"/>
      <c r="J173" s="300"/>
      <c r="K173" s="300"/>
      <c r="L173" s="300"/>
      <c r="M173" s="300"/>
      <c r="N173" s="301"/>
      <c r="O173" s="324"/>
    </row>
    <row r="174" spans="1:15" s="334" customFormat="1" ht="12" customHeight="1">
      <c r="A174" s="294"/>
      <c r="B174" s="288"/>
      <c r="C174" s="289" t="s">
        <v>5</v>
      </c>
      <c r="D174" s="290">
        <v>559</v>
      </c>
      <c r="E174" s="291">
        <f>SUM(F174:N174)</f>
        <v>559</v>
      </c>
      <c r="F174" s="299"/>
      <c r="G174" s="300"/>
      <c r="H174" s="300"/>
      <c r="I174" s="300"/>
      <c r="J174" s="300"/>
      <c r="K174" s="300"/>
      <c r="L174" s="300"/>
      <c r="M174" s="300"/>
      <c r="N174" s="301">
        <v>559</v>
      </c>
      <c r="O174" s="333"/>
    </row>
    <row r="175" spans="1:15" s="334" customFormat="1" ht="12" customHeight="1">
      <c r="A175" s="294"/>
      <c r="B175" s="288"/>
      <c r="C175" s="289" t="s">
        <v>6</v>
      </c>
      <c r="D175" s="302">
        <v>559</v>
      </c>
      <c r="E175" s="303">
        <f>SUM(F175:N175)</f>
        <v>0</v>
      </c>
      <c r="F175" s="299"/>
      <c r="G175" s="300"/>
      <c r="H175" s="300"/>
      <c r="I175" s="300"/>
      <c r="J175" s="300"/>
      <c r="K175" s="300"/>
      <c r="L175" s="300"/>
      <c r="M175" s="300"/>
      <c r="N175" s="301">
        <v>0</v>
      </c>
      <c r="O175" s="333"/>
    </row>
    <row r="176" spans="1:15" s="304" customFormat="1" ht="12" customHeight="1">
      <c r="A176" s="305"/>
      <c r="B176" s="306"/>
      <c r="C176" s="326"/>
      <c r="D176" s="327"/>
      <c r="E176" s="328"/>
      <c r="F176" s="335"/>
      <c r="G176" s="330"/>
      <c r="H176" s="330"/>
      <c r="I176" s="330"/>
      <c r="J176" s="330"/>
      <c r="K176" s="330"/>
      <c r="L176" s="330"/>
      <c r="M176" s="330"/>
      <c r="N176" s="331"/>
      <c r="O176" s="324"/>
    </row>
    <row r="177" spans="1:15" s="304" customFormat="1" ht="12" customHeight="1">
      <c r="A177" s="313">
        <v>881011</v>
      </c>
      <c r="B177" s="314" t="s">
        <v>314</v>
      </c>
      <c r="C177" s="315" t="s">
        <v>8</v>
      </c>
      <c r="D177" s="316">
        <v>0</v>
      </c>
      <c r="E177" s="316">
        <f>SUM(F177:N177)</f>
        <v>1500</v>
      </c>
      <c r="F177" s="320"/>
      <c r="G177" s="321"/>
      <c r="H177" s="321"/>
      <c r="I177" s="321">
        <v>1500</v>
      </c>
      <c r="J177" s="321"/>
      <c r="K177" s="321"/>
      <c r="L177" s="321"/>
      <c r="M177" s="321"/>
      <c r="N177" s="322"/>
      <c r="O177" s="324"/>
    </row>
    <row r="178" spans="1:15" s="286" customFormat="1" ht="12" customHeight="1">
      <c r="A178" s="294"/>
      <c r="B178" s="288"/>
      <c r="C178" s="289" t="s">
        <v>5</v>
      </c>
      <c r="D178" s="319">
        <v>0</v>
      </c>
      <c r="E178" s="316">
        <f>SUM(F178:N178)</f>
        <v>1500</v>
      </c>
      <c r="F178" s="299"/>
      <c r="G178" s="300"/>
      <c r="H178" s="300"/>
      <c r="I178" s="300">
        <v>1500</v>
      </c>
      <c r="J178" s="300"/>
      <c r="K178" s="300"/>
      <c r="L178" s="300"/>
      <c r="M178" s="300"/>
      <c r="N178" s="301"/>
      <c r="O178" s="324"/>
    </row>
    <row r="179" spans="1:15" s="286" customFormat="1" ht="12" customHeight="1">
      <c r="A179" s="294"/>
      <c r="B179" s="288"/>
      <c r="C179" s="289" t="s">
        <v>6</v>
      </c>
      <c r="D179" s="290">
        <v>0</v>
      </c>
      <c r="E179" s="291">
        <v>1500</v>
      </c>
      <c r="F179" s="299"/>
      <c r="G179" s="300"/>
      <c r="H179" s="300"/>
      <c r="I179" s="300">
        <v>1500</v>
      </c>
      <c r="J179" s="300"/>
      <c r="K179" s="300"/>
      <c r="L179" s="300"/>
      <c r="M179" s="300"/>
      <c r="N179" s="301"/>
      <c r="O179" s="324"/>
    </row>
    <row r="180" spans="1:15" s="286" customFormat="1" ht="12" customHeight="1">
      <c r="A180" s="294">
        <v>882000</v>
      </c>
      <c r="B180" s="288" t="s">
        <v>315</v>
      </c>
      <c r="C180" s="289" t="s">
        <v>8</v>
      </c>
      <c r="D180" s="290">
        <v>0</v>
      </c>
      <c r="E180" s="291">
        <f>SUM(F180:N180)</f>
        <v>38500</v>
      </c>
      <c r="F180" s="299"/>
      <c r="G180" s="300"/>
      <c r="H180" s="300"/>
      <c r="I180" s="300">
        <v>38500</v>
      </c>
      <c r="J180" s="300"/>
      <c r="K180" s="300"/>
      <c r="L180" s="300"/>
      <c r="M180" s="300"/>
      <c r="N180" s="301"/>
      <c r="O180" s="324"/>
    </row>
    <row r="181" spans="1:15" s="286" customFormat="1" ht="12" customHeight="1">
      <c r="A181" s="294"/>
      <c r="B181" s="288"/>
      <c r="C181" s="289" t="s">
        <v>5</v>
      </c>
      <c r="D181" s="290">
        <v>0</v>
      </c>
      <c r="E181" s="291">
        <f>SUM(F181:N181)</f>
        <v>12930</v>
      </c>
      <c r="F181" s="299"/>
      <c r="G181" s="300"/>
      <c r="H181" s="300">
        <v>40</v>
      </c>
      <c r="I181" s="300">
        <v>12890</v>
      </c>
      <c r="J181" s="300"/>
      <c r="K181" s="300"/>
      <c r="L181" s="300"/>
      <c r="M181" s="300"/>
      <c r="N181" s="301"/>
      <c r="O181" s="324"/>
    </row>
    <row r="182" spans="1:15" s="286" customFormat="1" ht="12" customHeight="1">
      <c r="A182" s="294"/>
      <c r="B182" s="288"/>
      <c r="C182" s="289" t="s">
        <v>6</v>
      </c>
      <c r="D182" s="290">
        <v>0</v>
      </c>
      <c r="E182" s="291">
        <v>7930</v>
      </c>
      <c r="F182" s="299"/>
      <c r="G182" s="300"/>
      <c r="H182" s="300">
        <v>40</v>
      </c>
      <c r="I182" s="300">
        <v>7890</v>
      </c>
      <c r="J182" s="300"/>
      <c r="K182" s="300"/>
      <c r="L182" s="300"/>
      <c r="M182" s="300"/>
      <c r="N182" s="301"/>
      <c r="O182" s="324"/>
    </row>
    <row r="183" spans="1:15" s="286" customFormat="1" ht="12" customHeight="1">
      <c r="A183" s="294">
        <v>882111</v>
      </c>
      <c r="B183" s="288" t="s">
        <v>316</v>
      </c>
      <c r="C183" s="289" t="s">
        <v>8</v>
      </c>
      <c r="D183" s="290">
        <v>48060</v>
      </c>
      <c r="E183" s="291">
        <f>SUM(F183:N183)</f>
        <v>62200</v>
      </c>
      <c r="F183" s="299"/>
      <c r="G183" s="300"/>
      <c r="H183" s="300"/>
      <c r="I183" s="300"/>
      <c r="J183" s="300">
        <v>62200</v>
      </c>
      <c r="K183" s="300"/>
      <c r="L183" s="300"/>
      <c r="M183" s="300"/>
      <c r="N183" s="301"/>
      <c r="O183" s="324"/>
    </row>
    <row r="184" spans="1:14" s="304" customFormat="1" ht="12" customHeight="1">
      <c r="A184" s="313"/>
      <c r="B184" s="314"/>
      <c r="C184" s="289" t="s">
        <v>5</v>
      </c>
      <c r="D184" s="319">
        <v>41778</v>
      </c>
      <c r="E184" s="291">
        <f>SUM(F184:N184)</f>
        <v>52318</v>
      </c>
      <c r="F184" s="320"/>
      <c r="G184" s="321"/>
      <c r="H184" s="321"/>
      <c r="I184" s="321"/>
      <c r="J184" s="321">
        <v>52318</v>
      </c>
      <c r="K184" s="321"/>
      <c r="L184" s="321"/>
      <c r="M184" s="321"/>
      <c r="N184" s="322"/>
    </row>
    <row r="185" spans="1:14" s="304" customFormat="1" ht="12" customHeight="1">
      <c r="A185" s="313"/>
      <c r="B185" s="314"/>
      <c r="C185" s="289" t="s">
        <v>6</v>
      </c>
      <c r="D185" s="319">
        <v>41780</v>
      </c>
      <c r="E185" s="291">
        <v>49744</v>
      </c>
      <c r="F185" s="320"/>
      <c r="G185" s="321"/>
      <c r="H185" s="321">
        <v>10</v>
      </c>
      <c r="I185" s="321"/>
      <c r="J185" s="321">
        <v>49734</v>
      </c>
      <c r="K185" s="321"/>
      <c r="L185" s="321"/>
      <c r="M185" s="321"/>
      <c r="N185" s="322"/>
    </row>
    <row r="186" spans="1:14" s="304" customFormat="1" ht="12" customHeight="1">
      <c r="A186" s="313">
        <v>882112</v>
      </c>
      <c r="B186" s="314" t="s">
        <v>317</v>
      </c>
      <c r="C186" s="289" t="s">
        <v>8</v>
      </c>
      <c r="D186" s="319">
        <v>1170</v>
      </c>
      <c r="E186" s="291">
        <f>SUM(F186:N186)</f>
        <v>1300</v>
      </c>
      <c r="F186" s="317"/>
      <c r="G186" s="316"/>
      <c r="H186" s="316"/>
      <c r="I186" s="316"/>
      <c r="J186" s="316">
        <v>1300</v>
      </c>
      <c r="K186" s="316"/>
      <c r="L186" s="316"/>
      <c r="M186" s="316"/>
      <c r="N186" s="318"/>
    </row>
    <row r="187" spans="1:14" s="286" customFormat="1" ht="12" customHeight="1">
      <c r="A187" s="294"/>
      <c r="B187" s="288"/>
      <c r="C187" s="289" t="s">
        <v>5</v>
      </c>
      <c r="D187" s="290">
        <v>786</v>
      </c>
      <c r="E187" s="291">
        <f>SUM(F187:N187)</f>
        <v>916</v>
      </c>
      <c r="F187" s="292"/>
      <c r="G187" s="291"/>
      <c r="H187" s="291"/>
      <c r="I187" s="291"/>
      <c r="J187" s="291">
        <v>916</v>
      </c>
      <c r="K187" s="291"/>
      <c r="L187" s="291"/>
      <c r="M187" s="291"/>
      <c r="N187" s="293"/>
    </row>
    <row r="188" spans="1:14" s="286" customFormat="1" ht="12" customHeight="1">
      <c r="A188" s="294"/>
      <c r="B188" s="288"/>
      <c r="C188" s="289" t="s">
        <v>6</v>
      </c>
      <c r="D188" s="290">
        <v>786</v>
      </c>
      <c r="E188" s="291">
        <v>873</v>
      </c>
      <c r="F188" s="292"/>
      <c r="G188" s="291"/>
      <c r="H188" s="291"/>
      <c r="I188" s="291"/>
      <c r="J188" s="291">
        <v>873</v>
      </c>
      <c r="K188" s="291"/>
      <c r="L188" s="291"/>
      <c r="M188" s="291"/>
      <c r="N188" s="293"/>
    </row>
    <row r="189" spans="1:14" s="286" customFormat="1" ht="12" customHeight="1">
      <c r="A189" s="294">
        <v>882113</v>
      </c>
      <c r="B189" s="288" t="s">
        <v>318</v>
      </c>
      <c r="C189" s="289" t="s">
        <v>8</v>
      </c>
      <c r="D189" s="290">
        <v>15120</v>
      </c>
      <c r="E189" s="291">
        <f>SUM(F189:N189)</f>
        <v>16800</v>
      </c>
      <c r="F189" s="292"/>
      <c r="G189" s="291"/>
      <c r="H189" s="291"/>
      <c r="I189" s="291"/>
      <c r="J189" s="291">
        <v>16800</v>
      </c>
      <c r="K189" s="291"/>
      <c r="L189" s="291"/>
      <c r="M189" s="291"/>
      <c r="N189" s="293"/>
    </row>
    <row r="190" spans="1:14" s="286" customFormat="1" ht="12" customHeight="1">
      <c r="A190" s="294"/>
      <c r="B190" s="288"/>
      <c r="C190" s="289" t="s">
        <v>5</v>
      </c>
      <c r="D190" s="290">
        <v>10217</v>
      </c>
      <c r="E190" s="291">
        <f>SUM(F190:N190)</f>
        <v>11897</v>
      </c>
      <c r="F190" s="292"/>
      <c r="G190" s="291"/>
      <c r="H190" s="291"/>
      <c r="I190" s="291"/>
      <c r="J190" s="291">
        <v>11897</v>
      </c>
      <c r="K190" s="291"/>
      <c r="L190" s="291"/>
      <c r="M190" s="291"/>
      <c r="N190" s="293"/>
    </row>
    <row r="191" spans="1:14" s="286" customFormat="1" ht="12" customHeight="1">
      <c r="A191" s="294"/>
      <c r="B191" s="288"/>
      <c r="C191" s="289" t="s">
        <v>6</v>
      </c>
      <c r="D191" s="290">
        <v>10217</v>
      </c>
      <c r="E191" s="291">
        <v>11821</v>
      </c>
      <c r="F191" s="292"/>
      <c r="G191" s="291"/>
      <c r="H191" s="291"/>
      <c r="I191" s="291"/>
      <c r="J191" s="291">
        <v>11821</v>
      </c>
      <c r="K191" s="291"/>
      <c r="L191" s="291"/>
      <c r="M191" s="291"/>
      <c r="N191" s="293"/>
    </row>
    <row r="192" spans="1:14" s="286" customFormat="1" ht="12" customHeight="1">
      <c r="A192" s="294">
        <v>882114</v>
      </c>
      <c r="B192" s="288" t="s">
        <v>319</v>
      </c>
      <c r="C192" s="289" t="s">
        <v>8</v>
      </c>
      <c r="D192" s="290">
        <v>0</v>
      </c>
      <c r="E192" s="291">
        <f>SUM(F192:N192)</f>
        <v>4000</v>
      </c>
      <c r="F192" s="299"/>
      <c r="G192" s="300"/>
      <c r="H192" s="300"/>
      <c r="I192" s="300"/>
      <c r="J192" s="300">
        <v>4000</v>
      </c>
      <c r="K192" s="300"/>
      <c r="L192" s="300"/>
      <c r="M192" s="300"/>
      <c r="N192" s="301"/>
    </row>
    <row r="193" spans="1:14" s="286" customFormat="1" ht="12" customHeight="1">
      <c r="A193" s="294"/>
      <c r="B193" s="288"/>
      <c r="C193" s="289" t="s">
        <v>5</v>
      </c>
      <c r="D193" s="290">
        <v>0</v>
      </c>
      <c r="E193" s="291">
        <f>SUM(F193:N193)</f>
        <v>8000</v>
      </c>
      <c r="F193" s="299"/>
      <c r="G193" s="300"/>
      <c r="H193" s="300"/>
      <c r="I193" s="300"/>
      <c r="J193" s="300">
        <v>8000</v>
      </c>
      <c r="K193" s="300"/>
      <c r="L193" s="300"/>
      <c r="M193" s="300"/>
      <c r="N193" s="301"/>
    </row>
    <row r="194" spans="1:14" s="286" customFormat="1" ht="12" customHeight="1">
      <c r="A194" s="294"/>
      <c r="B194" s="288"/>
      <c r="C194" s="289" t="s">
        <v>6</v>
      </c>
      <c r="D194" s="290">
        <v>0</v>
      </c>
      <c r="E194" s="291">
        <v>7759</v>
      </c>
      <c r="F194" s="299"/>
      <c r="G194" s="300"/>
      <c r="H194" s="300"/>
      <c r="I194" s="300"/>
      <c r="J194" s="300">
        <v>7759</v>
      </c>
      <c r="K194" s="300"/>
      <c r="L194" s="300"/>
      <c r="M194" s="300"/>
      <c r="N194" s="301"/>
    </row>
    <row r="195" spans="1:14" s="286" customFormat="1" ht="12" customHeight="1">
      <c r="A195" s="294">
        <v>882115</v>
      </c>
      <c r="B195" s="288" t="s">
        <v>320</v>
      </c>
      <c r="C195" s="289" t="s">
        <v>8</v>
      </c>
      <c r="D195" s="290">
        <v>26970</v>
      </c>
      <c r="E195" s="291">
        <f>SUM(F195:N195)</f>
        <v>35960</v>
      </c>
      <c r="F195" s="299"/>
      <c r="G195" s="300">
        <v>6960</v>
      </c>
      <c r="H195" s="300"/>
      <c r="I195" s="300"/>
      <c r="J195" s="300">
        <v>29000</v>
      </c>
      <c r="K195" s="300"/>
      <c r="L195" s="300"/>
      <c r="M195" s="300"/>
      <c r="N195" s="301"/>
    </row>
    <row r="196" spans="1:14" s="286" customFormat="1" ht="12" customHeight="1">
      <c r="A196" s="294"/>
      <c r="B196" s="288"/>
      <c r="C196" s="289" t="s">
        <v>5</v>
      </c>
      <c r="D196" s="290">
        <v>23350</v>
      </c>
      <c r="E196" s="291">
        <f>SUM(F196:N196)</f>
        <v>32340</v>
      </c>
      <c r="F196" s="299"/>
      <c r="G196" s="300">
        <v>6260</v>
      </c>
      <c r="H196" s="300"/>
      <c r="I196" s="300"/>
      <c r="J196" s="300">
        <v>26080</v>
      </c>
      <c r="K196" s="300"/>
      <c r="L196" s="300"/>
      <c r="M196" s="300"/>
      <c r="N196" s="301"/>
    </row>
    <row r="197" spans="1:14" s="286" customFormat="1" ht="12" customHeight="1">
      <c r="A197" s="294"/>
      <c r="B197" s="288"/>
      <c r="C197" s="289" t="s">
        <v>6</v>
      </c>
      <c r="D197" s="290">
        <v>23351</v>
      </c>
      <c r="E197" s="291">
        <v>31048</v>
      </c>
      <c r="F197" s="299"/>
      <c r="G197" s="300">
        <v>5990</v>
      </c>
      <c r="H197" s="300">
        <v>100</v>
      </c>
      <c r="I197" s="300"/>
      <c r="J197" s="300">
        <v>24958</v>
      </c>
      <c r="K197" s="300"/>
      <c r="L197" s="300"/>
      <c r="M197" s="300"/>
      <c r="N197" s="301"/>
    </row>
    <row r="198" spans="1:14" s="286" customFormat="1" ht="12" customHeight="1">
      <c r="A198" s="294">
        <v>882116</v>
      </c>
      <c r="B198" s="288" t="s">
        <v>321</v>
      </c>
      <c r="C198" s="289" t="s">
        <v>8</v>
      </c>
      <c r="D198" s="290">
        <v>0</v>
      </c>
      <c r="E198" s="291">
        <f>SUM(F198:N198)</f>
        <v>5080</v>
      </c>
      <c r="F198" s="299"/>
      <c r="G198" s="300">
        <v>1080</v>
      </c>
      <c r="H198" s="300"/>
      <c r="I198" s="300"/>
      <c r="J198" s="300">
        <v>4000</v>
      </c>
      <c r="K198" s="300"/>
      <c r="L198" s="300"/>
      <c r="M198" s="300"/>
      <c r="N198" s="301"/>
    </row>
    <row r="199" spans="1:14" s="286" customFormat="1" ht="12" customHeight="1">
      <c r="A199" s="294"/>
      <c r="B199" s="288"/>
      <c r="C199" s="289" t="s">
        <v>5</v>
      </c>
      <c r="D199" s="290">
        <v>0</v>
      </c>
      <c r="E199" s="291">
        <f>SUM(F199:N199)</f>
        <v>4580</v>
      </c>
      <c r="F199" s="299"/>
      <c r="G199" s="300">
        <v>1080</v>
      </c>
      <c r="H199" s="300"/>
      <c r="I199" s="300"/>
      <c r="J199" s="300">
        <v>3500</v>
      </c>
      <c r="K199" s="300"/>
      <c r="L199" s="300"/>
      <c r="M199" s="300"/>
      <c r="N199" s="301"/>
    </row>
    <row r="200" spans="1:14" s="286" customFormat="1" ht="12" customHeight="1">
      <c r="A200" s="294"/>
      <c r="B200" s="288"/>
      <c r="C200" s="289" t="s">
        <v>6</v>
      </c>
      <c r="D200" s="290">
        <v>0</v>
      </c>
      <c r="E200" s="291">
        <v>4090</v>
      </c>
      <c r="F200" s="299"/>
      <c r="G200" s="300">
        <v>734</v>
      </c>
      <c r="H200" s="300">
        <v>300</v>
      </c>
      <c r="I200" s="300"/>
      <c r="J200" s="300">
        <v>3056</v>
      </c>
      <c r="K200" s="300"/>
      <c r="L200" s="300"/>
      <c r="M200" s="300"/>
      <c r="N200" s="301"/>
    </row>
    <row r="201" spans="1:14" s="286" customFormat="1" ht="12" customHeight="1">
      <c r="A201" s="294">
        <v>882117</v>
      </c>
      <c r="B201" s="288" t="s">
        <v>322</v>
      </c>
      <c r="C201" s="289" t="s">
        <v>8</v>
      </c>
      <c r="D201" s="290">
        <v>7500</v>
      </c>
      <c r="E201" s="291">
        <f>SUM(F201:N201)</f>
        <v>7500</v>
      </c>
      <c r="F201" s="299"/>
      <c r="G201" s="300"/>
      <c r="H201" s="300"/>
      <c r="I201" s="300"/>
      <c r="J201" s="300">
        <v>7500</v>
      </c>
      <c r="K201" s="300"/>
      <c r="L201" s="300"/>
      <c r="M201" s="300"/>
      <c r="N201" s="301"/>
    </row>
    <row r="202" spans="1:14" s="286" customFormat="1" ht="12" customHeight="1">
      <c r="A202" s="294"/>
      <c r="B202" s="288"/>
      <c r="C202" s="289" t="s">
        <v>5</v>
      </c>
      <c r="D202" s="290">
        <v>8166</v>
      </c>
      <c r="E202" s="291">
        <f>SUM(F202:N202)</f>
        <v>8166</v>
      </c>
      <c r="F202" s="299"/>
      <c r="G202" s="300"/>
      <c r="H202" s="300"/>
      <c r="I202" s="300"/>
      <c r="J202" s="300">
        <v>8166</v>
      </c>
      <c r="K202" s="300"/>
      <c r="L202" s="300"/>
      <c r="M202" s="300"/>
      <c r="N202" s="301"/>
    </row>
    <row r="203" spans="1:14" s="286" customFormat="1" ht="12" customHeight="1">
      <c r="A203" s="294"/>
      <c r="B203" s="288"/>
      <c r="C203" s="289" t="s">
        <v>6</v>
      </c>
      <c r="D203" s="290">
        <v>8166</v>
      </c>
      <c r="E203" s="291">
        <v>8097</v>
      </c>
      <c r="F203" s="299"/>
      <c r="G203" s="300"/>
      <c r="H203" s="300">
        <v>6</v>
      </c>
      <c r="I203" s="300"/>
      <c r="J203" s="300">
        <v>8091</v>
      </c>
      <c r="K203" s="300"/>
      <c r="L203" s="300"/>
      <c r="M203" s="300"/>
      <c r="N203" s="301"/>
    </row>
    <row r="204" spans="1:14" s="286" customFormat="1" ht="12" customHeight="1">
      <c r="A204" s="294">
        <v>882119</v>
      </c>
      <c r="B204" s="288" t="s">
        <v>323</v>
      </c>
      <c r="C204" s="289" t="s">
        <v>8</v>
      </c>
      <c r="D204" s="290">
        <v>300</v>
      </c>
      <c r="E204" s="291">
        <f>SUM(F204:N204)</f>
        <v>300</v>
      </c>
      <c r="F204" s="299"/>
      <c r="G204" s="300"/>
      <c r="H204" s="300"/>
      <c r="I204" s="300"/>
      <c r="J204" s="300">
        <v>300</v>
      </c>
      <c r="K204" s="300"/>
      <c r="L204" s="300"/>
      <c r="M204" s="300"/>
      <c r="N204" s="301"/>
    </row>
    <row r="205" spans="1:14" s="286" customFormat="1" ht="12" customHeight="1">
      <c r="A205" s="294"/>
      <c r="B205" s="288"/>
      <c r="C205" s="289" t="s">
        <v>5</v>
      </c>
      <c r="D205" s="290">
        <v>10</v>
      </c>
      <c r="E205" s="291">
        <f>SUM(F205:N205)</f>
        <v>10</v>
      </c>
      <c r="F205" s="299"/>
      <c r="G205" s="300"/>
      <c r="H205" s="300"/>
      <c r="I205" s="300"/>
      <c r="J205" s="300">
        <v>10</v>
      </c>
      <c r="K205" s="300"/>
      <c r="L205" s="300"/>
      <c r="M205" s="300"/>
      <c r="N205" s="301"/>
    </row>
    <row r="206" spans="1:14" s="286" customFormat="1" ht="12" customHeight="1">
      <c r="A206" s="294"/>
      <c r="B206" s="288"/>
      <c r="C206" s="289" t="s">
        <v>6</v>
      </c>
      <c r="D206" s="290">
        <v>10</v>
      </c>
      <c r="E206" s="291">
        <v>10</v>
      </c>
      <c r="F206" s="299"/>
      <c r="G206" s="300"/>
      <c r="H206" s="300"/>
      <c r="I206" s="300"/>
      <c r="J206" s="300">
        <v>10</v>
      </c>
      <c r="K206" s="300"/>
      <c r="L206" s="300"/>
      <c r="M206" s="300"/>
      <c r="N206" s="301"/>
    </row>
    <row r="207" spans="1:14" s="286" customFormat="1" ht="12" customHeight="1">
      <c r="A207" s="294">
        <v>882122</v>
      </c>
      <c r="B207" s="288" t="s">
        <v>324</v>
      </c>
      <c r="C207" s="289" t="s">
        <v>8</v>
      </c>
      <c r="D207" s="290">
        <v>0</v>
      </c>
      <c r="E207" s="291">
        <f>SUM(F207:N207)</f>
        <v>10515</v>
      </c>
      <c r="F207" s="299"/>
      <c r="G207" s="300"/>
      <c r="H207" s="300"/>
      <c r="I207" s="300"/>
      <c r="J207" s="300">
        <v>10515</v>
      </c>
      <c r="K207" s="300"/>
      <c r="L207" s="300"/>
      <c r="M207" s="300"/>
      <c r="N207" s="301"/>
    </row>
    <row r="208" spans="1:14" s="286" customFormat="1" ht="12" customHeight="1">
      <c r="A208" s="294"/>
      <c r="B208" s="288"/>
      <c r="C208" s="289" t="s">
        <v>5</v>
      </c>
      <c r="D208" s="290">
        <v>0</v>
      </c>
      <c r="E208" s="291">
        <f>SUM(F208:N208)</f>
        <v>15710</v>
      </c>
      <c r="F208" s="299"/>
      <c r="G208" s="300"/>
      <c r="H208" s="300"/>
      <c r="I208" s="300"/>
      <c r="J208" s="300">
        <v>15710</v>
      </c>
      <c r="K208" s="300"/>
      <c r="L208" s="300"/>
      <c r="M208" s="300"/>
      <c r="N208" s="301"/>
    </row>
    <row r="209" spans="1:14" s="286" customFormat="1" ht="12" customHeight="1">
      <c r="A209" s="294"/>
      <c r="B209" s="288"/>
      <c r="C209" s="289" t="s">
        <v>6</v>
      </c>
      <c r="D209" s="290">
        <v>0</v>
      </c>
      <c r="E209" s="291">
        <v>14550</v>
      </c>
      <c r="F209" s="299"/>
      <c r="G209" s="300"/>
      <c r="H209" s="300">
        <v>55</v>
      </c>
      <c r="I209" s="300"/>
      <c r="J209" s="300">
        <v>14495</v>
      </c>
      <c r="K209" s="300"/>
      <c r="L209" s="300"/>
      <c r="M209" s="300"/>
      <c r="N209" s="301"/>
    </row>
    <row r="210" spans="1:14" s="286" customFormat="1" ht="12" customHeight="1">
      <c r="A210" s="294">
        <v>882123</v>
      </c>
      <c r="B210" s="288" t="s">
        <v>325</v>
      </c>
      <c r="C210" s="289" t="s">
        <v>8</v>
      </c>
      <c r="D210" s="290">
        <v>0</v>
      </c>
      <c r="E210" s="291">
        <f>SUM(F210:N210)</f>
        <v>2100</v>
      </c>
      <c r="F210" s="299"/>
      <c r="G210" s="300"/>
      <c r="H210" s="300"/>
      <c r="I210" s="300"/>
      <c r="J210" s="300">
        <v>2100</v>
      </c>
      <c r="K210" s="300"/>
      <c r="L210" s="300"/>
      <c r="M210" s="300"/>
      <c r="N210" s="301"/>
    </row>
    <row r="211" spans="1:14" s="286" customFormat="1" ht="12" customHeight="1">
      <c r="A211" s="294"/>
      <c r="B211" s="288"/>
      <c r="C211" s="289" t="s">
        <v>5</v>
      </c>
      <c r="D211" s="290">
        <v>0</v>
      </c>
      <c r="E211" s="291">
        <f>SUM(F211:N211)</f>
        <v>2100</v>
      </c>
      <c r="F211" s="299"/>
      <c r="G211" s="300"/>
      <c r="H211" s="300"/>
      <c r="I211" s="300"/>
      <c r="J211" s="300">
        <v>2100</v>
      </c>
      <c r="K211" s="300"/>
      <c r="L211" s="300"/>
      <c r="M211" s="300"/>
      <c r="N211" s="301"/>
    </row>
    <row r="212" spans="1:14" s="286" customFormat="1" ht="12" customHeight="1">
      <c r="A212" s="294"/>
      <c r="B212" s="288"/>
      <c r="C212" s="289" t="s">
        <v>6</v>
      </c>
      <c r="D212" s="290">
        <v>0</v>
      </c>
      <c r="E212" s="291">
        <v>1791</v>
      </c>
      <c r="F212" s="299"/>
      <c r="G212" s="300"/>
      <c r="H212" s="300"/>
      <c r="I212" s="300"/>
      <c r="J212" s="300">
        <v>1791</v>
      </c>
      <c r="K212" s="300"/>
      <c r="L212" s="300"/>
      <c r="M212" s="300"/>
      <c r="N212" s="301"/>
    </row>
    <row r="213" spans="1:14" s="286" customFormat="1" ht="12" customHeight="1">
      <c r="A213" s="294">
        <v>882124</v>
      </c>
      <c r="B213" s="288" t="s">
        <v>326</v>
      </c>
      <c r="C213" s="289" t="s">
        <v>8</v>
      </c>
      <c r="D213" s="290">
        <v>0</v>
      </c>
      <c r="E213" s="291">
        <f>SUM(F213:N213)</f>
        <v>2000</v>
      </c>
      <c r="F213" s="299"/>
      <c r="G213" s="300"/>
      <c r="H213" s="300"/>
      <c r="I213" s="300"/>
      <c r="J213" s="300">
        <v>2000</v>
      </c>
      <c r="K213" s="300"/>
      <c r="L213" s="300"/>
      <c r="M213" s="300"/>
      <c r="N213" s="301"/>
    </row>
    <row r="214" spans="1:14" s="286" customFormat="1" ht="12" customHeight="1">
      <c r="A214" s="294"/>
      <c r="B214" s="288"/>
      <c r="C214" s="289" t="s">
        <v>5</v>
      </c>
      <c r="D214" s="290">
        <v>0</v>
      </c>
      <c r="E214" s="291">
        <f>SUM(F214:N214)</f>
        <v>28180</v>
      </c>
      <c r="F214" s="299"/>
      <c r="G214" s="300"/>
      <c r="H214" s="300"/>
      <c r="I214" s="300"/>
      <c r="J214" s="300">
        <v>28180</v>
      </c>
      <c r="K214" s="300"/>
      <c r="L214" s="300"/>
      <c r="M214" s="300"/>
      <c r="N214" s="301"/>
    </row>
    <row r="215" spans="1:14" s="286" customFormat="1" ht="12" customHeight="1">
      <c r="A215" s="294"/>
      <c r="B215" s="288"/>
      <c r="C215" s="289" t="s">
        <v>6</v>
      </c>
      <c r="D215" s="290">
        <v>0</v>
      </c>
      <c r="E215" s="291">
        <v>27616</v>
      </c>
      <c r="F215" s="299"/>
      <c r="G215" s="300"/>
      <c r="H215" s="300">
        <v>11</v>
      </c>
      <c r="I215" s="300"/>
      <c r="J215" s="300">
        <v>27605</v>
      </c>
      <c r="K215" s="300"/>
      <c r="L215" s="300"/>
      <c r="M215" s="300"/>
      <c r="N215" s="301"/>
    </row>
    <row r="216" spans="1:14" s="286" customFormat="1" ht="12" customHeight="1">
      <c r="A216" s="294">
        <v>882125</v>
      </c>
      <c r="B216" s="288" t="s">
        <v>327</v>
      </c>
      <c r="C216" s="289" t="s">
        <v>8</v>
      </c>
      <c r="D216" s="290">
        <v>1500</v>
      </c>
      <c r="E216" s="291">
        <f>SUM(F216:N216)</f>
        <v>1500</v>
      </c>
      <c r="F216" s="299"/>
      <c r="G216" s="300"/>
      <c r="H216" s="300"/>
      <c r="I216" s="300"/>
      <c r="J216" s="300">
        <v>1500</v>
      </c>
      <c r="K216" s="300"/>
      <c r="L216" s="300"/>
      <c r="M216" s="300"/>
      <c r="N216" s="301"/>
    </row>
    <row r="217" spans="1:14" s="286" customFormat="1" ht="12" customHeight="1">
      <c r="A217" s="294"/>
      <c r="B217" s="288"/>
      <c r="C217" s="289" t="s">
        <v>5</v>
      </c>
      <c r="D217" s="290">
        <v>1500</v>
      </c>
      <c r="E217" s="291">
        <f>SUM(F217:N217)</f>
        <v>1500</v>
      </c>
      <c r="F217" s="299"/>
      <c r="G217" s="300"/>
      <c r="H217" s="300"/>
      <c r="I217" s="300"/>
      <c r="J217" s="300">
        <v>1500</v>
      </c>
      <c r="K217" s="300"/>
      <c r="L217" s="300"/>
      <c r="M217" s="300"/>
      <c r="N217" s="301"/>
    </row>
    <row r="218" spans="1:14" s="286" customFormat="1" ht="12" customHeight="1">
      <c r="A218" s="294"/>
      <c r="B218" s="288"/>
      <c r="C218" s="289" t="s">
        <v>6</v>
      </c>
      <c r="D218" s="290">
        <v>588</v>
      </c>
      <c r="E218" s="291">
        <v>606</v>
      </c>
      <c r="F218" s="299"/>
      <c r="G218" s="300"/>
      <c r="H218" s="300">
        <v>18</v>
      </c>
      <c r="I218" s="300"/>
      <c r="J218" s="300">
        <v>588</v>
      </c>
      <c r="K218" s="300"/>
      <c r="L218" s="300"/>
      <c r="M218" s="300"/>
      <c r="N218" s="301"/>
    </row>
    <row r="219" spans="1:14" s="286" customFormat="1" ht="12" customHeight="1">
      <c r="A219" s="294">
        <v>882129</v>
      </c>
      <c r="B219" s="288" t="s">
        <v>328</v>
      </c>
      <c r="C219" s="289" t="s">
        <v>8</v>
      </c>
      <c r="D219" s="290">
        <v>0</v>
      </c>
      <c r="E219" s="291">
        <f>SUM(F219:N219)</f>
        <v>5296</v>
      </c>
      <c r="F219" s="299">
        <v>3696</v>
      </c>
      <c r="G219" s="300">
        <v>1020</v>
      </c>
      <c r="H219" s="300">
        <v>580</v>
      </c>
      <c r="I219" s="300"/>
      <c r="J219" s="300"/>
      <c r="K219" s="300"/>
      <c r="L219" s="300"/>
      <c r="M219" s="323"/>
      <c r="N219" s="301"/>
    </row>
    <row r="220" spans="1:14" s="286" customFormat="1" ht="12" customHeight="1">
      <c r="A220" s="294"/>
      <c r="B220" s="288"/>
      <c r="C220" s="289" t="s">
        <v>5</v>
      </c>
      <c r="D220" s="290">
        <v>0</v>
      </c>
      <c r="E220" s="291">
        <f>SUM(F220:N220)</f>
        <v>5296</v>
      </c>
      <c r="F220" s="299">
        <v>3696</v>
      </c>
      <c r="G220" s="300">
        <v>1020</v>
      </c>
      <c r="H220" s="300">
        <v>580</v>
      </c>
      <c r="I220" s="300"/>
      <c r="J220" s="300"/>
      <c r="K220" s="300"/>
      <c r="L220" s="300"/>
      <c r="M220" s="323"/>
      <c r="N220" s="301"/>
    </row>
    <row r="221" spans="1:14" s="286" customFormat="1" ht="12" customHeight="1">
      <c r="A221" s="294"/>
      <c r="B221" s="288"/>
      <c r="C221" s="289" t="s">
        <v>6</v>
      </c>
      <c r="D221" s="290">
        <v>34</v>
      </c>
      <c r="E221" s="291">
        <v>4948</v>
      </c>
      <c r="F221" s="299">
        <v>3557</v>
      </c>
      <c r="G221" s="300">
        <v>746</v>
      </c>
      <c r="H221" s="300">
        <v>645</v>
      </c>
      <c r="I221" s="300"/>
      <c r="J221" s="300"/>
      <c r="K221" s="300"/>
      <c r="L221" s="300"/>
      <c r="M221" s="323"/>
      <c r="N221" s="301"/>
    </row>
    <row r="222" spans="1:14" s="286" customFormat="1" ht="12" customHeight="1">
      <c r="A222" s="294">
        <v>882129</v>
      </c>
      <c r="B222" s="288" t="s">
        <v>329</v>
      </c>
      <c r="C222" s="289" t="s">
        <v>8</v>
      </c>
      <c r="D222" s="290">
        <v>0</v>
      </c>
      <c r="E222" s="291">
        <f>SUM(F222:N222)</f>
        <v>200</v>
      </c>
      <c r="F222" s="299"/>
      <c r="G222" s="300"/>
      <c r="H222" s="300"/>
      <c r="I222" s="300"/>
      <c r="J222" s="300">
        <v>200</v>
      </c>
      <c r="K222" s="300"/>
      <c r="L222" s="300"/>
      <c r="M222" s="300"/>
      <c r="N222" s="301"/>
    </row>
    <row r="223" spans="1:14" s="286" customFormat="1" ht="12" customHeight="1">
      <c r="A223" s="294"/>
      <c r="B223" s="288"/>
      <c r="C223" s="289" t="s">
        <v>5</v>
      </c>
      <c r="D223" s="290">
        <v>0</v>
      </c>
      <c r="E223" s="291">
        <f>SUM(F223:N223)</f>
        <v>200</v>
      </c>
      <c r="F223" s="299"/>
      <c r="G223" s="300"/>
      <c r="H223" s="300"/>
      <c r="I223" s="300"/>
      <c r="J223" s="300">
        <v>200</v>
      </c>
      <c r="K223" s="300"/>
      <c r="L223" s="300"/>
      <c r="M223" s="300"/>
      <c r="N223" s="301"/>
    </row>
    <row r="224" spans="1:14" s="286" customFormat="1" ht="12" customHeight="1">
      <c r="A224" s="294"/>
      <c r="B224" s="288"/>
      <c r="C224" s="289" t="s">
        <v>6</v>
      </c>
      <c r="D224" s="290">
        <v>0</v>
      </c>
      <c r="E224" s="291">
        <v>110</v>
      </c>
      <c r="F224" s="299"/>
      <c r="G224" s="300"/>
      <c r="H224" s="300"/>
      <c r="I224" s="300"/>
      <c r="J224" s="300">
        <v>110</v>
      </c>
      <c r="K224" s="300"/>
      <c r="L224" s="300"/>
      <c r="M224" s="300"/>
      <c r="N224" s="301"/>
    </row>
    <row r="225" spans="1:14" s="286" customFormat="1" ht="12" customHeight="1">
      <c r="A225" s="294">
        <v>882201</v>
      </c>
      <c r="B225" s="288" t="s">
        <v>330</v>
      </c>
      <c r="C225" s="289" t="s">
        <v>8</v>
      </c>
      <c r="D225" s="290">
        <v>4500</v>
      </c>
      <c r="E225" s="291">
        <f>SUM(F225:N225)</f>
        <v>5000</v>
      </c>
      <c r="F225" s="299"/>
      <c r="G225" s="300"/>
      <c r="H225" s="300"/>
      <c r="I225" s="300"/>
      <c r="J225" s="300">
        <v>5000</v>
      </c>
      <c r="K225" s="300"/>
      <c r="L225" s="300"/>
      <c r="M225" s="300"/>
      <c r="N225" s="301"/>
    </row>
    <row r="226" spans="1:14" s="286" customFormat="1" ht="12" customHeight="1">
      <c r="A226" s="294"/>
      <c r="B226" s="288"/>
      <c r="C226" s="289" t="s">
        <v>5</v>
      </c>
      <c r="D226" s="290">
        <v>4022</v>
      </c>
      <c r="E226" s="291">
        <f>SUM(F226:N226)</f>
        <v>4522</v>
      </c>
      <c r="F226" s="299"/>
      <c r="G226" s="300"/>
      <c r="H226" s="300"/>
      <c r="I226" s="300"/>
      <c r="J226" s="300">
        <v>4522</v>
      </c>
      <c r="K226" s="300"/>
      <c r="L226" s="300"/>
      <c r="M226" s="300"/>
      <c r="N226" s="301"/>
    </row>
    <row r="227" spans="1:14" s="286" customFormat="1" ht="12" customHeight="1">
      <c r="A227" s="294"/>
      <c r="B227" s="288"/>
      <c r="C227" s="289" t="s">
        <v>6</v>
      </c>
      <c r="D227" s="290">
        <v>4022</v>
      </c>
      <c r="E227" s="291">
        <v>4069</v>
      </c>
      <c r="F227" s="299"/>
      <c r="G227" s="300"/>
      <c r="H227" s="300"/>
      <c r="I227" s="300"/>
      <c r="J227" s="300">
        <v>4069</v>
      </c>
      <c r="K227" s="300"/>
      <c r="L227" s="300"/>
      <c r="M227" s="300"/>
      <c r="N227" s="301"/>
    </row>
    <row r="228" spans="1:14" s="286" customFormat="1" ht="12" customHeight="1">
      <c r="A228" s="294">
        <v>882202</v>
      </c>
      <c r="B228" s="288" t="s">
        <v>331</v>
      </c>
      <c r="C228" s="289" t="s">
        <v>8</v>
      </c>
      <c r="D228" s="290">
        <v>0</v>
      </c>
      <c r="E228" s="291">
        <f>SUM(F228:N228)</f>
        <v>1000</v>
      </c>
      <c r="F228" s="299"/>
      <c r="G228" s="300"/>
      <c r="H228" s="300"/>
      <c r="I228" s="300"/>
      <c r="J228" s="300">
        <v>1000</v>
      </c>
      <c r="K228" s="300"/>
      <c r="L228" s="300"/>
      <c r="M228" s="300"/>
      <c r="N228" s="301"/>
    </row>
    <row r="229" spans="1:14" s="286" customFormat="1" ht="12" customHeight="1">
      <c r="A229" s="294"/>
      <c r="B229" s="288"/>
      <c r="C229" s="289" t="s">
        <v>5</v>
      </c>
      <c r="D229" s="290">
        <v>0</v>
      </c>
      <c r="E229" s="291">
        <f>SUM(F229:N229)</f>
        <v>1400</v>
      </c>
      <c r="F229" s="299"/>
      <c r="G229" s="300"/>
      <c r="H229" s="300"/>
      <c r="I229" s="300"/>
      <c r="J229" s="300">
        <v>1400</v>
      </c>
      <c r="K229" s="300"/>
      <c r="L229" s="300"/>
      <c r="M229" s="300"/>
      <c r="N229" s="301"/>
    </row>
    <row r="230" spans="1:14" s="286" customFormat="1" ht="12" customHeight="1">
      <c r="A230" s="294"/>
      <c r="B230" s="288"/>
      <c r="C230" s="289" t="s">
        <v>6</v>
      </c>
      <c r="D230" s="290">
        <v>0</v>
      </c>
      <c r="E230" s="291">
        <v>1083</v>
      </c>
      <c r="F230" s="299"/>
      <c r="G230" s="300"/>
      <c r="H230" s="300"/>
      <c r="I230" s="300"/>
      <c r="J230" s="300">
        <v>1083</v>
      </c>
      <c r="K230" s="300"/>
      <c r="L230" s="300"/>
      <c r="M230" s="300"/>
      <c r="N230" s="301"/>
    </row>
    <row r="231" spans="1:14" s="286" customFormat="1" ht="12" customHeight="1">
      <c r="A231" s="294">
        <v>882203</v>
      </c>
      <c r="B231" s="288" t="s">
        <v>332</v>
      </c>
      <c r="C231" s="289" t="s">
        <v>8</v>
      </c>
      <c r="D231" s="290">
        <v>0</v>
      </c>
      <c r="E231" s="291">
        <f>SUM(F231:N231)</f>
        <v>1200</v>
      </c>
      <c r="F231" s="299"/>
      <c r="G231" s="300"/>
      <c r="H231" s="300"/>
      <c r="I231" s="300"/>
      <c r="J231" s="300">
        <v>1200</v>
      </c>
      <c r="K231" s="300"/>
      <c r="L231" s="300"/>
      <c r="M231" s="300"/>
      <c r="N231" s="301"/>
    </row>
    <row r="232" spans="1:14" s="286" customFormat="1" ht="12" customHeight="1">
      <c r="A232" s="294"/>
      <c r="B232" s="288"/>
      <c r="C232" s="289" t="s">
        <v>5</v>
      </c>
      <c r="D232" s="290">
        <v>0</v>
      </c>
      <c r="E232" s="291">
        <f>SUM(F232:N232)</f>
        <v>1825</v>
      </c>
      <c r="F232" s="299"/>
      <c r="G232" s="300"/>
      <c r="H232" s="300"/>
      <c r="I232" s="300"/>
      <c r="J232" s="300">
        <v>1825</v>
      </c>
      <c r="K232" s="300"/>
      <c r="L232" s="300"/>
      <c r="M232" s="300"/>
      <c r="N232" s="301"/>
    </row>
    <row r="233" spans="1:14" s="286" customFormat="1" ht="12" customHeight="1">
      <c r="A233" s="294"/>
      <c r="B233" s="288"/>
      <c r="C233" s="289" t="s">
        <v>6</v>
      </c>
      <c r="D233" s="290">
        <v>0</v>
      </c>
      <c r="E233" s="291">
        <v>1824</v>
      </c>
      <c r="F233" s="299"/>
      <c r="G233" s="300"/>
      <c r="H233" s="300"/>
      <c r="I233" s="300"/>
      <c r="J233" s="300">
        <v>1824</v>
      </c>
      <c r="K233" s="300"/>
      <c r="L233" s="300"/>
      <c r="M233" s="300"/>
      <c r="N233" s="301"/>
    </row>
    <row r="234" spans="1:14" s="286" customFormat="1" ht="12" customHeight="1">
      <c r="A234" s="294">
        <v>889101</v>
      </c>
      <c r="B234" s="288" t="s">
        <v>333</v>
      </c>
      <c r="C234" s="289" t="s">
        <v>8</v>
      </c>
      <c r="D234" s="290">
        <v>39686</v>
      </c>
      <c r="E234" s="291">
        <f>SUM(F234:N234)</f>
        <v>66352</v>
      </c>
      <c r="F234" s="299"/>
      <c r="G234" s="300"/>
      <c r="H234" s="300"/>
      <c r="I234" s="300">
        <v>7000</v>
      </c>
      <c r="J234" s="300"/>
      <c r="K234" s="300"/>
      <c r="L234" s="300">
        <v>59352</v>
      </c>
      <c r="M234" s="300"/>
      <c r="N234" s="301"/>
    </row>
    <row r="235" spans="1:14" s="334" customFormat="1" ht="12" customHeight="1">
      <c r="A235" s="294"/>
      <c r="B235" s="288"/>
      <c r="C235" s="289" t="s">
        <v>5</v>
      </c>
      <c r="D235" s="290">
        <v>38709</v>
      </c>
      <c r="E235" s="291">
        <f>SUM(F235:N235)</f>
        <v>66475</v>
      </c>
      <c r="F235" s="299">
        <v>777</v>
      </c>
      <c r="G235" s="300">
        <v>189</v>
      </c>
      <c r="H235" s="300">
        <v>9058</v>
      </c>
      <c r="I235" s="300">
        <v>7000</v>
      </c>
      <c r="J235" s="300"/>
      <c r="K235" s="300"/>
      <c r="L235" s="300">
        <v>49451</v>
      </c>
      <c r="M235" s="300"/>
      <c r="N235" s="301"/>
    </row>
    <row r="236" spans="1:14" s="334" customFormat="1" ht="12" customHeight="1">
      <c r="A236" s="294"/>
      <c r="B236" s="288"/>
      <c r="C236" s="289" t="s">
        <v>6</v>
      </c>
      <c r="D236" s="290">
        <v>38709</v>
      </c>
      <c r="E236" s="291">
        <v>66319</v>
      </c>
      <c r="F236" s="299">
        <v>777</v>
      </c>
      <c r="G236" s="300">
        <v>189</v>
      </c>
      <c r="H236" s="300">
        <v>9058</v>
      </c>
      <c r="I236" s="300">
        <v>7000</v>
      </c>
      <c r="J236" s="300"/>
      <c r="K236" s="300"/>
      <c r="L236" s="300">
        <v>49295</v>
      </c>
      <c r="M236" s="300"/>
      <c r="N236" s="301"/>
    </row>
    <row r="237" spans="1:14" s="286" customFormat="1" ht="12" customHeight="1">
      <c r="A237" s="305"/>
      <c r="B237" s="306"/>
      <c r="C237" s="326"/>
      <c r="D237" s="336"/>
      <c r="E237" s="328"/>
      <c r="F237" s="335"/>
      <c r="G237" s="330"/>
      <c r="H237" s="330"/>
      <c r="I237" s="330"/>
      <c r="J237" s="330"/>
      <c r="K237" s="330"/>
      <c r="L237" s="330"/>
      <c r="M237" s="330"/>
      <c r="N237" s="331"/>
    </row>
    <row r="238" spans="1:14" s="286" customFormat="1" ht="12" customHeight="1">
      <c r="A238" s="313">
        <v>889102</v>
      </c>
      <c r="B238" s="314" t="s">
        <v>334</v>
      </c>
      <c r="C238" s="337" t="s">
        <v>8</v>
      </c>
      <c r="D238" s="319">
        <v>0</v>
      </c>
      <c r="E238" s="316">
        <f>SUM(F238:N238)</f>
        <v>0</v>
      </c>
      <c r="F238" s="320"/>
      <c r="G238" s="321"/>
      <c r="H238" s="321"/>
      <c r="I238" s="321"/>
      <c r="J238" s="321"/>
      <c r="K238" s="321"/>
      <c r="L238" s="321"/>
      <c r="M238" s="321"/>
      <c r="N238" s="322"/>
    </row>
    <row r="239" spans="1:14" s="286" customFormat="1" ht="12" customHeight="1">
      <c r="A239" s="294"/>
      <c r="B239" s="288"/>
      <c r="C239" s="289" t="s">
        <v>5</v>
      </c>
      <c r="D239" s="290">
        <v>0</v>
      </c>
      <c r="E239" s="291">
        <f>SUM(F239:N239)</f>
        <v>0</v>
      </c>
      <c r="F239" s="299"/>
      <c r="G239" s="300"/>
      <c r="H239" s="300"/>
      <c r="I239" s="300"/>
      <c r="J239" s="300"/>
      <c r="K239" s="300"/>
      <c r="L239" s="300"/>
      <c r="M239" s="300"/>
      <c r="N239" s="301"/>
    </row>
    <row r="240" spans="1:14" s="286" customFormat="1" ht="12" customHeight="1">
      <c r="A240" s="294"/>
      <c r="B240" s="288"/>
      <c r="C240" s="289" t="s">
        <v>6</v>
      </c>
      <c r="D240" s="290">
        <v>0</v>
      </c>
      <c r="E240" s="291">
        <f>SUM(F240:N240)</f>
        <v>0</v>
      </c>
      <c r="F240" s="299"/>
      <c r="G240" s="300"/>
      <c r="H240" s="300"/>
      <c r="I240" s="300"/>
      <c r="J240" s="300"/>
      <c r="K240" s="300"/>
      <c r="L240" s="300"/>
      <c r="M240" s="300"/>
      <c r="N240" s="301"/>
    </row>
    <row r="241" spans="1:14" s="286" customFormat="1" ht="12" customHeight="1">
      <c r="A241" s="294">
        <v>889922</v>
      </c>
      <c r="B241" s="288" t="s">
        <v>335</v>
      </c>
      <c r="C241" s="289" t="s">
        <v>8</v>
      </c>
      <c r="D241" s="290">
        <v>2450</v>
      </c>
      <c r="E241" s="291">
        <f>SUM(F241:N241)</f>
        <v>0</v>
      </c>
      <c r="F241" s="299"/>
      <c r="G241" s="300"/>
      <c r="H241" s="300"/>
      <c r="I241" s="300"/>
      <c r="J241" s="300"/>
      <c r="K241" s="300"/>
      <c r="L241" s="300"/>
      <c r="M241" s="300"/>
      <c r="N241" s="301"/>
    </row>
    <row r="242" spans="1:14" s="304" customFormat="1" ht="12" customHeight="1">
      <c r="A242" s="313"/>
      <c r="B242" s="314"/>
      <c r="C242" s="289" t="s">
        <v>5</v>
      </c>
      <c r="D242" s="319">
        <v>3338</v>
      </c>
      <c r="E242" s="291">
        <f>SUM(F242:N242)</f>
        <v>388</v>
      </c>
      <c r="F242" s="320"/>
      <c r="G242" s="321"/>
      <c r="H242" s="321"/>
      <c r="I242" s="321"/>
      <c r="J242" s="321"/>
      <c r="K242" s="321"/>
      <c r="L242" s="321">
        <v>388</v>
      </c>
      <c r="M242" s="321"/>
      <c r="N242" s="322"/>
    </row>
    <row r="243" spans="1:14" s="304" customFormat="1" ht="12" customHeight="1">
      <c r="A243" s="313"/>
      <c r="B243" s="314"/>
      <c r="C243" s="289" t="s">
        <v>6</v>
      </c>
      <c r="D243" s="319">
        <v>3338</v>
      </c>
      <c r="E243" s="291">
        <v>388</v>
      </c>
      <c r="F243" s="320"/>
      <c r="G243" s="321"/>
      <c r="H243" s="321"/>
      <c r="I243" s="321"/>
      <c r="J243" s="321"/>
      <c r="K243" s="321"/>
      <c r="L243" s="321">
        <v>388</v>
      </c>
      <c r="M243" s="321"/>
      <c r="N243" s="322"/>
    </row>
    <row r="244" spans="1:14" s="304" customFormat="1" ht="12" customHeight="1">
      <c r="A244" s="313">
        <v>889925</v>
      </c>
      <c r="B244" s="314" t="s">
        <v>336</v>
      </c>
      <c r="C244" s="289" t="s">
        <v>8</v>
      </c>
      <c r="D244" s="319">
        <v>17002</v>
      </c>
      <c r="E244" s="291">
        <f>SUM(F244:N244)</f>
        <v>0</v>
      </c>
      <c r="F244" s="320"/>
      <c r="G244" s="321"/>
      <c r="H244" s="321"/>
      <c r="I244" s="321"/>
      <c r="J244" s="321"/>
      <c r="K244" s="321"/>
      <c r="L244" s="321"/>
      <c r="M244" s="321"/>
      <c r="N244" s="322"/>
    </row>
    <row r="245" spans="1:14" s="286" customFormat="1" ht="12" customHeight="1">
      <c r="A245" s="294"/>
      <c r="B245" s="288"/>
      <c r="C245" s="289" t="s">
        <v>5</v>
      </c>
      <c r="D245" s="290">
        <v>17200</v>
      </c>
      <c r="E245" s="291">
        <f>SUM(F245:N245)</f>
        <v>400</v>
      </c>
      <c r="F245" s="299"/>
      <c r="G245" s="300"/>
      <c r="H245" s="300">
        <v>250</v>
      </c>
      <c r="I245" s="300"/>
      <c r="J245" s="300"/>
      <c r="K245" s="300"/>
      <c r="L245" s="300">
        <v>150</v>
      </c>
      <c r="M245" s="300"/>
      <c r="N245" s="301"/>
    </row>
    <row r="246" spans="1:14" s="286" customFormat="1" ht="12" customHeight="1">
      <c r="A246" s="294"/>
      <c r="B246" s="288"/>
      <c r="C246" s="289" t="s">
        <v>6</v>
      </c>
      <c r="D246" s="290">
        <v>17200</v>
      </c>
      <c r="E246" s="291">
        <v>400</v>
      </c>
      <c r="F246" s="299"/>
      <c r="G246" s="300"/>
      <c r="H246" s="300">
        <v>250</v>
      </c>
      <c r="I246" s="300"/>
      <c r="J246" s="300"/>
      <c r="K246" s="300"/>
      <c r="L246" s="300">
        <v>150</v>
      </c>
      <c r="M246" s="300"/>
      <c r="N246" s="301"/>
    </row>
    <row r="247" spans="1:14" s="286" customFormat="1" ht="12" customHeight="1">
      <c r="A247" s="294">
        <v>889926</v>
      </c>
      <c r="B247" s="288" t="s">
        <v>337</v>
      </c>
      <c r="C247" s="289" t="s">
        <v>8</v>
      </c>
      <c r="D247" s="290">
        <v>133177</v>
      </c>
      <c r="E247" s="291">
        <f>SUM(F247:N247)</f>
        <v>152610</v>
      </c>
      <c r="F247" s="299"/>
      <c r="G247" s="300"/>
      <c r="H247" s="300"/>
      <c r="I247" s="300">
        <v>6267</v>
      </c>
      <c r="J247" s="300"/>
      <c r="K247" s="300"/>
      <c r="L247" s="300">
        <v>146343</v>
      </c>
      <c r="M247" s="323"/>
      <c r="N247" s="301"/>
    </row>
    <row r="248" spans="1:14" s="286" customFormat="1" ht="12" customHeight="1">
      <c r="A248" s="294"/>
      <c r="B248" s="288"/>
      <c r="C248" s="289" t="s">
        <v>5</v>
      </c>
      <c r="D248" s="290">
        <v>99981</v>
      </c>
      <c r="E248" s="291">
        <f>SUM(F248:N248)</f>
        <v>110887</v>
      </c>
      <c r="F248" s="299">
        <v>870</v>
      </c>
      <c r="G248" s="300">
        <v>211</v>
      </c>
      <c r="H248" s="300">
        <v>13772</v>
      </c>
      <c r="I248" s="300">
        <v>0</v>
      </c>
      <c r="J248" s="300"/>
      <c r="K248" s="300"/>
      <c r="L248" s="300">
        <v>96034</v>
      </c>
      <c r="M248" s="323"/>
      <c r="N248" s="301"/>
    </row>
    <row r="249" spans="1:14" s="286" customFormat="1" ht="12" customHeight="1">
      <c r="A249" s="294"/>
      <c r="B249" s="288"/>
      <c r="C249" s="289" t="s">
        <v>6</v>
      </c>
      <c r="D249" s="290">
        <v>88750</v>
      </c>
      <c r="E249" s="291">
        <v>101539</v>
      </c>
      <c r="F249" s="299">
        <v>870</v>
      </c>
      <c r="G249" s="300">
        <v>211</v>
      </c>
      <c r="H249" s="300">
        <v>13813</v>
      </c>
      <c r="I249" s="300">
        <v>0</v>
      </c>
      <c r="J249" s="300"/>
      <c r="K249" s="300"/>
      <c r="L249" s="300">
        <v>86645</v>
      </c>
      <c r="M249" s="323"/>
      <c r="N249" s="301"/>
    </row>
    <row r="250" spans="1:14" s="286" customFormat="1" ht="12" customHeight="1">
      <c r="A250" s="294">
        <v>889935</v>
      </c>
      <c r="B250" s="288" t="s">
        <v>338</v>
      </c>
      <c r="C250" s="289" t="s">
        <v>8</v>
      </c>
      <c r="D250" s="290">
        <v>1710</v>
      </c>
      <c r="E250" s="291">
        <f>SUM(F250:N250)</f>
        <v>0</v>
      </c>
      <c r="F250" s="299"/>
      <c r="G250" s="300"/>
      <c r="H250" s="300"/>
      <c r="I250" s="300"/>
      <c r="J250" s="300"/>
      <c r="K250" s="300"/>
      <c r="L250" s="300"/>
      <c r="M250" s="323"/>
      <c r="N250" s="301"/>
    </row>
    <row r="251" spans="1:14" s="286" customFormat="1" ht="12" customHeight="1">
      <c r="A251" s="294"/>
      <c r="B251" s="288"/>
      <c r="C251" s="289" t="s">
        <v>5</v>
      </c>
      <c r="D251" s="290">
        <v>1710</v>
      </c>
      <c r="E251" s="291">
        <f>SUM(F251:N251)</f>
        <v>0</v>
      </c>
      <c r="F251" s="299"/>
      <c r="G251" s="300"/>
      <c r="H251" s="300"/>
      <c r="I251" s="300"/>
      <c r="J251" s="300"/>
      <c r="K251" s="300"/>
      <c r="L251" s="300"/>
      <c r="M251" s="323"/>
      <c r="N251" s="301"/>
    </row>
    <row r="252" spans="1:14" s="286" customFormat="1" ht="12" customHeight="1">
      <c r="A252" s="294"/>
      <c r="B252" s="288"/>
      <c r="C252" s="289" t="s">
        <v>6</v>
      </c>
      <c r="D252" s="290">
        <v>1710</v>
      </c>
      <c r="E252" s="291">
        <f>SUM(F252:N252)</f>
        <v>0</v>
      </c>
      <c r="F252" s="299"/>
      <c r="G252" s="300"/>
      <c r="H252" s="300"/>
      <c r="I252" s="300"/>
      <c r="J252" s="300"/>
      <c r="K252" s="300"/>
      <c r="L252" s="300"/>
      <c r="M252" s="323"/>
      <c r="N252" s="301"/>
    </row>
    <row r="253" spans="1:14" s="286" customFormat="1" ht="12" customHeight="1">
      <c r="A253" s="294">
        <v>889942</v>
      </c>
      <c r="B253" s="288" t="s">
        <v>339</v>
      </c>
      <c r="C253" s="289" t="s">
        <v>8</v>
      </c>
      <c r="D253" s="290">
        <v>2500</v>
      </c>
      <c r="E253" s="291">
        <f>SUM(F253:N253)</f>
        <v>6300</v>
      </c>
      <c r="F253" s="292"/>
      <c r="G253" s="291"/>
      <c r="H253" s="291"/>
      <c r="I253" s="291">
        <v>1000</v>
      </c>
      <c r="J253" s="291"/>
      <c r="K253" s="291"/>
      <c r="L253" s="291"/>
      <c r="M253" s="291">
        <v>5300</v>
      </c>
      <c r="N253" s="293"/>
    </row>
    <row r="254" spans="1:14" s="286" customFormat="1" ht="12" customHeight="1">
      <c r="A254" s="294"/>
      <c r="B254" s="288"/>
      <c r="C254" s="289" t="s">
        <v>5</v>
      </c>
      <c r="D254" s="290">
        <v>2500</v>
      </c>
      <c r="E254" s="291">
        <f>SUM(F254:N254)</f>
        <v>1800</v>
      </c>
      <c r="F254" s="292"/>
      <c r="G254" s="291"/>
      <c r="H254" s="291"/>
      <c r="I254" s="291">
        <v>1000</v>
      </c>
      <c r="J254" s="291"/>
      <c r="K254" s="291"/>
      <c r="L254" s="291"/>
      <c r="M254" s="291">
        <v>800</v>
      </c>
      <c r="N254" s="293"/>
    </row>
    <row r="255" spans="1:14" s="286" customFormat="1" ht="12" customHeight="1">
      <c r="A255" s="294"/>
      <c r="B255" s="288"/>
      <c r="C255" s="289" t="s">
        <v>6</v>
      </c>
      <c r="D255" s="290">
        <v>5072</v>
      </c>
      <c r="E255" s="291">
        <v>800</v>
      </c>
      <c r="F255" s="292"/>
      <c r="G255" s="291"/>
      <c r="H255" s="291"/>
      <c r="I255" s="291">
        <v>200</v>
      </c>
      <c r="J255" s="291"/>
      <c r="K255" s="291"/>
      <c r="L255" s="291"/>
      <c r="M255" s="291">
        <v>600</v>
      </c>
      <c r="N255" s="293"/>
    </row>
    <row r="256" spans="1:14" s="286" customFormat="1" ht="12" customHeight="1">
      <c r="A256" s="294">
        <v>889943</v>
      </c>
      <c r="B256" s="288" t="s">
        <v>340</v>
      </c>
      <c r="C256" s="289" t="s">
        <v>8</v>
      </c>
      <c r="D256" s="290">
        <v>1500</v>
      </c>
      <c r="E256" s="291">
        <f>SUM(F256:N256)</f>
        <v>1500</v>
      </c>
      <c r="F256" s="292"/>
      <c r="G256" s="291"/>
      <c r="H256" s="291"/>
      <c r="I256" s="291"/>
      <c r="J256" s="291"/>
      <c r="K256" s="291"/>
      <c r="L256" s="291"/>
      <c r="M256" s="291">
        <v>1500</v>
      </c>
      <c r="N256" s="293"/>
    </row>
    <row r="257" spans="1:14" s="286" customFormat="1" ht="12" customHeight="1">
      <c r="A257" s="294"/>
      <c r="B257" s="288"/>
      <c r="C257" s="289" t="s">
        <v>5</v>
      </c>
      <c r="D257" s="290">
        <v>1500</v>
      </c>
      <c r="E257" s="291">
        <f>SUM(F257:N257)</f>
        <v>1500</v>
      </c>
      <c r="F257" s="292"/>
      <c r="G257" s="291"/>
      <c r="H257" s="291"/>
      <c r="I257" s="291"/>
      <c r="J257" s="291"/>
      <c r="K257" s="291"/>
      <c r="L257" s="291"/>
      <c r="M257" s="291">
        <v>1500</v>
      </c>
      <c r="N257" s="293"/>
    </row>
    <row r="258" spans="1:14" s="286" customFormat="1" ht="12" customHeight="1">
      <c r="A258" s="294"/>
      <c r="B258" s="288"/>
      <c r="C258" s="289" t="s">
        <v>6</v>
      </c>
      <c r="D258" s="290">
        <v>1360</v>
      </c>
      <c r="E258" s="291">
        <v>336</v>
      </c>
      <c r="F258" s="292"/>
      <c r="G258" s="291"/>
      <c r="H258" s="291">
        <v>36</v>
      </c>
      <c r="I258" s="291"/>
      <c r="J258" s="291"/>
      <c r="K258" s="291"/>
      <c r="L258" s="291"/>
      <c r="M258" s="291">
        <v>300</v>
      </c>
      <c r="N258" s="293"/>
    </row>
    <row r="259" spans="1:14" s="286" customFormat="1" ht="27" customHeight="1">
      <c r="A259" s="294">
        <v>890216</v>
      </c>
      <c r="B259" s="338" t="s">
        <v>341</v>
      </c>
      <c r="C259" s="289" t="s">
        <v>8</v>
      </c>
      <c r="D259" s="290">
        <v>0</v>
      </c>
      <c r="E259" s="291">
        <f>SUM(F259:N259)</f>
        <v>7550</v>
      </c>
      <c r="F259" s="299"/>
      <c r="G259" s="300"/>
      <c r="H259" s="300">
        <v>3050</v>
      </c>
      <c r="I259" s="300"/>
      <c r="J259" s="300">
        <v>4500</v>
      </c>
      <c r="K259" s="300"/>
      <c r="L259" s="300"/>
      <c r="M259" s="300"/>
      <c r="N259" s="301"/>
    </row>
    <row r="260" spans="1:14" s="286" customFormat="1" ht="12" customHeight="1">
      <c r="A260" s="294"/>
      <c r="B260" s="288"/>
      <c r="C260" s="289" t="s">
        <v>5</v>
      </c>
      <c r="D260" s="290">
        <v>112</v>
      </c>
      <c r="E260" s="291">
        <f>SUM(F260:N260)</f>
        <v>8222</v>
      </c>
      <c r="F260" s="299"/>
      <c r="G260" s="300"/>
      <c r="H260" s="300">
        <v>3572</v>
      </c>
      <c r="I260" s="300">
        <v>150</v>
      </c>
      <c r="J260" s="300">
        <v>4500</v>
      </c>
      <c r="K260" s="300"/>
      <c r="L260" s="300"/>
      <c r="M260" s="300"/>
      <c r="N260" s="301"/>
    </row>
    <row r="261" spans="1:14" s="286" customFormat="1" ht="12" customHeight="1">
      <c r="A261" s="294"/>
      <c r="B261" s="288"/>
      <c r="C261" s="289" t="s">
        <v>6</v>
      </c>
      <c r="D261" s="290">
        <v>113</v>
      </c>
      <c r="E261" s="291">
        <v>5801</v>
      </c>
      <c r="F261" s="299">
        <v>83</v>
      </c>
      <c r="G261" s="300">
        <v>13</v>
      </c>
      <c r="H261" s="300">
        <v>2345</v>
      </c>
      <c r="I261" s="300">
        <v>150</v>
      </c>
      <c r="J261" s="300">
        <v>3210</v>
      </c>
      <c r="K261" s="300"/>
      <c r="L261" s="300"/>
      <c r="M261" s="300"/>
      <c r="N261" s="301"/>
    </row>
    <row r="262" spans="1:14" s="286" customFormat="1" ht="13.5" customHeight="1">
      <c r="A262" s="294">
        <v>890441</v>
      </c>
      <c r="B262" s="288" t="s">
        <v>342</v>
      </c>
      <c r="C262" s="289" t="s">
        <v>8</v>
      </c>
      <c r="D262" s="290">
        <v>0</v>
      </c>
      <c r="E262" s="291">
        <f>SUM(F262:N262)</f>
        <v>0</v>
      </c>
      <c r="F262" s="299"/>
      <c r="G262" s="300"/>
      <c r="H262" s="300"/>
      <c r="I262" s="300"/>
      <c r="J262" s="300"/>
      <c r="K262" s="300"/>
      <c r="L262" s="300"/>
      <c r="M262" s="300"/>
      <c r="N262" s="301"/>
    </row>
    <row r="263" spans="1:14" s="286" customFormat="1" ht="12" customHeight="1">
      <c r="A263" s="294"/>
      <c r="B263" s="288"/>
      <c r="C263" s="289" t="s">
        <v>5</v>
      </c>
      <c r="D263" s="290">
        <v>13244</v>
      </c>
      <c r="E263" s="291">
        <f>SUM(F263:N263)</f>
        <v>16908</v>
      </c>
      <c r="F263" s="299">
        <v>14024</v>
      </c>
      <c r="G263" s="300">
        <v>2500</v>
      </c>
      <c r="H263" s="300">
        <v>384</v>
      </c>
      <c r="I263" s="300"/>
      <c r="J263" s="300"/>
      <c r="K263" s="300"/>
      <c r="L263" s="300"/>
      <c r="M263" s="300"/>
      <c r="N263" s="301"/>
    </row>
    <row r="264" spans="1:14" s="286" customFormat="1" ht="12" customHeight="1">
      <c r="A264" s="294"/>
      <c r="B264" s="288"/>
      <c r="C264" s="289" t="s">
        <v>6</v>
      </c>
      <c r="D264" s="290">
        <v>11439</v>
      </c>
      <c r="E264" s="291">
        <v>15980</v>
      </c>
      <c r="F264" s="299">
        <v>13623</v>
      </c>
      <c r="G264" s="300">
        <v>2017</v>
      </c>
      <c r="H264" s="300">
        <v>340</v>
      </c>
      <c r="I264" s="300"/>
      <c r="J264" s="300"/>
      <c r="K264" s="300"/>
      <c r="L264" s="300"/>
      <c r="M264" s="300"/>
      <c r="N264" s="301"/>
    </row>
    <row r="265" spans="1:14" s="286" customFormat="1" ht="12" customHeight="1">
      <c r="A265" s="294">
        <v>890442</v>
      </c>
      <c r="B265" s="288" t="s">
        <v>343</v>
      </c>
      <c r="C265" s="289" t="s">
        <v>8</v>
      </c>
      <c r="D265" s="290">
        <v>40302</v>
      </c>
      <c r="E265" s="291">
        <f>SUM(F265:N265)</f>
        <v>49250</v>
      </c>
      <c r="F265" s="299">
        <v>41796</v>
      </c>
      <c r="G265" s="300">
        <v>5978</v>
      </c>
      <c r="H265" s="300">
        <v>1476</v>
      </c>
      <c r="I265" s="300"/>
      <c r="J265" s="300"/>
      <c r="K265" s="300"/>
      <c r="L265" s="300"/>
      <c r="M265" s="323"/>
      <c r="N265" s="301"/>
    </row>
    <row r="266" spans="1:14" s="286" customFormat="1" ht="12" customHeight="1">
      <c r="A266" s="294"/>
      <c r="B266" s="288"/>
      <c r="C266" s="289" t="s">
        <v>5</v>
      </c>
      <c r="D266" s="290">
        <v>22104</v>
      </c>
      <c r="E266" s="291">
        <f>SUM(F266:N266)</f>
        <v>28628</v>
      </c>
      <c r="F266" s="299">
        <v>20772</v>
      </c>
      <c r="G266" s="300">
        <v>3478</v>
      </c>
      <c r="H266" s="300">
        <v>4378</v>
      </c>
      <c r="I266" s="300"/>
      <c r="J266" s="300"/>
      <c r="K266" s="300"/>
      <c r="L266" s="300"/>
      <c r="M266" s="323"/>
      <c r="N266" s="301"/>
    </row>
    <row r="267" spans="1:14" s="286" customFormat="1" ht="12" customHeight="1">
      <c r="A267" s="294"/>
      <c r="B267" s="288"/>
      <c r="C267" s="289" t="s">
        <v>6</v>
      </c>
      <c r="D267" s="290">
        <v>19508</v>
      </c>
      <c r="E267" s="291">
        <v>25760</v>
      </c>
      <c r="F267" s="299">
        <v>18575</v>
      </c>
      <c r="G267" s="300">
        <v>2806</v>
      </c>
      <c r="H267" s="300">
        <v>4379</v>
      </c>
      <c r="I267" s="300"/>
      <c r="J267" s="300"/>
      <c r="K267" s="300"/>
      <c r="L267" s="300"/>
      <c r="M267" s="323"/>
      <c r="N267" s="301"/>
    </row>
    <row r="268" spans="1:14" s="286" customFormat="1" ht="12" customHeight="1">
      <c r="A268" s="294">
        <v>910501</v>
      </c>
      <c r="B268" s="288" t="s">
        <v>344</v>
      </c>
      <c r="C268" s="289" t="s">
        <v>8</v>
      </c>
      <c r="D268" s="290">
        <v>2000</v>
      </c>
      <c r="E268" s="291">
        <f>SUM(F268:N268)</f>
        <v>146890</v>
      </c>
      <c r="F268" s="299"/>
      <c r="G268" s="300"/>
      <c r="H268" s="300"/>
      <c r="I268" s="300">
        <v>139890</v>
      </c>
      <c r="J268" s="300"/>
      <c r="K268" s="300"/>
      <c r="L268" s="300">
        <v>5000</v>
      </c>
      <c r="M268" s="300">
        <v>2000</v>
      </c>
      <c r="N268" s="301"/>
    </row>
    <row r="269" spans="1:14" s="286" customFormat="1" ht="12" customHeight="1">
      <c r="A269" s="294"/>
      <c r="B269" s="288"/>
      <c r="C269" s="289" t="s">
        <v>5</v>
      </c>
      <c r="D269" s="290">
        <v>2000</v>
      </c>
      <c r="E269" s="291">
        <f>SUM(F269:N269)</f>
        <v>155829</v>
      </c>
      <c r="F269" s="299"/>
      <c r="G269" s="300"/>
      <c r="H269" s="300">
        <v>2572</v>
      </c>
      <c r="I269" s="300">
        <v>151130</v>
      </c>
      <c r="J269" s="300"/>
      <c r="K269" s="300"/>
      <c r="L269" s="300">
        <v>127</v>
      </c>
      <c r="M269" s="300">
        <v>2000</v>
      </c>
      <c r="N269" s="301"/>
    </row>
    <row r="270" spans="1:14" s="286" customFormat="1" ht="12" customHeight="1">
      <c r="A270" s="294"/>
      <c r="B270" s="288"/>
      <c r="C270" s="289" t="s">
        <v>6</v>
      </c>
      <c r="D270" s="290">
        <v>2000</v>
      </c>
      <c r="E270" s="291">
        <v>154646</v>
      </c>
      <c r="F270" s="299"/>
      <c r="G270" s="300"/>
      <c r="H270" s="300">
        <v>2349</v>
      </c>
      <c r="I270" s="300">
        <v>150170</v>
      </c>
      <c r="J270" s="300"/>
      <c r="K270" s="300"/>
      <c r="L270" s="300">
        <v>127</v>
      </c>
      <c r="M270" s="300">
        <v>2000</v>
      </c>
      <c r="N270" s="301"/>
    </row>
    <row r="271" spans="1:14" s="286" customFormat="1" ht="12" customHeight="1">
      <c r="A271" s="294">
        <v>931202</v>
      </c>
      <c r="B271" s="288" t="s">
        <v>345</v>
      </c>
      <c r="C271" s="289" t="s">
        <v>8</v>
      </c>
      <c r="D271" s="290">
        <v>0</v>
      </c>
      <c r="E271" s="291">
        <f>SUM(F271:N271)</f>
        <v>5300</v>
      </c>
      <c r="F271" s="299"/>
      <c r="G271" s="300"/>
      <c r="H271" s="300">
        <v>4500</v>
      </c>
      <c r="I271" s="300">
        <v>800</v>
      </c>
      <c r="J271" s="300"/>
      <c r="K271" s="300"/>
      <c r="L271" s="300"/>
      <c r="M271" s="323"/>
      <c r="N271" s="301"/>
    </row>
    <row r="272" spans="1:14" s="286" customFormat="1" ht="12" customHeight="1">
      <c r="A272" s="294"/>
      <c r="B272" s="288"/>
      <c r="C272" s="289" t="s">
        <v>5</v>
      </c>
      <c r="D272" s="290">
        <v>0</v>
      </c>
      <c r="E272" s="291">
        <f>SUM(F272:N272)</f>
        <v>7800</v>
      </c>
      <c r="F272" s="299"/>
      <c r="G272" s="300"/>
      <c r="H272" s="300">
        <v>7000</v>
      </c>
      <c r="I272" s="300">
        <v>800</v>
      </c>
      <c r="J272" s="300"/>
      <c r="K272" s="300"/>
      <c r="L272" s="300"/>
      <c r="M272" s="323"/>
      <c r="N272" s="301"/>
    </row>
    <row r="273" spans="1:14" s="286" customFormat="1" ht="12" customHeight="1">
      <c r="A273" s="294"/>
      <c r="B273" s="288"/>
      <c r="C273" s="289" t="s">
        <v>6</v>
      </c>
      <c r="D273" s="290">
        <v>0</v>
      </c>
      <c r="E273" s="291">
        <v>6674</v>
      </c>
      <c r="F273" s="299"/>
      <c r="G273" s="300"/>
      <c r="H273" s="300">
        <v>5874</v>
      </c>
      <c r="I273" s="300">
        <v>800</v>
      </c>
      <c r="J273" s="300"/>
      <c r="K273" s="300"/>
      <c r="L273" s="300"/>
      <c r="M273" s="323"/>
      <c r="N273" s="301"/>
    </row>
    <row r="274" spans="1:14" s="286" customFormat="1" ht="12" customHeight="1">
      <c r="A274" s="294">
        <v>931903</v>
      </c>
      <c r="B274" s="288" t="s">
        <v>346</v>
      </c>
      <c r="C274" s="289" t="s">
        <v>8</v>
      </c>
      <c r="D274" s="290">
        <v>1000</v>
      </c>
      <c r="E274" s="291">
        <f>SUM(F274:N274)</f>
        <v>19100</v>
      </c>
      <c r="F274" s="299"/>
      <c r="G274" s="300"/>
      <c r="H274" s="300">
        <v>4500</v>
      </c>
      <c r="I274" s="300">
        <v>9800</v>
      </c>
      <c r="J274" s="300"/>
      <c r="K274" s="300"/>
      <c r="L274" s="300"/>
      <c r="M274" s="323"/>
      <c r="N274" s="301">
        <v>4800</v>
      </c>
    </row>
    <row r="275" spans="1:14" s="286" customFormat="1" ht="12" customHeight="1">
      <c r="A275" s="294"/>
      <c r="B275" s="288"/>
      <c r="C275" s="289" t="s">
        <v>5</v>
      </c>
      <c r="D275" s="290">
        <v>1350</v>
      </c>
      <c r="E275" s="291">
        <f>SUM(F275:N275)</f>
        <v>67560</v>
      </c>
      <c r="F275" s="299"/>
      <c r="G275" s="300"/>
      <c r="H275" s="300">
        <v>4986</v>
      </c>
      <c r="I275" s="300">
        <v>62511</v>
      </c>
      <c r="J275" s="300"/>
      <c r="K275" s="300"/>
      <c r="L275" s="300">
        <v>63</v>
      </c>
      <c r="M275" s="323"/>
      <c r="N275" s="301">
        <v>0</v>
      </c>
    </row>
    <row r="276" spans="1:14" s="286" customFormat="1" ht="12" customHeight="1">
      <c r="A276" s="294"/>
      <c r="B276" s="288"/>
      <c r="C276" s="289" t="s">
        <v>6</v>
      </c>
      <c r="D276" s="290">
        <v>1537</v>
      </c>
      <c r="E276" s="291">
        <v>28927</v>
      </c>
      <c r="F276" s="299"/>
      <c r="G276" s="300"/>
      <c r="H276" s="300">
        <v>4416</v>
      </c>
      <c r="I276" s="300">
        <v>24511</v>
      </c>
      <c r="J276" s="300"/>
      <c r="K276" s="300"/>
      <c r="L276" s="300">
        <v>0</v>
      </c>
      <c r="M276" s="323"/>
      <c r="N276" s="301">
        <v>0</v>
      </c>
    </row>
    <row r="277" spans="1:14" s="286" customFormat="1" ht="12" customHeight="1">
      <c r="A277" s="294">
        <v>932911</v>
      </c>
      <c r="B277" s="288" t="s">
        <v>347</v>
      </c>
      <c r="C277" s="289" t="s">
        <v>8</v>
      </c>
      <c r="D277" s="290">
        <v>224863</v>
      </c>
      <c r="E277" s="291">
        <f>SUM(F277:N277)</f>
        <v>13726</v>
      </c>
      <c r="F277" s="292"/>
      <c r="G277" s="291"/>
      <c r="H277" s="291">
        <v>4538</v>
      </c>
      <c r="I277" s="291">
        <v>2938</v>
      </c>
      <c r="J277" s="291"/>
      <c r="K277" s="291">
        <v>6250</v>
      </c>
      <c r="L277" s="291"/>
      <c r="M277" s="291"/>
      <c r="N277" s="293"/>
    </row>
    <row r="278" spans="1:14" s="286" customFormat="1" ht="12" customHeight="1">
      <c r="A278" s="294"/>
      <c r="B278" s="288"/>
      <c r="C278" s="289" t="s">
        <v>5</v>
      </c>
      <c r="D278" s="290">
        <v>196863</v>
      </c>
      <c r="E278" s="291">
        <f>SUM(F278:N278)</f>
        <v>69547</v>
      </c>
      <c r="F278" s="292"/>
      <c r="G278" s="291"/>
      <c r="H278" s="291">
        <v>5788</v>
      </c>
      <c r="I278" s="291">
        <v>2938</v>
      </c>
      <c r="J278" s="291"/>
      <c r="K278" s="291">
        <v>10418</v>
      </c>
      <c r="L278" s="291">
        <v>832</v>
      </c>
      <c r="M278" s="291">
        <v>49571</v>
      </c>
      <c r="N278" s="293"/>
    </row>
    <row r="279" spans="1:14" s="286" customFormat="1" ht="12" customHeight="1">
      <c r="A279" s="294"/>
      <c r="B279" s="288"/>
      <c r="C279" s="289" t="s">
        <v>6</v>
      </c>
      <c r="D279" s="290">
        <v>0</v>
      </c>
      <c r="E279" s="291">
        <v>68869</v>
      </c>
      <c r="F279" s="292"/>
      <c r="G279" s="291"/>
      <c r="H279" s="291">
        <v>5224</v>
      </c>
      <c r="I279" s="291">
        <v>2938</v>
      </c>
      <c r="J279" s="291"/>
      <c r="K279" s="291">
        <v>10304</v>
      </c>
      <c r="L279" s="291">
        <v>832</v>
      </c>
      <c r="M279" s="291">
        <v>49571</v>
      </c>
      <c r="N279" s="293"/>
    </row>
    <row r="280" spans="1:14" s="286" customFormat="1" ht="12" customHeight="1">
      <c r="A280" s="294">
        <v>949900</v>
      </c>
      <c r="B280" s="288" t="s">
        <v>348</v>
      </c>
      <c r="C280" s="289" t="s">
        <v>8</v>
      </c>
      <c r="D280" s="290">
        <v>0</v>
      </c>
      <c r="E280" s="291">
        <f>SUM(F280:N280)</f>
        <v>15000</v>
      </c>
      <c r="F280" s="292"/>
      <c r="G280" s="291"/>
      <c r="H280" s="291"/>
      <c r="I280" s="291">
        <v>15000</v>
      </c>
      <c r="J280" s="291"/>
      <c r="K280" s="291"/>
      <c r="L280" s="291"/>
      <c r="M280" s="291"/>
      <c r="N280" s="293"/>
    </row>
    <row r="281" spans="1:14" s="286" customFormat="1" ht="12" customHeight="1">
      <c r="A281" s="294"/>
      <c r="B281" s="288"/>
      <c r="C281" s="289" t="s">
        <v>5</v>
      </c>
      <c r="D281" s="290">
        <v>0</v>
      </c>
      <c r="E281" s="291">
        <f>SUM(F281:N281)</f>
        <v>15000</v>
      </c>
      <c r="F281" s="292"/>
      <c r="G281" s="291"/>
      <c r="H281" s="291"/>
      <c r="I281" s="291">
        <v>15000</v>
      </c>
      <c r="J281" s="291"/>
      <c r="K281" s="291"/>
      <c r="L281" s="291"/>
      <c r="M281" s="291"/>
      <c r="N281" s="293"/>
    </row>
    <row r="282" spans="1:14" s="286" customFormat="1" ht="12" customHeight="1">
      <c r="A282" s="294"/>
      <c r="B282" s="288"/>
      <c r="C282" s="289" t="s">
        <v>6</v>
      </c>
      <c r="D282" s="290">
        <v>0</v>
      </c>
      <c r="E282" s="291">
        <v>15000</v>
      </c>
      <c r="F282" s="292"/>
      <c r="G282" s="291"/>
      <c r="H282" s="291"/>
      <c r="I282" s="291">
        <v>15000</v>
      </c>
      <c r="J282" s="291"/>
      <c r="K282" s="291"/>
      <c r="L282" s="291"/>
      <c r="M282" s="291"/>
      <c r="N282" s="293"/>
    </row>
    <row r="283" spans="1:14" s="286" customFormat="1" ht="12" customHeight="1">
      <c r="A283" s="294">
        <v>960302</v>
      </c>
      <c r="B283" s="288" t="s">
        <v>349</v>
      </c>
      <c r="C283" s="289" t="s">
        <v>8</v>
      </c>
      <c r="D283" s="290">
        <v>6000</v>
      </c>
      <c r="E283" s="291">
        <f>SUM(F283:N283)</f>
        <v>13155</v>
      </c>
      <c r="F283" s="292"/>
      <c r="G283" s="291"/>
      <c r="H283" s="291">
        <v>11000</v>
      </c>
      <c r="I283" s="291">
        <v>155</v>
      </c>
      <c r="J283" s="291"/>
      <c r="K283" s="291">
        <v>2000</v>
      </c>
      <c r="L283" s="291"/>
      <c r="M283" s="291"/>
      <c r="N283" s="293"/>
    </row>
    <row r="284" spans="1:14" s="286" customFormat="1" ht="12" customHeight="1">
      <c r="A284" s="294"/>
      <c r="B284" s="288"/>
      <c r="C284" s="289" t="s">
        <v>5</v>
      </c>
      <c r="D284" s="290">
        <v>6459</v>
      </c>
      <c r="E284" s="291">
        <f>SUM(F284:N284)</f>
        <v>13614</v>
      </c>
      <c r="F284" s="292"/>
      <c r="G284" s="291"/>
      <c r="H284" s="291">
        <v>11459</v>
      </c>
      <c r="I284" s="291">
        <v>155</v>
      </c>
      <c r="J284" s="291"/>
      <c r="K284" s="291">
        <v>2000</v>
      </c>
      <c r="L284" s="291"/>
      <c r="M284" s="291"/>
      <c r="N284" s="293"/>
    </row>
    <row r="285" spans="1:15" s="286" customFormat="1" ht="12" customHeight="1">
      <c r="A285" s="294"/>
      <c r="B285" s="288"/>
      <c r="C285" s="289" t="s">
        <v>6</v>
      </c>
      <c r="D285" s="290">
        <v>6459</v>
      </c>
      <c r="E285" s="291">
        <v>11491</v>
      </c>
      <c r="F285" s="292"/>
      <c r="G285" s="291"/>
      <c r="H285" s="291">
        <v>11336</v>
      </c>
      <c r="I285" s="291">
        <v>155</v>
      </c>
      <c r="J285" s="291"/>
      <c r="K285" s="291"/>
      <c r="L285" s="291"/>
      <c r="M285" s="291"/>
      <c r="N285" s="293"/>
      <c r="O285" s="339"/>
    </row>
    <row r="286" spans="1:14" s="286" customFormat="1" ht="12" customHeight="1">
      <c r="A286" s="294">
        <v>960900</v>
      </c>
      <c r="B286" s="288" t="s">
        <v>350</v>
      </c>
      <c r="C286" s="289" t="s">
        <v>8</v>
      </c>
      <c r="D286" s="290">
        <v>3000</v>
      </c>
      <c r="E286" s="291">
        <f>SUM(F286:N286)</f>
        <v>3000</v>
      </c>
      <c r="F286" s="299">
        <v>1600</v>
      </c>
      <c r="G286" s="300">
        <v>425</v>
      </c>
      <c r="H286" s="300">
        <v>975</v>
      </c>
      <c r="I286" s="300"/>
      <c r="J286" s="300"/>
      <c r="K286" s="300"/>
      <c r="L286" s="300"/>
      <c r="M286" s="323"/>
      <c r="N286" s="301"/>
    </row>
    <row r="287" spans="1:14" s="286" customFormat="1" ht="12" customHeight="1">
      <c r="A287" s="294"/>
      <c r="B287" s="288"/>
      <c r="C287" s="289" t="s">
        <v>5</v>
      </c>
      <c r="D287" s="290">
        <v>3000</v>
      </c>
      <c r="E287" s="291">
        <f>SUM(F287:N287)</f>
        <v>3000</v>
      </c>
      <c r="F287" s="299">
        <v>1600</v>
      </c>
      <c r="G287" s="300">
        <v>425</v>
      </c>
      <c r="H287" s="300">
        <v>975</v>
      </c>
      <c r="I287" s="300"/>
      <c r="J287" s="300"/>
      <c r="K287" s="300"/>
      <c r="L287" s="300"/>
      <c r="M287" s="323"/>
      <c r="N287" s="301"/>
    </row>
    <row r="288" spans="1:14" s="286" customFormat="1" ht="12" customHeight="1">
      <c r="A288" s="294"/>
      <c r="B288" s="288"/>
      <c r="C288" s="289" t="s">
        <v>6</v>
      </c>
      <c r="D288" s="290">
        <v>2758</v>
      </c>
      <c r="E288" s="291">
        <v>2193</v>
      </c>
      <c r="F288" s="299">
        <v>745</v>
      </c>
      <c r="G288" s="300">
        <v>181</v>
      </c>
      <c r="H288" s="300">
        <v>1267</v>
      </c>
      <c r="I288" s="300"/>
      <c r="J288" s="300"/>
      <c r="K288" s="300"/>
      <c r="L288" s="300"/>
      <c r="M288" s="323"/>
      <c r="N288" s="301"/>
    </row>
    <row r="289" spans="1:14" s="286" customFormat="1" ht="12" customHeight="1">
      <c r="A289" s="340" t="s">
        <v>351</v>
      </c>
      <c r="B289" s="340"/>
      <c r="C289" s="341" t="s">
        <v>8</v>
      </c>
      <c r="D289" s="342">
        <f>SUM(D8+D11+D14+D17+D20+D23+D26+D29+D32+D35+D38+D41+D44+D47+D50+D53+D56+D59+D62+D65+D71+D74+D77+D80+D83+D86+D89+D92+D95+D98+D101+D104+D107+D110+D113+D116+D119+D122+D125+D128+D131+D134+D137+D140+D143+D146+D149+D152+D155+D158+D161+D164+D167+D170+D177+D180+D183+D186+D189+D192+D195+D198+D201+D204+D207+D210+D213+D216+D219+D222+D225+D228+D231+D234+D238+D241+D244+D247+D250+D253+D256+D259+D262+D265+D268+D271+D274+D277+D280+D283+D286)</f>
        <v>6693300</v>
      </c>
      <c r="E289" s="296">
        <v>5277870</v>
      </c>
      <c r="F289" s="343">
        <f aca="true" t="shared" si="3" ref="F289:N289">SUM(F8+F11+F14+F17+F20+F23+F26+F29+F32+F35+F38+F41+F44+F47+F50+F53+F56+F59+F62+F65+F71+F74+F77+F80+F83+F86+F89+F92+F95+F98+F101+F104+F107+F110+F113+F116+F119+F122+F125+F128+F131+F134+F137+F140+F143+F146+F149+F152+F155+F158+F161+F164+F167+F170+F177+F180+F183+F186+F189+F192+F195+F198+F201+F204+F207+F210+F213+F216+F219+F222+F225+F228+F231+F234+F238+F241+F244+F247+F250+F253+F256+F259+F262+F265+F268+F271+F274+F277+F280+F283+F286)</f>
        <v>449650</v>
      </c>
      <c r="G289" s="296">
        <f t="shared" si="3"/>
        <v>134571</v>
      </c>
      <c r="H289" s="296">
        <f t="shared" si="3"/>
        <v>660181</v>
      </c>
      <c r="I289" s="296">
        <f t="shared" si="3"/>
        <v>630515</v>
      </c>
      <c r="J289" s="296">
        <f t="shared" si="3"/>
        <v>153115</v>
      </c>
      <c r="K289" s="296">
        <f t="shared" si="3"/>
        <v>99646</v>
      </c>
      <c r="L289" s="296">
        <f t="shared" si="3"/>
        <v>2517144</v>
      </c>
      <c r="M289" s="296">
        <f t="shared" si="3"/>
        <v>101777</v>
      </c>
      <c r="N289" s="344">
        <f t="shared" si="3"/>
        <v>531271</v>
      </c>
    </row>
    <row r="290" spans="1:16" s="353" customFormat="1" ht="12" customHeight="1">
      <c r="A290" s="345"/>
      <c r="B290" s="346"/>
      <c r="C290" s="347" t="s">
        <v>5</v>
      </c>
      <c r="D290" s="348">
        <f>D9+D12+D15+D18+D21+D24+D27+D30+D33+D36+D39+D42+D45+D48+D51+D54+D57+D63+D66+D69+D72+D75+D78+D81+D84+D87+D90+D93+D96+D99+D102+D105+D108+D111+D114+D117+D120+D123+D126+D129+D132+D135+D138+D141+D144+D147+D150+D153+D156+D159+D162+D165+D168+D171+D175+D178+D181+D184+D187+D190+D193+D196+D199+D202+D205+D208+D211+D214+D217+D220+D223+D226+D229+D232+D236+D239+D242+D245+D248+D251+D254+D257+D260+D263+D266+D269+D272+D275+D278+D281+D284+D287</f>
        <v>5096328</v>
      </c>
      <c r="E290" s="349">
        <f>E9+E12+E15+E18+E21+E24+E27+E30+E33+E36+E39+E42+E45+E48+E51+E54+E57+E60+E63+E66+E69+E72+E75+E78+E81+E84+E87+E90+E93+E96+E99+E102+E105+E108+E111+E114+E117+E120+E123+E126+E129+E132+E135+E138+E141+E144+E147+E150+E153+E156+E159+E162+E165+E168+E171+E174+E178+E181+E184+E187+E190+E193+E196+E199+E202+E205+E208+E211+E214+E217+E220+E223+E226+E229+E232+E235+E239+E242+E245+E248+E251+E254+E257+E260+E263+E266+E269+E272+E275+E278+E281+E284+E287</f>
        <v>3640625</v>
      </c>
      <c r="F290" s="350">
        <f>F12+F15+F18+F21+F24+F27+F30+F33+F36+F39+F42+F45+F48+F51+F54+F57+F61+F63+F66+F69+F72+F75+F78+F81+F84+F87+F90+F93+F96+F99+F102+F105+F108+F111+F114+F117+F120+F123+F126+F129+F132+F135+F138+F141+F144+F147+F150+F153+F156+F159+F162+F165+F168+F171+F175+F178+F181+F184+F187+F190+F193+F196+F199+F202+F205+F208+F211+F214+F217+F220+F223+F226+F229+F232+F236+F239+F242+F245+F248+F251+F254+F257+F260+F263+F266+F269+F272+F275+F278+F281+F284+F287</f>
        <v>464508</v>
      </c>
      <c r="G290" s="349">
        <f>G12+G15+G18+G21+G24+G27+G30+G33+G36+G39+G42+G45+G48+G51+G54+G57+G61+G63+G66+G69+G72+G75+G78+G81+G84+G87+G90+G93+G96+G99+G102+G105+G108+G111+G114+G117+G120+G123+G126+G129+G132+G135+G138+G141+G144+G147+G150+G153+G156+G159+G162+G165+G168+G171+G175+G178+G181+G184+G187+G190+G193+G196+G199+G202+G205+G208+G211+G214+G217+G220+G223+G226+G229+G232+G236+G239+G242+G245+G248+G251+G254+G257+G260+G263+G266+G269+G272+G275+G278+G281+G284+G287</f>
        <v>138917</v>
      </c>
      <c r="H290" s="349">
        <f>H9+H12+H15+H18+H21+H24+H27+H30+H33+H36+H39+H42+H45+H48+H51+H54+H57+H60+H63+H66+H69+H72+H75+H78+H81+H84+H87+H90+H93+H96+H99+H102+H105+H108+H111+H114+H117+H120+H123+H126+H129+H132+H135+H138+H141+H144+H147+H150+H153+H156+H159+H162+H165+H168+H171+H175+H178+H181+H184+H187+H190+H193+H196+H199+H202+H205+H208+H211+H214+H217+H220+H223+H226+H229+H232+H236+H239+H242+H245+H248+H251+H254+H257+H260+H263+H266+H269+H272+H275+H278+H281+H284+H287</f>
        <v>803976</v>
      </c>
      <c r="I290" s="349">
        <f>I9+I12+I15+I18+I21+I24+I27+I30+I33+I36+I39+I42+I45+I48+I51+I54+I57+I61+I63+I66+I69+I72+I75+I78+I81+I84+I87+I90+I93+I96+I99+I102+I105+I108+I111+I114+I117+I120+I123+I126+I129+I132+I135+I138+I141+I144+I147+I150+I153+I156+I159+I162+I165+I168+I171+I175+I178+I181+I184+I187+I190+I193+I196+I199+I202+I205+I208+I211+I214+I217+I220+I223+I226+I229+I232+I236+I239+I242+I245+I248+I251+I254+I257+I260+I263+I266+I269+I272+I275+I278+I281+I284+I287</f>
        <v>616289</v>
      </c>
      <c r="J290" s="349">
        <f>J9+J12+J15+J18+J21+J24+J27+J30+J33+J36+J39+J42+J45+J48+J51+J54+J57+J60+J63+J66+J69+J72+J75+J78+J81+J84+J87+J90+J93+J96+J99+J102+J105+J108+J111+J114+J117+J120+J123+J126+J129+J132+J135+J138+J141+J144+J147+J150+J153+J156+J159+J162+J165+J168+J171+J175+J178+J181+J184+J187+J190+J193+J196+J199+J202+J205+J208+J211+J214+J217+J220+J223+J226+J229+J232+J236+J239+J242+J245+J248+J251+J254+J257+J260+J263+J266+J269+J272+J275+J278+J281+J284+J287</f>
        <v>170824</v>
      </c>
      <c r="K290" s="349">
        <f>K12+K15+K18+K21+K24+K27+K30+K33+K36+K39+K42+K45+K48+K51+K54+K57+K61+K63+K66+K69+K72+K75+K78+K81+K84+K87+K90+K93+K96+K99+K102+K105+K108+K111+K114+K117+K120+K123+K126+K129+K132+K135+K138+K141+K144+K147+K150+K153+K156+K159+K162+K165+K168+K171+K175+K178+K181+K184+K187+K190+K193+K196+K199+K202+K205+K208+K211+K214+K217+K220+K223+K226+K229+K232+K236+K239+K242+K245+K248+K251+K254+K257+K260+K263+K266+K269+K272+K275+K278+K281+K284+K287</f>
        <v>94116</v>
      </c>
      <c r="L290" s="349">
        <f>L9+L12+L15+L18+L21+L24+L27+L30+L33+L36+L39+L42+L45+L48+L51+L54+L57+L60+L63+L66+L69+L72+L75+L78+L81+L84+L87+L90+L93+L96+L99+L102+L105+L108+L111+L114+L117+L120+L123+L126+L129+L132+L135+L138+L141+L144+L147+L150+L153+L156+L159+L162+L165+L168+L171+L174+L178+L181+L184+L187+L190+L193+L196+L199+L202+L205+L208+L211+L214+L217+L220+L223+L226+L229+L232+L235+L239+L242+L245+L248+L251+L254+L257+L260+L263+L266+L269+L272+L275+L278+L281+L284+L287</f>
        <v>891542</v>
      </c>
      <c r="M290" s="349">
        <f>M12+M15+M18+M21+M24+M27+M30+M33+M36+M39+M42+M45+M48+M51+M54+M57+M61+M63+M66+M69+M72+M75+M78+M81+M84+M87+M90+M93+M96+M99+M102+M105+M108+M111+M114+M117+M120+M123+M126+M129+M132+M135+M138+M141+M144+M147+M150+M153+M156+M159+M162+M165+M168+M171+M175+M178+M181+M184+M187+M190+M193+M196+M199+M202+M205+M208+M211+M214+M217+M220+M223+M226+M229+M232+M236+M239+M242+M245+M248+M251+M254+M257+M260+M263+M266+M269+M272+M275+M278+M281+M284+M287</f>
        <v>303478</v>
      </c>
      <c r="N290" s="351">
        <f>N9+N12+N15+N18+N21+N24+N27+N30+N33+N36+N39+N42+N45+N48+N51+N54+N57+N60+N63+N66+N69+N72+N75+N78+N81+N84+N87+N90+N93+N96+N99+N102+N105+N108+N111+N114+N117+N120+N123+N126+N129+N132+N135+N138+N141+N144+N147+N150+N153+N156+N159+N162+N165+N168+N171+N174+N178+N181+N184+N187+N190+N193+N196+N199+N202+N205+N208+N211+N214+N217+N220+N223+N226+N229+N232+N236+N239+N242+N245+N248+N251+N254+N257+N260+N263+N266+N269+N272+N275+N278+N281+N284+N287</f>
        <v>156975</v>
      </c>
      <c r="O290" s="352"/>
      <c r="P290" s="352"/>
    </row>
    <row r="291" spans="1:16" s="359" customFormat="1" ht="12" customHeight="1">
      <c r="A291" s="354"/>
      <c r="B291" s="355"/>
      <c r="C291" s="356" t="s">
        <v>6</v>
      </c>
      <c r="D291" s="357">
        <f>SUM(D10+D13+D16+D19+D22+D25+D28+D31+D34+D37+D40+D43+D46+D49+D52+D55+D58+D61+D64+D67+D70+D73+D76+D79+D82+D85+D88+D91+D94+D97+D100+D103+D106+D109+D112+D115+D118+D121+D124+D127+D130+D133+D136+D139+D142+D145+D148+D151+D154+D157+D160+D163+D166+D169+D172+D175+D179+D182+D185+D188+D191+D194+D197+D200+D203+D206+D209+D212+D215+D218+D221+D224+D227+D230+D233+D236+D240+D243+D246+D249+D252+D255+D258+D261+D264+D267+D270+D273+D276+D279+D282+D285+D288)</f>
        <v>4741756</v>
      </c>
      <c r="E291" s="357">
        <v>2833586</v>
      </c>
      <c r="F291" s="357">
        <f>SUM(F10+F13+F16+F19+F22+F25+F28+F31+F34+F37+F40+F43+F46+F49+F52+F55+F58+F61+F64+F67+F70+F73+F76+F79+F82+F85+F88+F91+F94+F97+F100+F103+F106+F109+F112+F115+F118+F121+F124+F127+F130+F133+F136+F139+F142+F145+F148+F151+F154+F157+F160+F163+F166+F169+F172+F175+F179+F182+F185+F188+F191+F194+F197+F200+F203+F206+F209+F212+F215+F218+F221+F224+F227+F230+F233+F236+F240+F243+F246+F249+F252+F255+F258+F261+F264+F267+F270+F273+F279+F282+F285+F288)</f>
        <v>429171</v>
      </c>
      <c r="G291" s="357">
        <f>SUM(G10+G13+G16+G19+G22+G25+G28+G31+G34+G37+G40+G43+G46+G49+G52+G55+G58+G61+G64+G67+G70+G73+G76+G79+G82+G85+G88+G91+G94+G97+G100+G103+G106+G109+G112+G115+G118+G121+G124+G127+G130+G133+G136+G139+G142+G145+G148+G151+G154+G157+G160+G163+G166+G169+G172+G175+G179+G182+G185+G188+G191+G194+G197+G200+G203+G206+G209+G212+G215+G218+G221+G224+G227+G230+G233+G236+G240+G243+G246+G249+G252+G255+G258+G261+G264+G267+G270+G273+G279+G282+G285+G288)</f>
        <v>116295</v>
      </c>
      <c r="H291" s="357">
        <f>SUM(H10+H13+H16+H19+H22+H25+H28+H31+H34+H37+H40+H43+H46+H49+H52+H55+H58+H61+H64+H67+H70+H73+H76+H79+H82+H85+H88+H91+H94+H97+H100+H103+H106+H109+H112+H115+H118+H121+H124+H127+H130+H133+H136+H139+H142+H145+H148+H151+H154+H157+H160+H163+H166+H169+H172+H175+H179+H182+H185+H188+H191+H194+H197+H200+H203+H206+H209+H212+H215+H218+H221+H224+H227+H230+H233+H236+H240+H243+H246+H249+H252+H255+H258+H261+H264+H267+H270+H273+H276+H279+H282+H285+H288)</f>
        <v>762938</v>
      </c>
      <c r="I291" s="357">
        <f>SUM(I10+I13+I16+I19+I22+I25+I28+I31+I34+I37+I40+I43+I46+I49+I52+I55+I58+I61+I64+I67+I70+I73+I76+I79+I82+I85+I88+I91+I94+I97+I100+I103+I106+I109+I112+I115+I118+I121+I124+I127+I130+I133+I136+I139+I142+I145+I148+I151+I154+I157+I160+I163+I166+I169+I172+I175+I179+I182+I185+I188+I191+I194+I197+I200+I203+I206+I209+I212+I215+I218+I221+I224+I227+I230+I233+I236+I240+I243+I246+I249+I252+I255+I258+I261+I264+I267+I270+I273+I276+I279+I282+I285+I288)</f>
        <v>461608</v>
      </c>
      <c r="J291" s="357">
        <f>SUM(J10+J13+J16+J19+J22+J25+J28+J31+J34+J37+J40+J43+J46+J49+J52+J55+J58+J61+J64+J67+J70+J73+J76+J79+J82+J85+J88+J91+J94+J97+J100+J103+J106+J109+J112+J115+J118+J121+J124+J127+J130+J133+J136+J139+J142+J145+J148+J151+J154+J157+J160+J163+J166+J169+J172+J175+J179+J182+J185+J188+J191+J194+J197+J200+J203+J206+J209+J212+J215+J218+J221+J224+J227+J230+J233+J236+J240+J243+J246+J249+J252+J255+J258+J261+J264+J267+J270+J273+J279+J282+J285+J288)</f>
        <v>161500</v>
      </c>
      <c r="K291" s="357">
        <f>SUM(K10+K13+K16+K19+K22+K25+K28+K31+K34+K37+K40+K43+K46+K49+K52+K55+K58+K61+K64+K67+K70+K73+K76+K79+K82+K85+K88+K91+K94+K97+K100+K103+K106+K109+K112+K115+K118+K121+K124+K127+K130+K133+K136+K139+K142+K145+K148+K151+K154+K157+K160+K163+K166+K169+K172+K175+K179+K182+K185+K188+K191+K194+K197+K200+K203+K206+K209+K212+K215+K218+K221+K224+K227+K230+K233+K236+K240+K243+K246+K249+K252+K255+K258+K261+K264+K267+K270+K273+K279+K282+K285+K288)</f>
        <v>55321</v>
      </c>
      <c r="L291" s="357">
        <f>SUM(L10+L13+L16+L19+L22+L25+L28+L31+L34+L37+L40+L43+L46+L49+L52+L55+L58+L61+L64+L67+L70+L73+L76+L79+L82+L85+L88+L91+L94+L97+L100+L103+L106+L109+L112+L115+L118+L121+L124+L127+L130+L133+L136+L139+L142+L145+L148+L151+L154+L157+L160+L163+L166+L169+L172+L175+L179+L182+L185+L188+L191+L194+L197+L200+L203+L206+L209+L212+L215+L218+L221+L224+L227+L230+L233+L236+L240+L243+L246+L249+L252+L255+L258+L261+L264+L267+L270+L273+L276+L279+L282+L285+L288)</f>
        <v>558335</v>
      </c>
      <c r="M291" s="357">
        <f>SUM(M10+M13+M16+M19+M22+M25+M28+M31+M34+M37+M40+M43+M46+M49+M52+M55+M58+M61+M64+M67+M70+M73+M76+M79+M82+M85+M88+M91+M94+M97+M100+M103+M106+M109+M112+M115+M118+M121+M124+M127+M130+M133+M136+M139+M142+M145+M148+M151+M154+M157+M160+M163+M166+M169+M172+M175+M179+M182+M185+M188+M191+M194+M197+M200+M203+M206+M209+M212+M215+M218+M221+M224+M227+M230+M233+M236+M240+M243+M246+M249+M252+M255+M258+M261+M264+M267+M270+M273+M279+M282+M285+M288)</f>
        <v>288418</v>
      </c>
      <c r="N291" s="358">
        <f>SUM(N10+N13+N16+N19+N22+N25+N28+N31+N34+N37+N40+N43+N46+N49+N52+N55+N58+N61+N64+N67+N70+N73+N76+N79+N82+N85+N88+N91+N94+N97+N100+N103+N106+N109+N112+N115+N118+N121+N124+N127+N130+N133+N136+N139+N142+N145+N148+N151+N154+N157+N160+N163+N166+N169+N172+N175+N179+N182+N185+N188+N191+N194+N197+N200+N203+N206+N209+N212+N215+N218+N221+N224+N227+N230+N233+N236+N240+N243+N246+N249+N252+N255+N258+N261+N264+N267+N270+N273+N279+N282+N285+N288)</f>
        <v>0</v>
      </c>
      <c r="O291" s="339"/>
      <c r="P291" s="339"/>
    </row>
    <row r="292" spans="1:16" s="359" customFormat="1" ht="12" customHeight="1">
      <c r="A292" s="360"/>
      <c r="B292" s="361"/>
      <c r="C292" s="362"/>
      <c r="D292" s="363"/>
      <c r="E292" s="316"/>
      <c r="F292" s="364"/>
      <c r="G292" s="365"/>
      <c r="H292" s="365"/>
      <c r="I292" s="365"/>
      <c r="J292" s="365"/>
      <c r="K292" s="365"/>
      <c r="L292" s="365"/>
      <c r="M292" s="365"/>
      <c r="N292" s="366"/>
      <c r="O292" s="339"/>
      <c r="P292" s="339"/>
    </row>
    <row r="293" spans="1:16" s="370" customFormat="1" ht="12" customHeight="1">
      <c r="A293" s="340" t="s">
        <v>352</v>
      </c>
      <c r="B293" s="340"/>
      <c r="C293" s="341" t="s">
        <v>8</v>
      </c>
      <c r="D293" s="367">
        <v>3000</v>
      </c>
      <c r="E293" s="363">
        <f>SUM(F293:N293)</f>
        <v>21489</v>
      </c>
      <c r="F293" s="299">
        <v>12532</v>
      </c>
      <c r="G293" s="300">
        <v>2976</v>
      </c>
      <c r="H293" s="300">
        <v>5281</v>
      </c>
      <c r="I293" s="300">
        <v>700</v>
      </c>
      <c r="J293" s="368"/>
      <c r="K293" s="368"/>
      <c r="L293" s="368"/>
      <c r="M293" s="368"/>
      <c r="N293" s="369"/>
      <c r="O293" s="339"/>
      <c r="P293" s="339"/>
    </row>
    <row r="294" spans="1:14" s="370" customFormat="1" ht="12" customHeight="1">
      <c r="A294" s="340"/>
      <c r="B294" s="371"/>
      <c r="C294" s="341" t="s">
        <v>5</v>
      </c>
      <c r="D294" s="342">
        <v>3801</v>
      </c>
      <c r="E294" s="296">
        <v>22390</v>
      </c>
      <c r="F294" s="372">
        <v>12729</v>
      </c>
      <c r="G294" s="368">
        <v>3030</v>
      </c>
      <c r="H294" s="368">
        <v>5781</v>
      </c>
      <c r="I294" s="300">
        <v>700</v>
      </c>
      <c r="J294" s="300"/>
      <c r="K294" s="300"/>
      <c r="L294" s="300">
        <v>150</v>
      </c>
      <c r="M294" s="368"/>
      <c r="N294" s="369"/>
    </row>
    <row r="295" spans="1:14" s="370" customFormat="1" ht="12" customHeight="1">
      <c r="A295" s="340"/>
      <c r="B295" s="371"/>
      <c r="C295" s="341" t="s">
        <v>6</v>
      </c>
      <c r="D295" s="342">
        <v>3837</v>
      </c>
      <c r="E295" s="296">
        <v>15901</v>
      </c>
      <c r="F295" s="372">
        <v>9552</v>
      </c>
      <c r="G295" s="368">
        <v>2217</v>
      </c>
      <c r="H295" s="368">
        <v>3282</v>
      </c>
      <c r="I295" s="300">
        <v>700</v>
      </c>
      <c r="J295" s="300"/>
      <c r="K295" s="300"/>
      <c r="L295" s="300">
        <v>150</v>
      </c>
      <c r="M295" s="368"/>
      <c r="N295" s="369"/>
    </row>
    <row r="296" spans="1:14" s="370" customFormat="1" ht="12" customHeight="1">
      <c r="A296" s="373" t="s">
        <v>353</v>
      </c>
      <c r="B296" s="373"/>
      <c r="C296" s="289"/>
      <c r="D296" s="342"/>
      <c r="E296" s="291"/>
      <c r="F296" s="299"/>
      <c r="G296" s="300"/>
      <c r="H296" s="300"/>
      <c r="I296" s="300"/>
      <c r="J296" s="300"/>
      <c r="K296" s="300"/>
      <c r="L296" s="300"/>
      <c r="M296" s="300"/>
      <c r="N296" s="301"/>
    </row>
    <row r="297" spans="1:14" s="370" customFormat="1" ht="12" customHeight="1">
      <c r="A297" s="287" t="s">
        <v>354</v>
      </c>
      <c r="B297" s="288" t="s">
        <v>355</v>
      </c>
      <c r="C297" s="289" t="s">
        <v>8</v>
      </c>
      <c r="D297" s="290">
        <v>816</v>
      </c>
      <c r="E297" s="291">
        <v>816</v>
      </c>
      <c r="F297" s="299"/>
      <c r="G297" s="300"/>
      <c r="H297" s="300">
        <v>816</v>
      </c>
      <c r="I297" s="300"/>
      <c r="J297" s="300"/>
      <c r="K297" s="300"/>
      <c r="L297" s="300"/>
      <c r="M297" s="300"/>
      <c r="N297" s="301"/>
    </row>
    <row r="298" spans="1:14" s="370" customFormat="1" ht="12" customHeight="1">
      <c r="A298" s="287"/>
      <c r="B298" s="288"/>
      <c r="C298" s="289" t="s">
        <v>5</v>
      </c>
      <c r="D298" s="290">
        <v>1187</v>
      </c>
      <c r="E298" s="291">
        <v>1187</v>
      </c>
      <c r="F298" s="299"/>
      <c r="G298" s="300"/>
      <c r="H298" s="300">
        <v>1187</v>
      </c>
      <c r="I298" s="300"/>
      <c r="J298" s="300"/>
      <c r="K298" s="300"/>
      <c r="L298" s="300"/>
      <c r="M298" s="300"/>
      <c r="N298" s="301"/>
    </row>
    <row r="299" spans="1:14" s="370" customFormat="1" ht="12" customHeight="1">
      <c r="A299" s="287"/>
      <c r="B299" s="288"/>
      <c r="C299" s="289" t="s">
        <v>6</v>
      </c>
      <c r="D299" s="290">
        <v>1187</v>
      </c>
      <c r="E299" s="291">
        <v>1115</v>
      </c>
      <c r="F299" s="299"/>
      <c r="G299" s="300"/>
      <c r="H299" s="300">
        <v>1115</v>
      </c>
      <c r="I299" s="300"/>
      <c r="J299" s="300"/>
      <c r="K299" s="300"/>
      <c r="L299" s="300"/>
      <c r="M299" s="300"/>
      <c r="N299" s="301"/>
    </row>
    <row r="300" spans="1:14" s="370" customFormat="1" ht="12" customHeight="1">
      <c r="A300" s="287"/>
      <c r="B300" s="288"/>
      <c r="C300" s="289"/>
      <c r="D300" s="290"/>
      <c r="E300" s="291"/>
      <c r="F300" s="299"/>
      <c r="G300" s="300"/>
      <c r="H300" s="300"/>
      <c r="I300" s="300"/>
      <c r="J300" s="300"/>
      <c r="K300" s="300"/>
      <c r="L300" s="300"/>
      <c r="M300" s="300"/>
      <c r="N300" s="301"/>
    </row>
    <row r="301" spans="1:14" s="370" customFormat="1" ht="12" customHeight="1">
      <c r="A301" s="287" t="s">
        <v>354</v>
      </c>
      <c r="B301" s="288" t="s">
        <v>356</v>
      </c>
      <c r="C301" s="289" t="s">
        <v>8</v>
      </c>
      <c r="D301" s="290">
        <v>816</v>
      </c>
      <c r="E301" s="291">
        <v>816</v>
      </c>
      <c r="F301" s="299"/>
      <c r="G301" s="300"/>
      <c r="H301" s="300">
        <v>816</v>
      </c>
      <c r="I301" s="300"/>
      <c r="J301" s="300"/>
      <c r="K301" s="300"/>
      <c r="L301" s="300"/>
      <c r="M301" s="300"/>
      <c r="N301" s="301"/>
    </row>
    <row r="302" spans="1:14" s="286" customFormat="1" ht="12" customHeight="1">
      <c r="A302" s="287"/>
      <c r="B302" s="288"/>
      <c r="C302" s="289" t="s">
        <v>5</v>
      </c>
      <c r="D302" s="290">
        <v>946</v>
      </c>
      <c r="E302" s="291">
        <v>946</v>
      </c>
      <c r="F302" s="299"/>
      <c r="G302" s="300"/>
      <c r="H302" s="300">
        <v>946</v>
      </c>
      <c r="I302" s="300"/>
      <c r="J302" s="300"/>
      <c r="K302" s="300"/>
      <c r="L302" s="300"/>
      <c r="M302" s="300"/>
      <c r="N302" s="301"/>
    </row>
    <row r="303" spans="1:14" s="286" customFormat="1" ht="12" customHeight="1">
      <c r="A303" s="287"/>
      <c r="B303" s="288"/>
      <c r="C303" s="289" t="s">
        <v>6</v>
      </c>
      <c r="D303" s="290">
        <v>947</v>
      </c>
      <c r="E303" s="291">
        <v>858</v>
      </c>
      <c r="F303" s="299"/>
      <c r="G303" s="300"/>
      <c r="H303" s="300">
        <v>858</v>
      </c>
      <c r="I303" s="300"/>
      <c r="J303" s="300"/>
      <c r="K303" s="300"/>
      <c r="L303" s="300"/>
      <c r="M303" s="300"/>
      <c r="N303" s="301"/>
    </row>
    <row r="304" spans="1:14" s="286" customFormat="1" ht="12" customHeight="1">
      <c r="A304" s="287"/>
      <c r="B304" s="288"/>
      <c r="C304" s="289"/>
      <c r="D304" s="290"/>
      <c r="E304" s="291"/>
      <c r="F304" s="299"/>
      <c r="G304" s="300"/>
      <c r="H304" s="300"/>
      <c r="I304" s="300"/>
      <c r="J304" s="300"/>
      <c r="K304" s="300"/>
      <c r="L304" s="300"/>
      <c r="M304" s="300"/>
      <c r="N304" s="301"/>
    </row>
    <row r="305" spans="1:14" s="286" customFormat="1" ht="12" customHeight="1">
      <c r="A305" s="287" t="s">
        <v>354</v>
      </c>
      <c r="B305" s="288" t="s">
        <v>357</v>
      </c>
      <c r="C305" s="289" t="s">
        <v>8</v>
      </c>
      <c r="D305" s="290">
        <v>816</v>
      </c>
      <c r="E305" s="291">
        <v>816</v>
      </c>
      <c r="F305" s="299"/>
      <c r="G305" s="300"/>
      <c r="H305" s="300">
        <v>816</v>
      </c>
      <c r="I305" s="300"/>
      <c r="J305" s="300"/>
      <c r="K305" s="300"/>
      <c r="L305" s="300"/>
      <c r="M305" s="300"/>
      <c r="N305" s="301"/>
    </row>
    <row r="306" spans="1:14" s="286" customFormat="1" ht="12" customHeight="1">
      <c r="A306" s="287"/>
      <c r="B306" s="288"/>
      <c r="C306" s="289" t="s">
        <v>5</v>
      </c>
      <c r="D306" s="290">
        <v>552</v>
      </c>
      <c r="E306" s="291">
        <v>552</v>
      </c>
      <c r="F306" s="299"/>
      <c r="G306" s="300"/>
      <c r="H306" s="300">
        <v>552</v>
      </c>
      <c r="I306" s="300"/>
      <c r="J306" s="300"/>
      <c r="K306" s="300"/>
      <c r="L306" s="300"/>
      <c r="M306" s="300"/>
      <c r="N306" s="301"/>
    </row>
    <row r="307" spans="1:14" s="286" customFormat="1" ht="12" customHeight="1">
      <c r="A307" s="287"/>
      <c r="B307" s="288"/>
      <c r="C307" s="289" t="s">
        <v>6</v>
      </c>
      <c r="D307" s="290">
        <v>553</v>
      </c>
      <c r="E307" s="291">
        <v>528</v>
      </c>
      <c r="F307" s="299"/>
      <c r="G307" s="300"/>
      <c r="H307" s="300">
        <v>528</v>
      </c>
      <c r="I307" s="300"/>
      <c r="J307" s="300"/>
      <c r="K307" s="300"/>
      <c r="L307" s="300"/>
      <c r="M307" s="300"/>
      <c r="N307" s="301"/>
    </row>
    <row r="308" spans="1:14" s="286" customFormat="1" ht="12" customHeight="1">
      <c r="A308" s="287"/>
      <c r="B308" s="288"/>
      <c r="C308" s="289"/>
      <c r="D308" s="290"/>
      <c r="E308" s="291"/>
      <c r="F308" s="299"/>
      <c r="G308" s="300"/>
      <c r="H308" s="300"/>
      <c r="I308" s="300"/>
      <c r="J308" s="300"/>
      <c r="K308" s="300"/>
      <c r="L308" s="300"/>
      <c r="M308" s="300"/>
      <c r="N308" s="301"/>
    </row>
    <row r="309" spans="1:14" s="286" customFormat="1" ht="12" customHeight="1">
      <c r="A309" s="340" t="s">
        <v>358</v>
      </c>
      <c r="B309" s="340"/>
      <c r="C309" s="341" t="s">
        <v>8</v>
      </c>
      <c r="D309" s="342">
        <f aca="true" t="shared" si="4" ref="D309:N309">SUM(D297+D301+D305)</f>
        <v>2448</v>
      </c>
      <c r="E309" s="296">
        <f t="shared" si="4"/>
        <v>2448</v>
      </c>
      <c r="F309" s="372">
        <f t="shared" si="4"/>
        <v>0</v>
      </c>
      <c r="G309" s="368">
        <f t="shared" si="4"/>
        <v>0</v>
      </c>
      <c r="H309" s="368">
        <f t="shared" si="4"/>
        <v>2448</v>
      </c>
      <c r="I309" s="368">
        <f t="shared" si="4"/>
        <v>0</v>
      </c>
      <c r="J309" s="368">
        <f t="shared" si="4"/>
        <v>0</v>
      </c>
      <c r="K309" s="368">
        <f t="shared" si="4"/>
        <v>0</v>
      </c>
      <c r="L309" s="368">
        <f t="shared" si="4"/>
        <v>0</v>
      </c>
      <c r="M309" s="368">
        <f t="shared" si="4"/>
        <v>0</v>
      </c>
      <c r="N309" s="369">
        <f t="shared" si="4"/>
        <v>0</v>
      </c>
    </row>
    <row r="310" spans="1:17" s="286" customFormat="1" ht="12" customHeight="1">
      <c r="A310" s="340"/>
      <c r="B310" s="374"/>
      <c r="C310" s="341" t="s">
        <v>5</v>
      </c>
      <c r="D310" s="342">
        <f>D298+D302+D306</f>
        <v>2685</v>
      </c>
      <c r="E310" s="296">
        <f>E298+E302+E306</f>
        <v>2685</v>
      </c>
      <c r="F310" s="343">
        <f>F298+F307+F303</f>
        <v>0</v>
      </c>
      <c r="G310" s="296">
        <f>G298+G307+G303</f>
        <v>0</v>
      </c>
      <c r="H310" s="296">
        <f>H298+H302+H306</f>
        <v>2685</v>
      </c>
      <c r="I310" s="296">
        <f aca="true" t="shared" si="5" ref="I310:N310">I298+I307+I303</f>
        <v>0</v>
      </c>
      <c r="J310" s="296">
        <f t="shared" si="5"/>
        <v>0</v>
      </c>
      <c r="K310" s="296">
        <f t="shared" si="5"/>
        <v>0</v>
      </c>
      <c r="L310" s="296">
        <f t="shared" si="5"/>
        <v>0</v>
      </c>
      <c r="M310" s="296">
        <f t="shared" si="5"/>
        <v>0</v>
      </c>
      <c r="N310" s="344">
        <f t="shared" si="5"/>
        <v>0</v>
      </c>
      <c r="O310" s="304"/>
      <c r="P310" s="304"/>
      <c r="Q310" s="304"/>
    </row>
    <row r="311" spans="1:17" s="286" customFormat="1" ht="12" customHeight="1">
      <c r="A311" s="340"/>
      <c r="B311" s="374"/>
      <c r="C311" s="341" t="s">
        <v>6</v>
      </c>
      <c r="D311" s="342">
        <v>2687</v>
      </c>
      <c r="E311" s="296">
        <v>2501</v>
      </c>
      <c r="F311" s="343">
        <v>0</v>
      </c>
      <c r="G311" s="296">
        <v>0</v>
      </c>
      <c r="H311" s="296">
        <v>2501</v>
      </c>
      <c r="I311" s="296">
        <v>0</v>
      </c>
      <c r="J311" s="296">
        <v>0</v>
      </c>
      <c r="K311" s="296">
        <v>0</v>
      </c>
      <c r="L311" s="296">
        <v>0</v>
      </c>
      <c r="M311" s="296">
        <v>0</v>
      </c>
      <c r="N311" s="344">
        <v>0</v>
      </c>
      <c r="O311" s="304"/>
      <c r="P311" s="304"/>
      <c r="Q311" s="304"/>
    </row>
    <row r="312" spans="1:17" ht="12" customHeight="1">
      <c r="A312" s="340"/>
      <c r="B312" s="374"/>
      <c r="C312" s="341"/>
      <c r="D312" s="342"/>
      <c r="E312" s="296"/>
      <c r="F312" s="372"/>
      <c r="G312" s="368"/>
      <c r="H312" s="368"/>
      <c r="I312" s="368"/>
      <c r="J312" s="368"/>
      <c r="K312" s="368"/>
      <c r="L312" s="368"/>
      <c r="M312" s="368"/>
      <c r="N312" s="369"/>
      <c r="O312" s="265"/>
      <c r="P312" s="265"/>
      <c r="Q312" s="265"/>
    </row>
    <row r="313" spans="1:17" ht="12" customHeight="1">
      <c r="A313" s="340" t="s">
        <v>153</v>
      </c>
      <c r="B313" s="340"/>
      <c r="C313" s="341" t="s">
        <v>4</v>
      </c>
      <c r="D313" s="375">
        <f aca="true" t="shared" si="6" ref="D313:N313">SUM(D289+D293+D309)</f>
        <v>6698748</v>
      </c>
      <c r="E313" s="368">
        <f t="shared" si="6"/>
        <v>5301807</v>
      </c>
      <c r="F313" s="372">
        <f t="shared" si="6"/>
        <v>462182</v>
      </c>
      <c r="G313" s="368">
        <f t="shared" si="6"/>
        <v>137547</v>
      </c>
      <c r="H313" s="368">
        <f t="shared" si="6"/>
        <v>667910</v>
      </c>
      <c r="I313" s="368">
        <f t="shared" si="6"/>
        <v>631215</v>
      </c>
      <c r="J313" s="368">
        <f t="shared" si="6"/>
        <v>153115</v>
      </c>
      <c r="K313" s="368">
        <f t="shared" si="6"/>
        <v>99646</v>
      </c>
      <c r="L313" s="368">
        <f t="shared" si="6"/>
        <v>2517144</v>
      </c>
      <c r="M313" s="368">
        <f t="shared" si="6"/>
        <v>101777</v>
      </c>
      <c r="N313" s="369">
        <f t="shared" si="6"/>
        <v>531271</v>
      </c>
      <c r="O313" s="265"/>
      <c r="P313" s="265"/>
      <c r="Q313" s="265"/>
    </row>
    <row r="314" spans="1:14" s="379" customFormat="1" ht="12" customHeight="1">
      <c r="A314" s="376"/>
      <c r="B314" s="377"/>
      <c r="C314" s="378" t="s">
        <v>5</v>
      </c>
      <c r="D314" s="375">
        <f aca="true" t="shared" si="7" ref="D314:N314">D290+D294+D310</f>
        <v>5102814</v>
      </c>
      <c r="E314" s="375">
        <f t="shared" si="7"/>
        <v>3665700</v>
      </c>
      <c r="F314" s="375">
        <f t="shared" si="7"/>
        <v>477237</v>
      </c>
      <c r="G314" s="375">
        <f t="shared" si="7"/>
        <v>141947</v>
      </c>
      <c r="H314" s="375">
        <f t="shared" si="7"/>
        <v>812442</v>
      </c>
      <c r="I314" s="375">
        <f t="shared" si="7"/>
        <v>616989</v>
      </c>
      <c r="J314" s="375">
        <f t="shared" si="7"/>
        <v>170824</v>
      </c>
      <c r="K314" s="375">
        <f t="shared" si="7"/>
        <v>94116</v>
      </c>
      <c r="L314" s="375">
        <f t="shared" si="7"/>
        <v>891692</v>
      </c>
      <c r="M314" s="375">
        <f t="shared" si="7"/>
        <v>303478</v>
      </c>
      <c r="N314" s="369">
        <f t="shared" si="7"/>
        <v>156975</v>
      </c>
    </row>
    <row r="315" spans="1:14" s="379" customFormat="1" ht="12" customHeight="1">
      <c r="A315" s="376"/>
      <c r="B315" s="377"/>
      <c r="C315" s="378" t="s">
        <v>6</v>
      </c>
      <c r="D315" s="375">
        <v>4748280</v>
      </c>
      <c r="E315" s="368">
        <v>2851988</v>
      </c>
      <c r="F315" s="372">
        <v>438723</v>
      </c>
      <c r="G315" s="368">
        <v>118521</v>
      </c>
      <c r="H315" s="368">
        <v>768721</v>
      </c>
      <c r="I315" s="368">
        <v>462308</v>
      </c>
      <c r="J315" s="368">
        <v>161500</v>
      </c>
      <c r="K315" s="368">
        <v>55321</v>
      </c>
      <c r="L315" s="368">
        <v>558485</v>
      </c>
      <c r="M315" s="368">
        <v>288418</v>
      </c>
      <c r="N315" s="369">
        <v>0</v>
      </c>
    </row>
    <row r="316" spans="1:14" ht="12.75">
      <c r="A316" s="380"/>
      <c r="B316" s="381"/>
      <c r="C316" s="382"/>
      <c r="D316" s="383"/>
      <c r="E316" s="381"/>
      <c r="F316" s="332"/>
      <c r="G316" s="323"/>
      <c r="H316" s="323"/>
      <c r="I316" s="323"/>
      <c r="J316" s="323"/>
      <c r="K316" s="323"/>
      <c r="L316" s="323"/>
      <c r="M316" s="300"/>
      <c r="N316" s="384"/>
    </row>
    <row r="317" spans="1:14" ht="12.75">
      <c r="A317" s="385">
        <v>841126</v>
      </c>
      <c r="B317" s="381" t="s">
        <v>359</v>
      </c>
      <c r="C317" s="289" t="s">
        <v>8</v>
      </c>
      <c r="D317" s="386">
        <v>0</v>
      </c>
      <c r="E317" s="300">
        <v>0</v>
      </c>
      <c r="F317" s="299"/>
      <c r="G317" s="300"/>
      <c r="H317" s="300"/>
      <c r="I317" s="300"/>
      <c r="J317" s="300"/>
      <c r="K317" s="300"/>
      <c r="L317" s="300"/>
      <c r="M317" s="300"/>
      <c r="N317" s="301"/>
    </row>
    <row r="318" spans="1:14" ht="12.75">
      <c r="A318" s="380"/>
      <c r="B318" s="381"/>
      <c r="C318" s="387" t="s">
        <v>5</v>
      </c>
      <c r="D318" s="388">
        <v>0</v>
      </c>
      <c r="E318" s="381">
        <v>0</v>
      </c>
      <c r="F318" s="332"/>
      <c r="G318" s="323"/>
      <c r="H318" s="323"/>
      <c r="I318" s="323"/>
      <c r="J318" s="323"/>
      <c r="K318" s="323"/>
      <c r="L318" s="323"/>
      <c r="M318" s="300"/>
      <c r="N318" s="384"/>
    </row>
    <row r="319" spans="1:14" ht="12.75">
      <c r="A319" s="380"/>
      <c r="B319" s="381"/>
      <c r="C319" s="387" t="s">
        <v>6</v>
      </c>
      <c r="D319" s="388"/>
      <c r="E319" s="381"/>
      <c r="F319" s="332"/>
      <c r="G319" s="323"/>
      <c r="H319" s="323"/>
      <c r="I319" s="323"/>
      <c r="J319" s="323"/>
      <c r="K319" s="323"/>
      <c r="L319" s="323"/>
      <c r="M319" s="300"/>
      <c r="N319" s="384"/>
    </row>
    <row r="320" spans="1:14" ht="12.75">
      <c r="A320" s="380"/>
      <c r="B320" s="381"/>
      <c r="C320" s="382"/>
      <c r="D320" s="383"/>
      <c r="E320" s="381"/>
      <c r="F320" s="332"/>
      <c r="G320" s="323"/>
      <c r="H320" s="323"/>
      <c r="I320" s="323"/>
      <c r="J320" s="323"/>
      <c r="K320" s="323"/>
      <c r="L320" s="323"/>
      <c r="M320" s="300"/>
      <c r="N320" s="384"/>
    </row>
    <row r="321" spans="1:14" ht="12.75">
      <c r="A321" s="340" t="s">
        <v>153</v>
      </c>
      <c r="B321" s="340"/>
      <c r="C321" s="341" t="s">
        <v>4</v>
      </c>
      <c r="D321" s="375">
        <f aca="true" t="shared" si="8" ref="D321:N321">SUM(D289+D293+D309+D317)</f>
        <v>6698748</v>
      </c>
      <c r="E321" s="368">
        <f t="shared" si="8"/>
        <v>5301807</v>
      </c>
      <c r="F321" s="372">
        <f t="shared" si="8"/>
        <v>462182</v>
      </c>
      <c r="G321" s="368">
        <f t="shared" si="8"/>
        <v>137547</v>
      </c>
      <c r="H321" s="368">
        <f t="shared" si="8"/>
        <v>667910</v>
      </c>
      <c r="I321" s="368">
        <f t="shared" si="8"/>
        <v>631215</v>
      </c>
      <c r="J321" s="368">
        <f t="shared" si="8"/>
        <v>153115</v>
      </c>
      <c r="K321" s="368">
        <f t="shared" si="8"/>
        <v>99646</v>
      </c>
      <c r="L321" s="368">
        <f t="shared" si="8"/>
        <v>2517144</v>
      </c>
      <c r="M321" s="368">
        <f t="shared" si="8"/>
        <v>101777</v>
      </c>
      <c r="N321" s="369">
        <f t="shared" si="8"/>
        <v>531271</v>
      </c>
    </row>
    <row r="322" spans="1:14" s="390" customFormat="1" ht="12.75">
      <c r="A322" s="376"/>
      <c r="B322" s="389"/>
      <c r="C322" s="378" t="s">
        <v>5</v>
      </c>
      <c r="D322" s="375">
        <f aca="true" t="shared" si="9" ref="D322:N322">SUM(D290+D294+D310+D318)</f>
        <v>5102814</v>
      </c>
      <c r="E322" s="368">
        <f t="shared" si="9"/>
        <v>3665700</v>
      </c>
      <c r="F322" s="372">
        <f t="shared" si="9"/>
        <v>477237</v>
      </c>
      <c r="G322" s="368">
        <f t="shared" si="9"/>
        <v>141947</v>
      </c>
      <c r="H322" s="368">
        <f t="shared" si="9"/>
        <v>812442</v>
      </c>
      <c r="I322" s="368">
        <f t="shared" si="9"/>
        <v>616989</v>
      </c>
      <c r="J322" s="368">
        <f t="shared" si="9"/>
        <v>170824</v>
      </c>
      <c r="K322" s="368">
        <f t="shared" si="9"/>
        <v>94116</v>
      </c>
      <c r="L322" s="368">
        <f t="shared" si="9"/>
        <v>891692</v>
      </c>
      <c r="M322" s="368">
        <f t="shared" si="9"/>
        <v>303478</v>
      </c>
      <c r="N322" s="369">
        <f t="shared" si="9"/>
        <v>156975</v>
      </c>
    </row>
    <row r="323" spans="1:14" s="396" customFormat="1" ht="13.5">
      <c r="A323" s="391"/>
      <c r="B323" s="392"/>
      <c r="C323" s="393" t="s">
        <v>6</v>
      </c>
      <c r="D323" s="394">
        <f aca="true" t="shared" si="10" ref="D323:N323">SUM(D291,D295,D311)</f>
        <v>4748280</v>
      </c>
      <c r="E323" s="394">
        <f t="shared" si="10"/>
        <v>2851988</v>
      </c>
      <c r="F323" s="394">
        <f t="shared" si="10"/>
        <v>438723</v>
      </c>
      <c r="G323" s="394">
        <f t="shared" si="10"/>
        <v>118512</v>
      </c>
      <c r="H323" s="394">
        <f t="shared" si="10"/>
        <v>768721</v>
      </c>
      <c r="I323" s="394">
        <f t="shared" si="10"/>
        <v>462308</v>
      </c>
      <c r="J323" s="394">
        <f t="shared" si="10"/>
        <v>161500</v>
      </c>
      <c r="K323" s="394">
        <f t="shared" si="10"/>
        <v>55321</v>
      </c>
      <c r="L323" s="394">
        <f t="shared" si="10"/>
        <v>558485</v>
      </c>
      <c r="M323" s="394">
        <f t="shared" si="10"/>
        <v>288418</v>
      </c>
      <c r="N323" s="395">
        <f t="shared" si="10"/>
        <v>0</v>
      </c>
    </row>
  </sheetData>
  <sheetProtection selectLockedCells="1" selectUnlockedCells="1"/>
  <mergeCells count="22">
    <mergeCell ref="A2:N2"/>
    <mergeCell ref="A3:N3"/>
    <mergeCell ref="A5:C7"/>
    <mergeCell ref="D5:D7"/>
    <mergeCell ref="E5:E7"/>
    <mergeCell ref="F5:J5"/>
    <mergeCell ref="K5:L5"/>
    <mergeCell ref="M5:M7"/>
    <mergeCell ref="N5:N7"/>
    <mergeCell ref="F6:F7"/>
    <mergeCell ref="G6:G7"/>
    <mergeCell ref="H6:H7"/>
    <mergeCell ref="I6:I7"/>
    <mergeCell ref="J6:J7"/>
    <mergeCell ref="K6:K7"/>
    <mergeCell ref="L6:L7"/>
    <mergeCell ref="A289:B289"/>
    <mergeCell ref="A293:B293"/>
    <mergeCell ref="A296:B296"/>
    <mergeCell ref="A309:B309"/>
    <mergeCell ref="A313:B313"/>
    <mergeCell ref="A321:B321"/>
  </mergeCells>
  <printOptions horizontalCentered="1"/>
  <pageMargins left="0.19652777777777777" right="0.15763888888888888" top="0.7479166666666667" bottom="0.15763888888888888" header="0.5513888888888889" footer="0.5118055555555555"/>
  <pageSetup horizontalDpi="300" verticalDpi="300" orientation="landscape" paperSize="9" scale="68"/>
  <headerFooter alignWithMargins="0">
    <oddHeader>&amp;L5. melléklet a 15/2012.(IV.27.) önkormányzati rendelethez</oddHeader>
  </headerFooter>
  <rowBreaks count="5" manualBreakCount="5">
    <brk id="61" max="255" man="1"/>
    <brk id="118" max="255" man="1"/>
    <brk id="176" max="255" man="1"/>
    <brk id="237" max="255" man="1"/>
    <brk id="29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78"/>
  <sheetViews>
    <sheetView zoomScaleSheetLayoutView="75" workbookViewId="0" topLeftCell="A1">
      <pane xSplit="2" ySplit="1" topLeftCell="C58" activePane="bottomRight" state="frozen"/>
      <selection pane="topLeft" activeCell="A1" sqref="A1"/>
      <selection pane="topRight" activeCell="C1" sqref="C1"/>
      <selection pane="bottomLeft" activeCell="A58" sqref="A58"/>
      <selection pane="bottomRight" activeCell="N171" sqref="N171"/>
    </sheetView>
  </sheetViews>
  <sheetFormatPr defaultColWidth="9.00390625" defaultRowHeight="12.75" zeroHeight="1"/>
  <cols>
    <col min="1" max="1" width="23.375" style="0" customWidth="1"/>
    <col min="2" max="2" width="10.00390625" style="0" customWidth="1"/>
    <col min="3" max="3" width="9.375" style="0" customWidth="1"/>
    <col min="4" max="4" width="10.875" style="0" customWidth="1"/>
    <col min="5" max="5" width="8.75390625" style="0" customWidth="1"/>
    <col min="6" max="6" width="8.25390625" style="0" customWidth="1"/>
    <col min="13" max="13" width="9.25390625" style="0" customWidth="1"/>
    <col min="14" max="14" width="10.375" style="0" customWidth="1"/>
    <col min="15" max="15" width="10.25390625" style="0" customWidth="1"/>
    <col min="16" max="17" width="9.875" style="397" customWidth="1"/>
    <col min="18" max="18" width="10.125" style="0" customWidth="1"/>
    <col min="19" max="19" width="9.625" style="0" customWidth="1"/>
    <col min="20" max="20" width="8.875" style="0" customWidth="1"/>
    <col min="21" max="21" width="9.375" style="0" customWidth="1"/>
    <col min="22" max="22" width="8.25390625" style="0" customWidth="1"/>
    <col min="23" max="23" width="8.375" style="0" customWidth="1"/>
    <col min="24" max="24" width="12.25390625" style="0" customWidth="1"/>
    <col min="25" max="26" width="0" style="0" hidden="1" customWidth="1"/>
  </cols>
  <sheetData>
    <row r="1" spans="1:24" ht="12.75">
      <c r="A1" s="398"/>
      <c r="B1" s="398"/>
      <c r="C1" s="398" t="s">
        <v>360</v>
      </c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9" t="s">
        <v>361</v>
      </c>
      <c r="P1" s="399"/>
      <c r="Q1" s="399"/>
      <c r="R1" s="399"/>
      <c r="S1" s="399"/>
      <c r="T1" s="399"/>
      <c r="U1" s="399"/>
      <c r="V1" s="399"/>
      <c r="W1" s="399"/>
      <c r="X1" s="399"/>
    </row>
    <row r="2" spans="1:24" ht="12.75" customHeight="1">
      <c r="A2" s="400" t="s">
        <v>362</v>
      </c>
      <c r="B2" s="400"/>
      <c r="C2" s="400" t="s">
        <v>363</v>
      </c>
      <c r="D2" s="400" t="s">
        <v>364</v>
      </c>
      <c r="E2" s="400" t="s">
        <v>365</v>
      </c>
      <c r="F2" s="400" t="s">
        <v>366</v>
      </c>
      <c r="G2" s="400" t="s">
        <v>367</v>
      </c>
      <c r="H2" s="400"/>
      <c r="I2" s="400" t="s">
        <v>368</v>
      </c>
      <c r="J2" s="400"/>
      <c r="K2" s="400" t="s">
        <v>369</v>
      </c>
      <c r="L2" s="400" t="s">
        <v>370</v>
      </c>
      <c r="M2" s="400"/>
      <c r="N2" s="400" t="s">
        <v>371</v>
      </c>
      <c r="O2" s="401" t="s">
        <v>249</v>
      </c>
      <c r="P2" s="401"/>
      <c r="Q2" s="401"/>
      <c r="R2" s="401"/>
      <c r="S2" s="401"/>
      <c r="T2" s="401"/>
      <c r="U2" s="401"/>
      <c r="V2" s="401" t="s">
        <v>250</v>
      </c>
      <c r="W2" s="401"/>
      <c r="X2" s="400" t="s">
        <v>372</v>
      </c>
    </row>
    <row r="3" spans="1:26" ht="51" customHeight="1">
      <c r="A3" s="400"/>
      <c r="B3" s="400"/>
      <c r="C3" s="400"/>
      <c r="D3" s="400"/>
      <c r="E3" s="400"/>
      <c r="F3" s="400"/>
      <c r="G3" s="400" t="s">
        <v>373</v>
      </c>
      <c r="H3" s="400" t="s">
        <v>374</v>
      </c>
      <c r="I3" s="400" t="s">
        <v>373</v>
      </c>
      <c r="J3" s="400" t="s">
        <v>374</v>
      </c>
      <c r="K3" s="400"/>
      <c r="L3" s="400" t="s">
        <v>375</v>
      </c>
      <c r="M3" s="400" t="s">
        <v>376</v>
      </c>
      <c r="N3" s="400"/>
      <c r="O3" s="400" t="s">
        <v>110</v>
      </c>
      <c r="P3" s="400" t="s">
        <v>377</v>
      </c>
      <c r="Q3" s="400" t="s">
        <v>378</v>
      </c>
      <c r="R3" s="400" t="s">
        <v>379</v>
      </c>
      <c r="S3" s="400" t="s">
        <v>380</v>
      </c>
      <c r="T3" s="400" t="s">
        <v>381</v>
      </c>
      <c r="U3" s="400" t="s">
        <v>382</v>
      </c>
      <c r="V3" s="400" t="s">
        <v>156</v>
      </c>
      <c r="W3" s="400" t="s">
        <v>158</v>
      </c>
      <c r="X3" s="400"/>
      <c r="Z3" s="402" t="s">
        <v>383</v>
      </c>
    </row>
    <row r="4" spans="1:26" ht="11.25" customHeight="1">
      <c r="A4" s="403">
        <f>'[2]Eredeti Ft'!A4</f>
        <v>0</v>
      </c>
      <c r="B4" s="404">
        <f>'[2]Eredeti Ft'!B4</f>
        <v>0</v>
      </c>
      <c r="C4" s="405">
        <f>ROUND('[2]Eredeti Ft'!C4,-3)/1000</f>
        <v>6203</v>
      </c>
      <c r="D4" s="405">
        <f>ROUND('[2]Eredeti Ft'!D4,-3)/1000</f>
        <v>4470</v>
      </c>
      <c r="E4" s="405">
        <f>ROUND('[2]Eredeti Ft'!E4,-3)/1000</f>
        <v>1551</v>
      </c>
      <c r="F4" s="405">
        <f>ROUND('[2]Eredeti Ft'!F4,-3)/1000</f>
        <v>0</v>
      </c>
      <c r="G4" s="405">
        <f>ROUND('[2]Eredeti Ft'!G4,-3)/1000</f>
        <v>0</v>
      </c>
      <c r="H4" s="405">
        <f>ROUND('[2]Eredeti Ft'!H4,-3)/1000</f>
        <v>0</v>
      </c>
      <c r="I4" s="405">
        <f>ROUND('[2]Eredeti Ft'!I4,-3)/1000</f>
        <v>0</v>
      </c>
      <c r="J4" s="405">
        <f>ROUND('[2]Eredeti Ft'!J4,-3)/1000</f>
        <v>0</v>
      </c>
      <c r="K4" s="405">
        <f>ROUND('[2]Eredeti Ft'!K4,-3)/1000</f>
        <v>0</v>
      </c>
      <c r="L4" s="405">
        <f>ROUND('[2]Eredeti Ft'!L4,-3)/1000</f>
        <v>0</v>
      </c>
      <c r="M4" s="405">
        <f>ROUND('[2]Eredeti Ft'!M4,-3)/1000</f>
        <v>0</v>
      </c>
      <c r="N4" s="405">
        <f aca="true" t="shared" si="0" ref="N4:N67">SUM(C4:M4)-D4</f>
        <v>7754</v>
      </c>
      <c r="O4" s="405">
        <f>ROUND('[2]Eredeti Ft'!O4,-3)/1000</f>
        <v>37169</v>
      </c>
      <c r="P4" s="406">
        <f>ROUND('[2]Eredeti Ft'!P4,-3)/1000-1</f>
        <v>9865</v>
      </c>
      <c r="Q4" s="406">
        <f>ROUND('[2]Eredeti Ft'!Q4,-3)/1000</f>
        <v>12933</v>
      </c>
      <c r="R4" s="405">
        <f>ROUND('[2]Eredeti Ft'!R4,-3)/1000</f>
        <v>5631</v>
      </c>
      <c r="S4" s="405">
        <f>ROUND('[2]Eredeti Ft'!S4,-3)/1000</f>
        <v>0</v>
      </c>
      <c r="T4" s="405"/>
      <c r="U4" s="405">
        <f>ROUND('[2]Eredeti Ft'!T4,-3)/1000</f>
        <v>0</v>
      </c>
      <c r="V4" s="405">
        <f>ROUND('[2]Eredeti Ft'!U4,-3)/1000</f>
        <v>0</v>
      </c>
      <c r="W4" s="405">
        <f>ROUND('[2]Eredeti Ft'!V4,-3)/1000</f>
        <v>0</v>
      </c>
      <c r="X4" s="405">
        <f aca="true" t="shared" si="1" ref="X4:X127">SUM(O4:W4)-R4</f>
        <v>59967</v>
      </c>
      <c r="Z4" s="211">
        <f>SUM(O4:W4)-R4</f>
        <v>59967</v>
      </c>
    </row>
    <row r="5" spans="1:26" ht="10.5" customHeight="1">
      <c r="A5" s="403"/>
      <c r="B5" s="404" t="s">
        <v>384</v>
      </c>
      <c r="C5" s="405">
        <f aca="true" t="shared" si="2" ref="C5:K8">C4</f>
        <v>6203</v>
      </c>
      <c r="D5" s="405">
        <f t="shared" si="2"/>
        <v>4470</v>
      </c>
      <c r="E5" s="405">
        <f t="shared" si="2"/>
        <v>1551</v>
      </c>
      <c r="F5" s="405">
        <f t="shared" si="2"/>
        <v>0</v>
      </c>
      <c r="G5" s="405">
        <f t="shared" si="2"/>
        <v>0</v>
      </c>
      <c r="H5" s="405">
        <f t="shared" si="2"/>
        <v>0</v>
      </c>
      <c r="I5" s="405">
        <f t="shared" si="2"/>
        <v>0</v>
      </c>
      <c r="J5" s="405">
        <f t="shared" si="2"/>
        <v>0</v>
      </c>
      <c r="K5" s="405">
        <f t="shared" si="2"/>
        <v>0</v>
      </c>
      <c r="L5" s="405">
        <f>L4+630</f>
        <v>630</v>
      </c>
      <c r="M5" s="405">
        <f>M4</f>
        <v>0</v>
      </c>
      <c r="N5" s="405">
        <f t="shared" si="0"/>
        <v>8384</v>
      </c>
      <c r="O5" s="405">
        <f>O4+163</f>
        <v>37332</v>
      </c>
      <c r="P5" s="406">
        <f>P4+44</f>
        <v>9909</v>
      </c>
      <c r="Q5" s="406">
        <f>Q4+630</f>
        <v>13563</v>
      </c>
      <c r="R5" s="405">
        <f>R4</f>
        <v>5631</v>
      </c>
      <c r="S5" s="405">
        <f>S4</f>
        <v>0</v>
      </c>
      <c r="T5" s="405"/>
      <c r="U5" s="405">
        <f>U4</f>
        <v>0</v>
      </c>
      <c r="V5" s="405">
        <f>V4</f>
        <v>0</v>
      </c>
      <c r="W5" s="405">
        <f>W4</f>
        <v>0</v>
      </c>
      <c r="X5" s="405">
        <f t="shared" si="1"/>
        <v>60804</v>
      </c>
      <c r="Z5" s="211"/>
    </row>
    <row r="6" spans="1:26" ht="11.25" customHeight="1">
      <c r="A6" s="403"/>
      <c r="B6" s="404" t="s">
        <v>385</v>
      </c>
      <c r="C6" s="405">
        <f t="shared" si="2"/>
        <v>6203</v>
      </c>
      <c r="D6" s="405">
        <f t="shared" si="2"/>
        <v>4470</v>
      </c>
      <c r="E6" s="405">
        <f t="shared" si="2"/>
        <v>1551</v>
      </c>
      <c r="F6" s="405">
        <f t="shared" si="2"/>
        <v>0</v>
      </c>
      <c r="G6" s="405">
        <f t="shared" si="2"/>
        <v>0</v>
      </c>
      <c r="H6" s="405">
        <f t="shared" si="2"/>
        <v>0</v>
      </c>
      <c r="I6" s="405">
        <f t="shared" si="2"/>
        <v>0</v>
      </c>
      <c r="J6" s="405">
        <f t="shared" si="2"/>
        <v>0</v>
      </c>
      <c r="K6" s="405">
        <f t="shared" si="2"/>
        <v>0</v>
      </c>
      <c r="L6" s="405">
        <f>L5</f>
        <v>630</v>
      </c>
      <c r="M6" s="405">
        <f>M5</f>
        <v>0</v>
      </c>
      <c r="N6" s="405">
        <f t="shared" si="0"/>
        <v>8384</v>
      </c>
      <c r="O6" s="405">
        <f>O5+279+57</f>
        <v>37668</v>
      </c>
      <c r="P6" s="406">
        <f>P5+75</f>
        <v>9984</v>
      </c>
      <c r="Q6" s="406">
        <f>Q5+100</f>
        <v>13663</v>
      </c>
      <c r="R6" s="405">
        <f aca="true" t="shared" si="3" ref="R6:U7">R5</f>
        <v>5631</v>
      </c>
      <c r="S6" s="405">
        <f t="shared" si="3"/>
        <v>0</v>
      </c>
      <c r="T6" s="405"/>
      <c r="U6" s="405">
        <f t="shared" si="3"/>
        <v>0</v>
      </c>
      <c r="V6" s="405">
        <v>500</v>
      </c>
      <c r="W6" s="405">
        <f>W5</f>
        <v>0</v>
      </c>
      <c r="X6" s="405">
        <f t="shared" si="1"/>
        <v>61815</v>
      </c>
      <c r="Z6" s="211"/>
    </row>
    <row r="7" spans="1:26" s="407" customFormat="1" ht="12.75" customHeight="1">
      <c r="A7" s="403"/>
      <c r="B7" s="404" t="s">
        <v>386</v>
      </c>
      <c r="C7" s="405">
        <f t="shared" si="2"/>
        <v>6203</v>
      </c>
      <c r="D7" s="405">
        <f t="shared" si="2"/>
        <v>4470</v>
      </c>
      <c r="E7" s="405">
        <f t="shared" si="2"/>
        <v>1551</v>
      </c>
      <c r="F7" s="405">
        <f t="shared" si="2"/>
        <v>0</v>
      </c>
      <c r="G7" s="405">
        <f t="shared" si="2"/>
        <v>0</v>
      </c>
      <c r="H7" s="405">
        <f t="shared" si="2"/>
        <v>0</v>
      </c>
      <c r="I7" s="405">
        <f t="shared" si="2"/>
        <v>0</v>
      </c>
      <c r="J7" s="405">
        <f t="shared" si="2"/>
        <v>0</v>
      </c>
      <c r="K7" s="405">
        <f t="shared" si="2"/>
        <v>0</v>
      </c>
      <c r="L7" s="405">
        <f>L6</f>
        <v>630</v>
      </c>
      <c r="M7" s="405">
        <f>M6</f>
        <v>0</v>
      </c>
      <c r="N7" s="405">
        <f t="shared" si="0"/>
        <v>8384</v>
      </c>
      <c r="O7" s="405">
        <f>O6+116</f>
        <v>37784</v>
      </c>
      <c r="P7" s="406">
        <f>P6+32</f>
        <v>10016</v>
      </c>
      <c r="Q7" s="406">
        <f>Q6</f>
        <v>13663</v>
      </c>
      <c r="R7" s="405">
        <f t="shared" si="3"/>
        <v>5631</v>
      </c>
      <c r="S7" s="405">
        <f t="shared" si="3"/>
        <v>0</v>
      </c>
      <c r="T7" s="405"/>
      <c r="U7" s="405">
        <f t="shared" si="3"/>
        <v>0</v>
      </c>
      <c r="V7" s="405">
        <v>500</v>
      </c>
      <c r="W7" s="405">
        <f>W6</f>
        <v>0</v>
      </c>
      <c r="X7" s="405">
        <f>SUM(O7:W7)-R7</f>
        <v>61963</v>
      </c>
      <c r="Z7" s="408"/>
    </row>
    <row r="8" spans="1:26" s="407" customFormat="1" ht="11.25" customHeight="1">
      <c r="A8" s="403"/>
      <c r="B8" s="404" t="s">
        <v>387</v>
      </c>
      <c r="C8" s="405">
        <f>C7+1107</f>
        <v>7310</v>
      </c>
      <c r="D8" s="405">
        <f t="shared" si="2"/>
        <v>4470</v>
      </c>
      <c r="E8" s="405">
        <f>E7+276</f>
        <v>1827</v>
      </c>
      <c r="F8" s="405">
        <f t="shared" si="2"/>
        <v>0</v>
      </c>
      <c r="G8" s="405">
        <f t="shared" si="2"/>
        <v>0</v>
      </c>
      <c r="H8" s="405">
        <f t="shared" si="2"/>
        <v>0</v>
      </c>
      <c r="I8" s="405">
        <f t="shared" si="2"/>
        <v>0</v>
      </c>
      <c r="J8" s="405">
        <f t="shared" si="2"/>
        <v>0</v>
      </c>
      <c r="K8" s="405">
        <f t="shared" si="2"/>
        <v>0</v>
      </c>
      <c r="L8" s="405">
        <f>L7</f>
        <v>630</v>
      </c>
      <c r="M8" s="405">
        <f>M7</f>
        <v>0</v>
      </c>
      <c r="N8" s="405">
        <f>SUM(C8:M8)-D8</f>
        <v>9767</v>
      </c>
      <c r="O8" s="405">
        <f>O7-9</f>
        <v>37775</v>
      </c>
      <c r="P8" s="406">
        <f>P7+16</f>
        <v>10032</v>
      </c>
      <c r="Q8" s="406">
        <f>Q7+1383</f>
        <v>15046</v>
      </c>
      <c r="R8" s="405">
        <f>R7</f>
        <v>5631</v>
      </c>
      <c r="S8" s="405">
        <f>S7</f>
        <v>0</v>
      </c>
      <c r="T8" s="405"/>
      <c r="U8" s="405">
        <f>U7</f>
        <v>0</v>
      </c>
      <c r="V8" s="405">
        <v>500</v>
      </c>
      <c r="W8" s="405">
        <f>W7</f>
        <v>0</v>
      </c>
      <c r="X8" s="405">
        <f>SUM(O8:W8)-R8</f>
        <v>63353</v>
      </c>
      <c r="Z8" s="408"/>
    </row>
    <row r="9" spans="1:26" s="407" customFormat="1" ht="11.25" customHeight="1">
      <c r="A9" s="403"/>
      <c r="B9" s="404" t="s">
        <v>388</v>
      </c>
      <c r="C9" s="405">
        <v>7317</v>
      </c>
      <c r="D9" s="405">
        <v>4978</v>
      </c>
      <c r="E9" s="405">
        <v>1827</v>
      </c>
      <c r="F9" s="405"/>
      <c r="G9" s="405"/>
      <c r="H9" s="405"/>
      <c r="I9" s="405"/>
      <c r="J9" s="405"/>
      <c r="K9" s="405"/>
      <c r="L9" s="405">
        <v>630</v>
      </c>
      <c r="M9" s="405"/>
      <c r="N9" s="405">
        <f>SUM(C9:M9)-D9</f>
        <v>9774</v>
      </c>
      <c r="O9" s="405">
        <v>37699</v>
      </c>
      <c r="P9" s="406">
        <v>9999</v>
      </c>
      <c r="Q9" s="406">
        <v>14934</v>
      </c>
      <c r="R9" s="405">
        <v>5631</v>
      </c>
      <c r="S9" s="405"/>
      <c r="T9" s="405"/>
      <c r="U9" s="405"/>
      <c r="V9" s="405">
        <v>500</v>
      </c>
      <c r="W9" s="405"/>
      <c r="X9" s="405">
        <f>SUM(O9:W9)-R9</f>
        <v>63132</v>
      </c>
      <c r="Z9" s="408"/>
    </row>
    <row r="10" spans="1:26" ht="12.75">
      <c r="A10" s="403">
        <f>'[2]Eredeti Ft'!A7</f>
        <v>0</v>
      </c>
      <c r="B10" s="404">
        <f>'[2]Eredeti Ft'!B7</f>
        <v>0</v>
      </c>
      <c r="C10" s="405">
        <f>ROUND('[2]Eredeti Ft'!C7,-3)/1000</f>
        <v>3058</v>
      </c>
      <c r="D10" s="405">
        <f>ROUND('[2]Eredeti Ft'!D7,-3)/1000</f>
        <v>2487</v>
      </c>
      <c r="E10" s="405">
        <f>ROUND('[2]Eredeti Ft'!E7,-3)/1000</f>
        <v>765</v>
      </c>
      <c r="F10" s="405">
        <f>ROUND('[2]Eredeti Ft'!F7,-3)/1000</f>
        <v>0</v>
      </c>
      <c r="G10" s="405">
        <f>ROUND('[2]Eredeti Ft'!G7,-3)/1000</f>
        <v>0</v>
      </c>
      <c r="H10" s="405">
        <f>ROUND('[2]Eredeti Ft'!H7,-3)/1000</f>
        <v>0</v>
      </c>
      <c r="I10" s="405">
        <f>ROUND('[2]Eredeti Ft'!I7,-3)/1000</f>
        <v>0</v>
      </c>
      <c r="J10" s="405">
        <f>ROUND('[2]Eredeti Ft'!J7,-3)/1000</f>
        <v>0</v>
      </c>
      <c r="K10" s="405">
        <f>ROUND('[2]Eredeti Ft'!K7,-3)/1000</f>
        <v>0</v>
      </c>
      <c r="L10" s="405">
        <f>ROUND('[2]Eredeti Ft'!L7,-3)/1000</f>
        <v>0</v>
      </c>
      <c r="M10" s="405">
        <f>ROUND('[2]Eredeti Ft'!M7,-3)/1000</f>
        <v>0</v>
      </c>
      <c r="N10" s="405">
        <f t="shared" si="0"/>
        <v>3823</v>
      </c>
      <c r="O10" s="405">
        <f>ROUND('[2]Eredeti Ft'!O7,-3)/1000</f>
        <v>25375</v>
      </c>
      <c r="P10" s="406">
        <f>ROUND('[2]Eredeti Ft'!P7,-3)/1000</f>
        <v>6781</v>
      </c>
      <c r="Q10" s="406">
        <f>ROUND('[2]Eredeti Ft'!Q7,-3)/1000</f>
        <v>9556</v>
      </c>
      <c r="R10" s="405">
        <f>ROUND('[2]Eredeti Ft'!R7,-3)/1000</f>
        <v>4648</v>
      </c>
      <c r="S10" s="405">
        <f>ROUND('[2]Eredeti Ft'!S7,-3)/1000</f>
        <v>0</v>
      </c>
      <c r="T10" s="405"/>
      <c r="U10" s="405">
        <f>ROUND('[2]Eredeti Ft'!T7,-3)/1000</f>
        <v>0</v>
      </c>
      <c r="V10" s="405">
        <f>ROUND('[2]Eredeti Ft'!U7,-3)/1000</f>
        <v>0</v>
      </c>
      <c r="W10" s="405">
        <f>ROUND('[2]Eredeti Ft'!V7,-3)/1000</f>
        <v>0</v>
      </c>
      <c r="X10" s="405">
        <f t="shared" si="1"/>
        <v>41712</v>
      </c>
      <c r="Z10" s="211">
        <f>SUM(O10:W10)-R10</f>
        <v>41712</v>
      </c>
    </row>
    <row r="11" spans="1:26" ht="12" customHeight="1">
      <c r="A11" s="403"/>
      <c r="B11" s="404" t="s">
        <v>384</v>
      </c>
      <c r="C11" s="405">
        <f>C10</f>
        <v>3058</v>
      </c>
      <c r="D11" s="405">
        <f aca="true" t="shared" si="4" ref="D11:W14">D10</f>
        <v>2487</v>
      </c>
      <c r="E11" s="405">
        <f t="shared" si="4"/>
        <v>765</v>
      </c>
      <c r="F11" s="405">
        <f t="shared" si="4"/>
        <v>0</v>
      </c>
      <c r="G11" s="405">
        <f t="shared" si="4"/>
        <v>0</v>
      </c>
      <c r="H11" s="405">
        <f t="shared" si="4"/>
        <v>0</v>
      </c>
      <c r="I11" s="405">
        <f t="shared" si="4"/>
        <v>0</v>
      </c>
      <c r="J11" s="405">
        <f t="shared" si="4"/>
        <v>0</v>
      </c>
      <c r="K11" s="405">
        <f t="shared" si="4"/>
        <v>0</v>
      </c>
      <c r="L11" s="405">
        <f>L10+104</f>
        <v>104</v>
      </c>
      <c r="M11" s="405">
        <f t="shared" si="4"/>
        <v>0</v>
      </c>
      <c r="N11" s="405">
        <f t="shared" si="0"/>
        <v>3927</v>
      </c>
      <c r="O11" s="405">
        <f>O10+143+90</f>
        <v>25608</v>
      </c>
      <c r="P11" s="406">
        <f>P10+38</f>
        <v>6819</v>
      </c>
      <c r="Q11" s="406">
        <f>Q10+14</f>
        <v>9570</v>
      </c>
      <c r="R11" s="405">
        <f t="shared" si="4"/>
        <v>4648</v>
      </c>
      <c r="S11" s="405">
        <f t="shared" si="4"/>
        <v>0</v>
      </c>
      <c r="T11" s="405"/>
      <c r="U11" s="405">
        <f t="shared" si="4"/>
        <v>0</v>
      </c>
      <c r="V11" s="405">
        <f t="shared" si="4"/>
        <v>0</v>
      </c>
      <c r="W11" s="405">
        <f t="shared" si="4"/>
        <v>0</v>
      </c>
      <c r="X11" s="405">
        <f t="shared" si="1"/>
        <v>41997</v>
      </c>
      <c r="Z11" s="211"/>
    </row>
    <row r="12" spans="1:26" ht="12.75" customHeight="1">
      <c r="A12" s="403"/>
      <c r="B12" s="404" t="s">
        <v>385</v>
      </c>
      <c r="C12" s="405">
        <f>C11</f>
        <v>3058</v>
      </c>
      <c r="D12" s="405">
        <f t="shared" si="4"/>
        <v>2487</v>
      </c>
      <c r="E12" s="405">
        <f t="shared" si="4"/>
        <v>765</v>
      </c>
      <c r="F12" s="405">
        <f t="shared" si="4"/>
        <v>0</v>
      </c>
      <c r="G12" s="405">
        <f t="shared" si="4"/>
        <v>0</v>
      </c>
      <c r="H12" s="405">
        <f t="shared" si="4"/>
        <v>0</v>
      </c>
      <c r="I12" s="405">
        <f t="shared" si="4"/>
        <v>0</v>
      </c>
      <c r="J12" s="405">
        <f t="shared" si="4"/>
        <v>0</v>
      </c>
      <c r="K12" s="405">
        <f t="shared" si="4"/>
        <v>0</v>
      </c>
      <c r="L12" s="405">
        <f t="shared" si="4"/>
        <v>104</v>
      </c>
      <c r="M12" s="405">
        <f t="shared" si="4"/>
        <v>0</v>
      </c>
      <c r="N12" s="405">
        <f t="shared" si="0"/>
        <v>3927</v>
      </c>
      <c r="O12" s="405">
        <f>O11+236+48-6500-1650</f>
        <v>17742</v>
      </c>
      <c r="P12" s="406">
        <f>P11+63-1600</f>
        <v>5282</v>
      </c>
      <c r="Q12" s="406">
        <f>Q11-2880-6646</f>
        <v>44</v>
      </c>
      <c r="R12" s="405">
        <f t="shared" si="4"/>
        <v>4648</v>
      </c>
      <c r="S12" s="405">
        <f t="shared" si="4"/>
        <v>0</v>
      </c>
      <c r="T12" s="405"/>
      <c r="U12" s="405">
        <f t="shared" si="4"/>
        <v>0</v>
      </c>
      <c r="V12" s="405">
        <f t="shared" si="4"/>
        <v>0</v>
      </c>
      <c r="W12" s="405">
        <f>W11+1190</f>
        <v>1190</v>
      </c>
      <c r="X12" s="405">
        <f t="shared" si="1"/>
        <v>24258</v>
      </c>
      <c r="Z12" s="211"/>
    </row>
    <row r="13" spans="1:26" s="407" customFormat="1" ht="11.25" customHeight="1">
      <c r="A13" s="403"/>
      <c r="B13" s="404" t="s">
        <v>386</v>
      </c>
      <c r="C13" s="405">
        <f>C12</f>
        <v>3058</v>
      </c>
      <c r="D13" s="405">
        <f t="shared" si="4"/>
        <v>2487</v>
      </c>
      <c r="E13" s="405">
        <f t="shared" si="4"/>
        <v>765</v>
      </c>
      <c r="F13" s="405">
        <f t="shared" si="4"/>
        <v>0</v>
      </c>
      <c r="G13" s="405">
        <f t="shared" si="4"/>
        <v>0</v>
      </c>
      <c r="H13" s="405">
        <f t="shared" si="4"/>
        <v>0</v>
      </c>
      <c r="I13" s="405">
        <f t="shared" si="4"/>
        <v>0</v>
      </c>
      <c r="J13" s="405">
        <f t="shared" si="4"/>
        <v>0</v>
      </c>
      <c r="K13" s="405">
        <f t="shared" si="4"/>
        <v>0</v>
      </c>
      <c r="L13" s="405">
        <f t="shared" si="4"/>
        <v>104</v>
      </c>
      <c r="M13" s="405">
        <f t="shared" si="4"/>
        <v>0</v>
      </c>
      <c r="N13" s="405">
        <f t="shared" si="0"/>
        <v>3927</v>
      </c>
      <c r="O13" s="405">
        <f>O12+1387</f>
        <v>19129</v>
      </c>
      <c r="P13" s="406">
        <f>P12-137</f>
        <v>5145</v>
      </c>
      <c r="Q13" s="406">
        <f>Q12+6741-800</f>
        <v>5985</v>
      </c>
      <c r="R13" s="405">
        <f t="shared" si="4"/>
        <v>4648</v>
      </c>
      <c r="S13" s="405">
        <f t="shared" si="4"/>
        <v>0</v>
      </c>
      <c r="T13" s="405"/>
      <c r="U13" s="405">
        <f t="shared" si="4"/>
        <v>0</v>
      </c>
      <c r="V13" s="405">
        <f t="shared" si="4"/>
        <v>0</v>
      </c>
      <c r="W13" s="405">
        <f>W12+9</f>
        <v>1199</v>
      </c>
      <c r="X13" s="405">
        <f>SUM(O13:W13)-R13</f>
        <v>31458</v>
      </c>
      <c r="Z13" s="408"/>
    </row>
    <row r="14" spans="1:26" s="407" customFormat="1" ht="12" customHeight="1">
      <c r="A14" s="403"/>
      <c r="B14" s="404" t="s">
        <v>387</v>
      </c>
      <c r="C14" s="405">
        <f>C13</f>
        <v>3058</v>
      </c>
      <c r="D14" s="405">
        <f t="shared" si="4"/>
        <v>2487</v>
      </c>
      <c r="E14" s="405">
        <f t="shared" si="4"/>
        <v>765</v>
      </c>
      <c r="F14" s="405">
        <f t="shared" si="4"/>
        <v>0</v>
      </c>
      <c r="G14" s="405">
        <f t="shared" si="4"/>
        <v>0</v>
      </c>
      <c r="H14" s="405">
        <f t="shared" si="4"/>
        <v>0</v>
      </c>
      <c r="I14" s="405">
        <f t="shared" si="4"/>
        <v>0</v>
      </c>
      <c r="J14" s="405">
        <f t="shared" si="4"/>
        <v>0</v>
      </c>
      <c r="K14" s="405">
        <f t="shared" si="4"/>
        <v>0</v>
      </c>
      <c r="L14" s="405">
        <f t="shared" si="4"/>
        <v>104</v>
      </c>
      <c r="M14" s="405">
        <f t="shared" si="4"/>
        <v>0</v>
      </c>
      <c r="N14" s="405">
        <f>SUM(C14:M14)-D14</f>
        <v>3927</v>
      </c>
      <c r="O14" s="405">
        <f aca="true" t="shared" si="5" ref="O14:W14">O13</f>
        <v>19129</v>
      </c>
      <c r="P14" s="406">
        <f t="shared" si="5"/>
        <v>5145</v>
      </c>
      <c r="Q14" s="406">
        <f t="shared" si="5"/>
        <v>5985</v>
      </c>
      <c r="R14" s="405">
        <f t="shared" si="5"/>
        <v>4648</v>
      </c>
      <c r="S14" s="405">
        <f t="shared" si="5"/>
        <v>0</v>
      </c>
      <c r="T14" s="405"/>
      <c r="U14" s="405">
        <f t="shared" si="5"/>
        <v>0</v>
      </c>
      <c r="V14" s="405">
        <f t="shared" si="5"/>
        <v>0</v>
      </c>
      <c r="W14" s="405">
        <f t="shared" si="5"/>
        <v>1199</v>
      </c>
      <c r="X14" s="405">
        <f>SUM(O14:W14)-R14</f>
        <v>31458</v>
      </c>
      <c r="Z14" s="408"/>
    </row>
    <row r="15" spans="1:26" s="407" customFormat="1" ht="12" customHeight="1">
      <c r="A15" s="403"/>
      <c r="B15" s="404" t="s">
        <v>388</v>
      </c>
      <c r="C15" s="405">
        <v>1697</v>
      </c>
      <c r="D15" s="405">
        <v>1454</v>
      </c>
      <c r="E15" s="405">
        <v>424</v>
      </c>
      <c r="F15" s="405"/>
      <c r="G15" s="405"/>
      <c r="H15" s="405"/>
      <c r="I15" s="405"/>
      <c r="J15" s="405"/>
      <c r="K15" s="405"/>
      <c r="L15" s="405">
        <v>104</v>
      </c>
      <c r="M15" s="405"/>
      <c r="N15" s="405">
        <f>SUM(C15:M15)-D15</f>
        <v>2225</v>
      </c>
      <c r="O15" s="405">
        <v>19117</v>
      </c>
      <c r="P15" s="406">
        <v>5145</v>
      </c>
      <c r="Q15" s="406">
        <v>5974</v>
      </c>
      <c r="R15" s="405">
        <v>3038</v>
      </c>
      <c r="S15" s="405"/>
      <c r="T15" s="405"/>
      <c r="U15" s="405"/>
      <c r="V15" s="405"/>
      <c r="W15" s="405">
        <v>1199</v>
      </c>
      <c r="X15" s="405">
        <f>SUM(O15:W15)-R15</f>
        <v>31435</v>
      </c>
      <c r="Z15" s="408"/>
    </row>
    <row r="16" spans="1:26" ht="12.75">
      <c r="A16" s="403">
        <f>'[2]Eredeti Ft'!A10</f>
        <v>0</v>
      </c>
      <c r="B16" s="404">
        <f>'[2]Eredeti Ft'!B10</f>
        <v>0</v>
      </c>
      <c r="C16" s="405">
        <f>ROUND('[2]Eredeti Ft'!C10,-3)/1000</f>
        <v>2208</v>
      </c>
      <c r="D16" s="405">
        <f>ROUND('[2]Eredeti Ft'!D10,-3)/1000</f>
        <v>1922</v>
      </c>
      <c r="E16" s="405">
        <f>ROUND('[2]Eredeti Ft'!E10,-3)/1000</f>
        <v>552</v>
      </c>
      <c r="F16" s="405">
        <f>ROUND('[2]Eredeti Ft'!F10,-3)/1000</f>
        <v>0</v>
      </c>
      <c r="G16" s="405">
        <f>ROUND('[2]Eredeti Ft'!G10,-3)/1000</f>
        <v>0</v>
      </c>
      <c r="H16" s="405">
        <f>ROUND('[2]Eredeti Ft'!H10,-3)/1000</f>
        <v>0</v>
      </c>
      <c r="I16" s="405">
        <f>ROUND('[2]Eredeti Ft'!I10,-3)/1000</f>
        <v>0</v>
      </c>
      <c r="J16" s="405">
        <f>ROUND('[2]Eredeti Ft'!J10,-3)/1000</f>
        <v>0</v>
      </c>
      <c r="K16" s="405">
        <f>ROUND('[2]Eredeti Ft'!K10,-3)/1000</f>
        <v>0</v>
      </c>
      <c r="L16" s="405">
        <f>ROUND('[2]Eredeti Ft'!L10,-3)/1000</f>
        <v>0</v>
      </c>
      <c r="M16" s="405">
        <f>ROUND('[2]Eredeti Ft'!M10,-3)/1000</f>
        <v>0</v>
      </c>
      <c r="N16" s="405">
        <f t="shared" si="0"/>
        <v>2760</v>
      </c>
      <c r="O16" s="405">
        <f>ROUND('[2]Eredeti Ft'!O10,-3)/1000</f>
        <v>13269</v>
      </c>
      <c r="P16" s="406">
        <f>ROUND('[2]Eredeti Ft'!P10,-3)/1000</f>
        <v>3507</v>
      </c>
      <c r="Q16" s="406">
        <f>ROUND('[2]Eredeti Ft'!Q10,-3)/1000</f>
        <v>6533</v>
      </c>
      <c r="R16" s="405">
        <f>ROUND('[2]Eredeti Ft'!R10,-3)/1000</f>
        <v>2716</v>
      </c>
      <c r="S16" s="405">
        <f>ROUND('[2]Eredeti Ft'!S10,-3)/1000</f>
        <v>0</v>
      </c>
      <c r="T16" s="405"/>
      <c r="U16" s="405">
        <f>ROUND('[2]Eredeti Ft'!T10,-3)/1000</f>
        <v>0</v>
      </c>
      <c r="V16" s="405">
        <f>ROUND('[2]Eredeti Ft'!U10,-3)/1000</f>
        <v>0</v>
      </c>
      <c r="W16" s="405">
        <f>ROUND('[2]Eredeti Ft'!V10,-3)/1000</f>
        <v>0</v>
      </c>
      <c r="X16" s="405">
        <f t="shared" si="1"/>
        <v>23309</v>
      </c>
      <c r="Z16" s="211">
        <f>SUM(O16:W16)-R16</f>
        <v>23309</v>
      </c>
    </row>
    <row r="17" spans="1:26" ht="13.5" customHeight="1">
      <c r="A17" s="403"/>
      <c r="B17" s="404" t="s">
        <v>384</v>
      </c>
      <c r="C17" s="405">
        <f>C16</f>
        <v>2208</v>
      </c>
      <c r="D17" s="405">
        <f aca="true" t="shared" si="6" ref="D17:Z18">D16</f>
        <v>1922</v>
      </c>
      <c r="E17" s="405">
        <f t="shared" si="6"/>
        <v>552</v>
      </c>
      <c r="F17" s="405">
        <f t="shared" si="6"/>
        <v>0</v>
      </c>
      <c r="G17" s="405">
        <f t="shared" si="6"/>
        <v>0</v>
      </c>
      <c r="H17" s="405">
        <f t="shared" si="6"/>
        <v>0</v>
      </c>
      <c r="I17" s="405">
        <f t="shared" si="6"/>
        <v>0</v>
      </c>
      <c r="J17" s="405">
        <f t="shared" si="6"/>
        <v>0</v>
      </c>
      <c r="K17" s="405">
        <f t="shared" si="6"/>
        <v>0</v>
      </c>
      <c r="L17" s="405">
        <f t="shared" si="6"/>
        <v>0</v>
      </c>
      <c r="M17" s="405">
        <f t="shared" si="6"/>
        <v>0</v>
      </c>
      <c r="N17" s="405">
        <f t="shared" si="0"/>
        <v>2760</v>
      </c>
      <c r="O17" s="405">
        <f>O16+57</f>
        <v>13326</v>
      </c>
      <c r="P17" s="406">
        <f>P16+16</f>
        <v>3523</v>
      </c>
      <c r="Q17" s="406">
        <f t="shared" si="6"/>
        <v>6533</v>
      </c>
      <c r="R17" s="405">
        <f t="shared" si="6"/>
        <v>2716</v>
      </c>
      <c r="S17" s="405">
        <f t="shared" si="6"/>
        <v>0</v>
      </c>
      <c r="T17" s="405"/>
      <c r="U17" s="405">
        <f t="shared" si="6"/>
        <v>0</v>
      </c>
      <c r="V17" s="405">
        <f t="shared" si="6"/>
        <v>0</v>
      </c>
      <c r="W17" s="405">
        <f t="shared" si="6"/>
        <v>0</v>
      </c>
      <c r="X17" s="405">
        <f t="shared" si="1"/>
        <v>23382</v>
      </c>
      <c r="Y17" s="409">
        <f t="shared" si="6"/>
        <v>0</v>
      </c>
      <c r="Z17" s="405">
        <f t="shared" si="6"/>
        <v>23309</v>
      </c>
    </row>
    <row r="18" spans="1:26" ht="14.25" customHeight="1">
      <c r="A18" s="403"/>
      <c r="B18" s="404" t="s">
        <v>385</v>
      </c>
      <c r="C18" s="405">
        <f>C17</f>
        <v>2208</v>
      </c>
      <c r="D18" s="405">
        <f t="shared" si="6"/>
        <v>1922</v>
      </c>
      <c r="E18" s="405">
        <f t="shared" si="6"/>
        <v>552</v>
      </c>
      <c r="F18" s="405">
        <f t="shared" si="6"/>
        <v>0</v>
      </c>
      <c r="G18" s="405">
        <f t="shared" si="6"/>
        <v>0</v>
      </c>
      <c r="H18" s="405">
        <f t="shared" si="6"/>
        <v>0</v>
      </c>
      <c r="I18" s="405">
        <f t="shared" si="6"/>
        <v>0</v>
      </c>
      <c r="J18" s="405">
        <f t="shared" si="6"/>
        <v>0</v>
      </c>
      <c r="K18" s="405">
        <f t="shared" si="6"/>
        <v>0</v>
      </c>
      <c r="L18" s="405">
        <f t="shared" si="6"/>
        <v>0</v>
      </c>
      <c r="M18" s="405">
        <f t="shared" si="6"/>
        <v>0</v>
      </c>
      <c r="N18" s="405">
        <f t="shared" si="0"/>
        <v>2760</v>
      </c>
      <c r="O18" s="405">
        <f>O17+96+20</f>
        <v>13442</v>
      </c>
      <c r="P18" s="406">
        <f>P17+26</f>
        <v>3549</v>
      </c>
      <c r="Q18" s="406">
        <f>Q17+205</f>
        <v>6738</v>
      </c>
      <c r="R18" s="405">
        <f>R17</f>
        <v>2716</v>
      </c>
      <c r="S18" s="405">
        <f>S17</f>
        <v>0</v>
      </c>
      <c r="T18" s="405"/>
      <c r="U18" s="405">
        <f>U17</f>
        <v>0</v>
      </c>
      <c r="V18" s="405">
        <f>V17</f>
        <v>0</v>
      </c>
      <c r="W18" s="405">
        <f>W17</f>
        <v>0</v>
      </c>
      <c r="X18" s="405">
        <f t="shared" si="1"/>
        <v>23729</v>
      </c>
      <c r="Y18" s="410"/>
      <c r="Z18" s="410"/>
    </row>
    <row r="19" spans="1:26" ht="12.75" customHeight="1" hidden="1">
      <c r="A19" s="403"/>
      <c r="B19" s="404">
        <f>'[2]Eredeti Ft'!B13</f>
        <v>0</v>
      </c>
      <c r="C19" s="405">
        <f>ROUND('[2]Eredeti Ft'!C13,-3)/1000</f>
        <v>0</v>
      </c>
      <c r="D19" s="405">
        <f>ROUND('[2]Eredeti Ft'!D13,-3)/1000</f>
        <v>0</v>
      </c>
      <c r="E19" s="405">
        <f>ROUND('[2]Eredeti Ft'!E13,-3)/1000</f>
        <v>0</v>
      </c>
      <c r="F19" s="405">
        <f>ROUND('[2]Eredeti Ft'!F13,-3)/1000</f>
        <v>0</v>
      </c>
      <c r="G19" s="405">
        <f>ROUND('[2]Eredeti Ft'!G13,-3)/1000</f>
        <v>0</v>
      </c>
      <c r="H19" s="405">
        <f>ROUND('[2]Eredeti Ft'!H13,-3)/1000</f>
        <v>0</v>
      </c>
      <c r="I19" s="405">
        <f>ROUND('[2]Eredeti Ft'!I13,-3)/1000</f>
        <v>0</v>
      </c>
      <c r="J19" s="405">
        <f>ROUND('[2]Eredeti Ft'!J13,-3)/1000</f>
        <v>0</v>
      </c>
      <c r="K19" s="405">
        <f>ROUND('[2]Eredeti Ft'!K13,-3)/1000</f>
        <v>0</v>
      </c>
      <c r="L19" s="405">
        <f>ROUND('[2]Eredeti Ft'!L13,-3)/1000</f>
        <v>0</v>
      </c>
      <c r="M19" s="405">
        <f>ROUND('[2]Eredeti Ft'!M13,-3)/1000</f>
        <v>0</v>
      </c>
      <c r="N19" s="405">
        <f t="shared" si="0"/>
        <v>0</v>
      </c>
      <c r="O19" s="405">
        <f>ROUND('[2]Eredeti Ft'!O13,-3)/1000</f>
        <v>0</v>
      </c>
      <c r="P19" s="406">
        <f>ROUND('[2]Eredeti Ft'!P13,-3)/1000</f>
        <v>0</v>
      </c>
      <c r="Q19" s="406">
        <f>ROUND('[2]Eredeti Ft'!Q13,-3)/1000</f>
        <v>0</v>
      </c>
      <c r="R19" s="405">
        <f>ROUND('[2]Eredeti Ft'!R13,-3)/1000</f>
        <v>0</v>
      </c>
      <c r="S19" s="405">
        <f>ROUND('[2]Eredeti Ft'!S13,-3)/1000</f>
        <v>0</v>
      </c>
      <c r="T19" s="405"/>
      <c r="U19" s="405">
        <f>ROUND('[2]Eredeti Ft'!T13,-3)/1000</f>
        <v>0</v>
      </c>
      <c r="V19" s="405">
        <f>ROUND('[2]Eredeti Ft'!U13,-3)/1000</f>
        <v>0</v>
      </c>
      <c r="W19" s="405">
        <f>ROUND('[2]Eredeti Ft'!V13,-3)/1000</f>
        <v>0</v>
      </c>
      <c r="X19" s="405">
        <f t="shared" si="1"/>
        <v>0</v>
      </c>
      <c r="Z19" s="211">
        <f>SUM(O19:W19)-R19</f>
        <v>0</v>
      </c>
    </row>
    <row r="20" spans="1:26" ht="12.75" customHeight="1" hidden="1">
      <c r="A20" s="403"/>
      <c r="B20" s="404" t="s">
        <v>384</v>
      </c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>
        <f t="shared" si="0"/>
        <v>0</v>
      </c>
      <c r="O20" s="405"/>
      <c r="P20" s="406"/>
      <c r="Q20" s="406"/>
      <c r="R20" s="405"/>
      <c r="S20" s="405"/>
      <c r="T20" s="405"/>
      <c r="U20" s="405"/>
      <c r="V20" s="405"/>
      <c r="W20" s="405"/>
      <c r="X20" s="405">
        <f t="shared" si="1"/>
        <v>0</v>
      </c>
      <c r="Z20" s="211"/>
    </row>
    <row r="21" spans="1:26" ht="12.75" customHeight="1" hidden="1">
      <c r="A21" s="403"/>
      <c r="B21" s="404" t="s">
        <v>385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>
        <f t="shared" si="0"/>
        <v>0</v>
      </c>
      <c r="O21" s="405"/>
      <c r="P21" s="406"/>
      <c r="Q21" s="406"/>
      <c r="R21" s="405"/>
      <c r="S21" s="405"/>
      <c r="T21" s="405"/>
      <c r="U21" s="405"/>
      <c r="V21" s="405"/>
      <c r="W21" s="405"/>
      <c r="X21" s="405">
        <f t="shared" si="1"/>
        <v>0</v>
      </c>
      <c r="Z21" s="211"/>
    </row>
    <row r="22" spans="1:26" s="407" customFormat="1" ht="13.5" customHeight="1">
      <c r="A22" s="403"/>
      <c r="B22" s="404" t="s">
        <v>386</v>
      </c>
      <c r="C22" s="405">
        <f>C18</f>
        <v>2208</v>
      </c>
      <c r="D22" s="405">
        <f>D18</f>
        <v>1922</v>
      </c>
      <c r="E22" s="405">
        <f>E18</f>
        <v>552</v>
      </c>
      <c r="F22" s="405">
        <f aca="true" t="shared" si="7" ref="F22:M23">F21</f>
        <v>0</v>
      </c>
      <c r="G22" s="405">
        <f t="shared" si="7"/>
        <v>0</v>
      </c>
      <c r="H22" s="405">
        <f t="shared" si="7"/>
        <v>0</v>
      </c>
      <c r="I22" s="405">
        <f t="shared" si="7"/>
        <v>0</v>
      </c>
      <c r="J22" s="405">
        <f t="shared" si="7"/>
        <v>0</v>
      </c>
      <c r="K22" s="405">
        <f t="shared" si="7"/>
        <v>0</v>
      </c>
      <c r="L22" s="405">
        <f t="shared" si="7"/>
        <v>0</v>
      </c>
      <c r="M22" s="405">
        <f t="shared" si="7"/>
        <v>0</v>
      </c>
      <c r="N22" s="405">
        <f t="shared" si="0"/>
        <v>2760</v>
      </c>
      <c r="O22" s="405">
        <f>O18+35</f>
        <v>13477</v>
      </c>
      <c r="P22" s="406">
        <f>P18+10</f>
        <v>3559</v>
      </c>
      <c r="Q22" s="406">
        <f>Q18</f>
        <v>6738</v>
      </c>
      <c r="R22" s="405">
        <f>R18</f>
        <v>2716</v>
      </c>
      <c r="S22" s="405">
        <f>S21</f>
        <v>0</v>
      </c>
      <c r="T22" s="405"/>
      <c r="U22" s="405">
        <f>U21</f>
        <v>0</v>
      </c>
      <c r="V22" s="405">
        <f>V21</f>
        <v>0</v>
      </c>
      <c r="W22" s="405">
        <f>W21</f>
        <v>0</v>
      </c>
      <c r="X22" s="405">
        <f>SUM(O22:W22)-R22</f>
        <v>23774</v>
      </c>
      <c r="Y22" s="411"/>
      <c r="Z22" s="411"/>
    </row>
    <row r="23" spans="1:26" s="407" customFormat="1" ht="13.5" customHeight="1">
      <c r="A23" s="403"/>
      <c r="B23" s="404" t="s">
        <v>387</v>
      </c>
      <c r="C23" s="405">
        <f>C22</f>
        <v>2208</v>
      </c>
      <c r="D23" s="405">
        <f>D22</f>
        <v>1922</v>
      </c>
      <c r="E23" s="405">
        <f>E22</f>
        <v>552</v>
      </c>
      <c r="F23" s="405">
        <f t="shared" si="7"/>
        <v>0</v>
      </c>
      <c r="G23" s="405">
        <f t="shared" si="7"/>
        <v>0</v>
      </c>
      <c r="H23" s="405">
        <f t="shared" si="7"/>
        <v>0</v>
      </c>
      <c r="I23" s="405">
        <f t="shared" si="7"/>
        <v>0</v>
      </c>
      <c r="J23" s="405">
        <f t="shared" si="7"/>
        <v>0</v>
      </c>
      <c r="K23" s="405">
        <f t="shared" si="7"/>
        <v>0</v>
      </c>
      <c r="L23" s="405">
        <f t="shared" si="7"/>
        <v>0</v>
      </c>
      <c r="M23" s="405">
        <f t="shared" si="7"/>
        <v>0</v>
      </c>
      <c r="N23" s="405">
        <f t="shared" si="0"/>
        <v>2760</v>
      </c>
      <c r="O23" s="405">
        <f>O22-2</f>
        <v>13475</v>
      </c>
      <c r="P23" s="406">
        <f>P22+4</f>
        <v>3563</v>
      </c>
      <c r="Q23" s="406">
        <f aca="true" t="shared" si="8" ref="Q23:Z23">Q22</f>
        <v>6738</v>
      </c>
      <c r="R23" s="405">
        <f t="shared" si="8"/>
        <v>2716</v>
      </c>
      <c r="S23" s="405">
        <f t="shared" si="8"/>
        <v>0</v>
      </c>
      <c r="T23" s="405"/>
      <c r="U23" s="405">
        <f t="shared" si="8"/>
        <v>0</v>
      </c>
      <c r="V23" s="405">
        <f t="shared" si="8"/>
        <v>0</v>
      </c>
      <c r="W23" s="405">
        <f t="shared" si="8"/>
        <v>0</v>
      </c>
      <c r="X23" s="405">
        <f>SUM(O23:W23)-R23</f>
        <v>23776</v>
      </c>
      <c r="Y23" s="405">
        <f t="shared" si="8"/>
        <v>0</v>
      </c>
      <c r="Z23" s="405">
        <f t="shared" si="8"/>
        <v>0</v>
      </c>
    </row>
    <row r="24" spans="1:26" s="407" customFormat="1" ht="12.75" customHeight="1">
      <c r="A24" s="403"/>
      <c r="B24" s="404" t="s">
        <v>388</v>
      </c>
      <c r="C24" s="405">
        <v>1901</v>
      </c>
      <c r="D24" s="405">
        <v>1727</v>
      </c>
      <c r="E24" s="405">
        <v>467</v>
      </c>
      <c r="F24" s="405"/>
      <c r="G24" s="405"/>
      <c r="H24" s="405"/>
      <c r="I24" s="405"/>
      <c r="J24" s="405"/>
      <c r="K24" s="405"/>
      <c r="L24" s="405"/>
      <c r="M24" s="405"/>
      <c r="N24" s="405">
        <v>2368</v>
      </c>
      <c r="O24" s="405">
        <v>13274</v>
      </c>
      <c r="P24" s="406">
        <v>3539</v>
      </c>
      <c r="Q24" s="406">
        <v>5634</v>
      </c>
      <c r="R24" s="405">
        <v>2672</v>
      </c>
      <c r="S24" s="405"/>
      <c r="T24" s="405"/>
      <c r="U24" s="405"/>
      <c r="V24" s="405"/>
      <c r="W24" s="405"/>
      <c r="X24" s="405">
        <f>SUM(O24:W24)-R24</f>
        <v>22447</v>
      </c>
      <c r="Y24" s="410"/>
      <c r="Z24" s="410"/>
    </row>
    <row r="25" spans="1:26" ht="12.75">
      <c r="A25" s="403">
        <f>'[2]Eredeti Ft'!A16</f>
        <v>0</v>
      </c>
      <c r="B25" s="404">
        <f>'[2]Eredeti Ft'!B16</f>
        <v>0</v>
      </c>
      <c r="C25" s="405">
        <f>ROUND('[2]Eredeti Ft'!C16,-3)/1000</f>
        <v>4599</v>
      </c>
      <c r="D25" s="405">
        <f>ROUND('[2]Eredeti Ft'!D16,-3)/1000</f>
        <v>3906</v>
      </c>
      <c r="E25" s="405">
        <f>ROUND('[2]Eredeti Ft'!E16,-3)/1000</f>
        <v>1150</v>
      </c>
      <c r="F25" s="405">
        <f>ROUND('[2]Eredeti Ft'!F16,-3)/1000</f>
        <v>0</v>
      </c>
      <c r="G25" s="405">
        <f>ROUND('[2]Eredeti Ft'!G16,-3)/1000</f>
        <v>0</v>
      </c>
      <c r="H25" s="405">
        <f>ROUND('[2]Eredeti Ft'!H16,-3)/1000</f>
        <v>0</v>
      </c>
      <c r="I25" s="405">
        <f>ROUND('[2]Eredeti Ft'!I16,-3)/1000</f>
        <v>0</v>
      </c>
      <c r="J25" s="405">
        <f>ROUND('[2]Eredeti Ft'!J16,-3)/1000</f>
        <v>0</v>
      </c>
      <c r="K25" s="405">
        <f>ROUND('[2]Eredeti Ft'!K16,-3)/1000</f>
        <v>0</v>
      </c>
      <c r="L25" s="405">
        <f>ROUND('[2]Eredeti Ft'!L16,-3)/1000</f>
        <v>0</v>
      </c>
      <c r="M25" s="405">
        <f>ROUND('[2]Eredeti Ft'!M16,-3)/1000</f>
        <v>0</v>
      </c>
      <c r="N25" s="405">
        <f t="shared" si="0"/>
        <v>5749</v>
      </c>
      <c r="O25" s="405">
        <f>ROUND('[2]Eredeti Ft'!O16,-3)/1000</f>
        <v>29349</v>
      </c>
      <c r="P25" s="406">
        <f>ROUND('[2]Eredeti Ft'!P16,-3)/1000</f>
        <v>7800</v>
      </c>
      <c r="Q25" s="406">
        <f>ROUND('[2]Eredeti Ft'!Q16,-3)/1000</f>
        <v>10285</v>
      </c>
      <c r="R25" s="405">
        <f>ROUND('[2]Eredeti Ft'!R16,-3)/1000</f>
        <v>4577</v>
      </c>
      <c r="S25" s="405">
        <f>ROUND('[2]Eredeti Ft'!S16,-3)/1000</f>
        <v>0</v>
      </c>
      <c r="T25" s="405"/>
      <c r="U25" s="405">
        <f>ROUND('[2]Eredeti Ft'!T16,-3)/1000</f>
        <v>0</v>
      </c>
      <c r="V25" s="405">
        <f>ROUND('[2]Eredeti Ft'!U16,-3)/1000</f>
        <v>0</v>
      </c>
      <c r="W25" s="405">
        <f>ROUND('[2]Eredeti Ft'!V16,-3)/1000</f>
        <v>0</v>
      </c>
      <c r="X25" s="405">
        <f t="shared" si="1"/>
        <v>47434</v>
      </c>
      <c r="Z25" s="211">
        <f>SUM(O25:W25)-R25</f>
        <v>47434</v>
      </c>
    </row>
    <row r="26" spans="1:26" ht="12.75">
      <c r="A26" s="403"/>
      <c r="B26" s="404" t="s">
        <v>384</v>
      </c>
      <c r="C26" s="405">
        <f>C25</f>
        <v>4599</v>
      </c>
      <c r="D26" s="405">
        <f aca="true" t="shared" si="9" ref="D26:W29">D25</f>
        <v>3906</v>
      </c>
      <c r="E26" s="405">
        <f t="shared" si="9"/>
        <v>1150</v>
      </c>
      <c r="F26" s="405">
        <f t="shared" si="9"/>
        <v>0</v>
      </c>
      <c r="G26" s="405">
        <f t="shared" si="9"/>
        <v>0</v>
      </c>
      <c r="H26" s="405">
        <f t="shared" si="9"/>
        <v>0</v>
      </c>
      <c r="I26" s="405">
        <f t="shared" si="9"/>
        <v>0</v>
      </c>
      <c r="J26" s="405">
        <f t="shared" si="9"/>
        <v>0</v>
      </c>
      <c r="K26" s="405">
        <f t="shared" si="9"/>
        <v>0</v>
      </c>
      <c r="L26" s="405">
        <f>L25+288</f>
        <v>288</v>
      </c>
      <c r="M26" s="405">
        <f t="shared" si="9"/>
        <v>0</v>
      </c>
      <c r="N26" s="405">
        <f t="shared" si="0"/>
        <v>6037</v>
      </c>
      <c r="O26" s="405">
        <f>O25+94</f>
        <v>29443</v>
      </c>
      <c r="P26" s="406">
        <f>P25+26</f>
        <v>7826</v>
      </c>
      <c r="Q26" s="406">
        <f>Q25+288</f>
        <v>10573</v>
      </c>
      <c r="R26" s="405">
        <f t="shared" si="9"/>
        <v>4577</v>
      </c>
      <c r="S26" s="405">
        <f t="shared" si="9"/>
        <v>0</v>
      </c>
      <c r="T26" s="405"/>
      <c r="U26" s="405">
        <f t="shared" si="9"/>
        <v>0</v>
      </c>
      <c r="V26" s="405">
        <f t="shared" si="9"/>
        <v>0</v>
      </c>
      <c r="W26" s="405">
        <f t="shared" si="9"/>
        <v>0</v>
      </c>
      <c r="X26" s="405">
        <f t="shared" si="1"/>
        <v>47842</v>
      </c>
      <c r="Z26" s="211"/>
    </row>
    <row r="27" spans="1:26" ht="12.75">
      <c r="A27" s="403"/>
      <c r="B27" s="404" t="s">
        <v>385</v>
      </c>
      <c r="C27" s="405">
        <f>C26</f>
        <v>4599</v>
      </c>
      <c r="D27" s="405">
        <f t="shared" si="9"/>
        <v>3906</v>
      </c>
      <c r="E27" s="405">
        <f t="shared" si="9"/>
        <v>1150</v>
      </c>
      <c r="F27" s="405">
        <f t="shared" si="9"/>
        <v>0</v>
      </c>
      <c r="G27" s="405">
        <f t="shared" si="9"/>
        <v>0</v>
      </c>
      <c r="H27" s="405">
        <f t="shared" si="9"/>
        <v>0</v>
      </c>
      <c r="I27" s="405">
        <f t="shared" si="9"/>
        <v>0</v>
      </c>
      <c r="J27" s="405">
        <f t="shared" si="9"/>
        <v>0</v>
      </c>
      <c r="K27" s="405">
        <f t="shared" si="9"/>
        <v>0</v>
      </c>
      <c r="L27" s="405">
        <f t="shared" si="9"/>
        <v>288</v>
      </c>
      <c r="M27" s="405">
        <f t="shared" si="9"/>
        <v>0</v>
      </c>
      <c r="N27" s="405">
        <f t="shared" si="0"/>
        <v>6037</v>
      </c>
      <c r="O27" s="405">
        <f>O26+172+35</f>
        <v>29650</v>
      </c>
      <c r="P27" s="406">
        <f>P26+47</f>
        <v>7873</v>
      </c>
      <c r="Q27" s="406">
        <f aca="true" t="shared" si="10" ref="Q27:W29">Q26</f>
        <v>10573</v>
      </c>
      <c r="R27" s="405">
        <f t="shared" si="10"/>
        <v>4577</v>
      </c>
      <c r="S27" s="405">
        <f t="shared" si="10"/>
        <v>0</v>
      </c>
      <c r="T27" s="405"/>
      <c r="U27" s="405">
        <f t="shared" si="10"/>
        <v>0</v>
      </c>
      <c r="V27" s="405">
        <f t="shared" si="10"/>
        <v>0</v>
      </c>
      <c r="W27" s="405">
        <f t="shared" si="10"/>
        <v>0</v>
      </c>
      <c r="X27" s="405">
        <f t="shared" si="1"/>
        <v>48096</v>
      </c>
      <c r="Z27" s="211"/>
    </row>
    <row r="28" spans="1:26" s="407" customFormat="1" ht="12.75">
      <c r="A28" s="403"/>
      <c r="B28" s="404" t="s">
        <v>386</v>
      </c>
      <c r="C28" s="405">
        <f>C27</f>
        <v>4599</v>
      </c>
      <c r="D28" s="405">
        <f t="shared" si="9"/>
        <v>3906</v>
      </c>
      <c r="E28" s="405">
        <f t="shared" si="9"/>
        <v>1150</v>
      </c>
      <c r="F28" s="405">
        <f t="shared" si="9"/>
        <v>0</v>
      </c>
      <c r="G28" s="405">
        <f t="shared" si="9"/>
        <v>0</v>
      </c>
      <c r="H28" s="405">
        <f t="shared" si="9"/>
        <v>0</v>
      </c>
      <c r="I28" s="405">
        <f t="shared" si="9"/>
        <v>0</v>
      </c>
      <c r="J28" s="405">
        <f t="shared" si="9"/>
        <v>0</v>
      </c>
      <c r="K28" s="405">
        <f t="shared" si="9"/>
        <v>0</v>
      </c>
      <c r="L28" s="405">
        <f t="shared" si="9"/>
        <v>288</v>
      </c>
      <c r="M28" s="405">
        <f t="shared" si="9"/>
        <v>0</v>
      </c>
      <c r="N28" s="405">
        <f t="shared" si="0"/>
        <v>6037</v>
      </c>
      <c r="O28" s="405">
        <f>O27+42</f>
        <v>29692</v>
      </c>
      <c r="P28" s="406">
        <f>P27+11</f>
        <v>7884</v>
      </c>
      <c r="Q28" s="406">
        <f t="shared" si="10"/>
        <v>10573</v>
      </c>
      <c r="R28" s="405">
        <f t="shared" si="10"/>
        <v>4577</v>
      </c>
      <c r="S28" s="405">
        <f t="shared" si="10"/>
        <v>0</v>
      </c>
      <c r="T28" s="405"/>
      <c r="U28" s="405">
        <f t="shared" si="10"/>
        <v>0</v>
      </c>
      <c r="V28" s="405">
        <f t="shared" si="10"/>
        <v>0</v>
      </c>
      <c r="W28" s="405">
        <f t="shared" si="10"/>
        <v>0</v>
      </c>
      <c r="X28" s="405">
        <f>SUM(O28:W28)-R28</f>
        <v>48149</v>
      </c>
      <c r="Z28" s="408"/>
    </row>
    <row r="29" spans="1:26" s="407" customFormat="1" ht="12.75">
      <c r="A29" s="403"/>
      <c r="B29" s="404" t="s">
        <v>387</v>
      </c>
      <c r="C29" s="405">
        <f>C28</f>
        <v>4599</v>
      </c>
      <c r="D29" s="405">
        <f t="shared" si="9"/>
        <v>3906</v>
      </c>
      <c r="E29" s="405">
        <f t="shared" si="9"/>
        <v>1150</v>
      </c>
      <c r="F29" s="405">
        <f t="shared" si="9"/>
        <v>0</v>
      </c>
      <c r="G29" s="405">
        <f t="shared" si="9"/>
        <v>0</v>
      </c>
      <c r="H29" s="405">
        <f t="shared" si="9"/>
        <v>0</v>
      </c>
      <c r="I29" s="405">
        <f t="shared" si="9"/>
        <v>0</v>
      </c>
      <c r="J29" s="405">
        <f t="shared" si="9"/>
        <v>0</v>
      </c>
      <c r="K29" s="405">
        <f t="shared" si="9"/>
        <v>0</v>
      </c>
      <c r="L29" s="405">
        <f t="shared" si="9"/>
        <v>288</v>
      </c>
      <c r="M29" s="405">
        <f t="shared" si="9"/>
        <v>0</v>
      </c>
      <c r="N29" s="405">
        <f t="shared" si="0"/>
        <v>6037</v>
      </c>
      <c r="O29" s="405">
        <f>O28-5-50</f>
        <v>29637</v>
      </c>
      <c r="P29" s="406">
        <f>P28+9+50</f>
        <v>7943</v>
      </c>
      <c r="Q29" s="406">
        <f t="shared" si="10"/>
        <v>10573</v>
      </c>
      <c r="R29" s="405">
        <f t="shared" si="10"/>
        <v>4577</v>
      </c>
      <c r="S29" s="405">
        <f t="shared" si="10"/>
        <v>0</v>
      </c>
      <c r="T29" s="405"/>
      <c r="U29" s="405">
        <f t="shared" si="10"/>
        <v>0</v>
      </c>
      <c r="V29" s="405">
        <f t="shared" si="10"/>
        <v>0</v>
      </c>
      <c r="W29" s="405">
        <f t="shared" si="10"/>
        <v>0</v>
      </c>
      <c r="X29" s="405">
        <f>SUM(O29:W29)-R29</f>
        <v>48153</v>
      </c>
      <c r="Y29" s="405">
        <f>Y28</f>
        <v>0</v>
      </c>
      <c r="Z29" s="405">
        <f>Z28</f>
        <v>0</v>
      </c>
    </row>
    <row r="30" spans="1:26" s="407" customFormat="1" ht="12.75">
      <c r="A30" s="403"/>
      <c r="B30" s="404" t="s">
        <v>388</v>
      </c>
      <c r="C30" s="405">
        <v>4741</v>
      </c>
      <c r="D30" s="405">
        <v>4018</v>
      </c>
      <c r="E30" s="405">
        <v>1185</v>
      </c>
      <c r="F30" s="405"/>
      <c r="G30" s="405"/>
      <c r="H30" s="405"/>
      <c r="I30" s="405"/>
      <c r="J30" s="405"/>
      <c r="K30" s="405"/>
      <c r="L30" s="405">
        <v>288</v>
      </c>
      <c r="M30" s="405"/>
      <c r="N30" s="405">
        <f t="shared" si="0"/>
        <v>6214</v>
      </c>
      <c r="O30" s="405">
        <v>29449</v>
      </c>
      <c r="P30" s="406">
        <v>7924</v>
      </c>
      <c r="Q30" s="406">
        <v>10539</v>
      </c>
      <c r="R30" s="405">
        <v>4577</v>
      </c>
      <c r="S30" s="405"/>
      <c r="T30" s="405"/>
      <c r="U30" s="405"/>
      <c r="V30" s="405"/>
      <c r="W30" s="405"/>
      <c r="X30" s="405">
        <f>SUM(O30:W30)-R30</f>
        <v>47912</v>
      </c>
      <c r="Y30" s="410"/>
      <c r="Z30" s="410"/>
    </row>
    <row r="31" spans="1:26" ht="12.75">
      <c r="A31" s="403">
        <f>'[2]Eredeti Ft'!A19</f>
        <v>0</v>
      </c>
      <c r="B31" s="404">
        <f>'[2]Eredeti Ft'!B19</f>
        <v>0</v>
      </c>
      <c r="C31" s="405">
        <f>ROUND('[2]Eredeti Ft'!C19,-3)/1000</f>
        <v>5005</v>
      </c>
      <c r="D31" s="405">
        <v>4028</v>
      </c>
      <c r="E31" s="405">
        <f>ROUND('[2]Eredeti Ft'!E19,-3)/1000</f>
        <v>1251</v>
      </c>
      <c r="F31" s="405">
        <f>ROUND('[2]Eredeti Ft'!F19,-3)/1000</f>
        <v>0</v>
      </c>
      <c r="G31" s="405">
        <f>ROUND('[2]Eredeti Ft'!G19,-3)/1000</f>
        <v>0</v>
      </c>
      <c r="H31" s="405">
        <f>ROUND('[2]Eredeti Ft'!H19,-3)/1000</f>
        <v>0</v>
      </c>
      <c r="I31" s="405">
        <f>ROUND('[2]Eredeti Ft'!I19,-3)/1000</f>
        <v>0</v>
      </c>
      <c r="J31" s="405">
        <f>ROUND('[2]Eredeti Ft'!J19,-3)/1000</f>
        <v>0</v>
      </c>
      <c r="K31" s="405">
        <f>ROUND('[2]Eredeti Ft'!K19,-3)/1000</f>
        <v>0</v>
      </c>
      <c r="L31" s="405">
        <f>ROUND('[2]Eredeti Ft'!L19,-3)/1000</f>
        <v>0</v>
      </c>
      <c r="M31" s="405">
        <f>ROUND('[2]Eredeti Ft'!M19,-3)/1000</f>
        <v>0</v>
      </c>
      <c r="N31" s="405">
        <f t="shared" si="0"/>
        <v>6256</v>
      </c>
      <c r="O31" s="405">
        <f>ROUND('[2]Eredeti Ft'!O19,-3)/1000</f>
        <v>38893</v>
      </c>
      <c r="P31" s="406">
        <f>ROUND('[2]Eredeti Ft'!P19,-3)/1000</f>
        <v>10316</v>
      </c>
      <c r="Q31" s="406">
        <f>ROUND('[2]Eredeti Ft'!Q19,-3)/1000</f>
        <v>16785</v>
      </c>
      <c r="R31" s="405">
        <f>ROUND('[2]Eredeti Ft'!R19,-3)/1000</f>
        <v>5976</v>
      </c>
      <c r="S31" s="405">
        <f>ROUND('[2]Eredeti Ft'!S19,-3)/1000</f>
        <v>0</v>
      </c>
      <c r="T31" s="405"/>
      <c r="U31" s="405">
        <f>ROUND('[2]Eredeti Ft'!T19,-3)/1000</f>
        <v>0</v>
      </c>
      <c r="V31" s="405">
        <f>ROUND('[2]Eredeti Ft'!U19,-3)/1000</f>
        <v>0</v>
      </c>
      <c r="W31" s="405">
        <f>ROUND('[2]Eredeti Ft'!V19,-3)/1000</f>
        <v>0</v>
      </c>
      <c r="X31" s="405">
        <f t="shared" si="1"/>
        <v>65994</v>
      </c>
      <c r="Z31" s="211">
        <f>SUM(O31:W31)-R31</f>
        <v>65994</v>
      </c>
    </row>
    <row r="32" spans="1:26" ht="12.75">
      <c r="A32" s="403"/>
      <c r="B32" s="404" t="s">
        <v>384</v>
      </c>
      <c r="C32" s="405">
        <f aca="true" t="shared" si="11" ref="C32:K32">C31</f>
        <v>5005</v>
      </c>
      <c r="D32" s="405">
        <f t="shared" si="11"/>
        <v>4028</v>
      </c>
      <c r="E32" s="405">
        <f t="shared" si="11"/>
        <v>1251</v>
      </c>
      <c r="F32" s="405">
        <f t="shared" si="11"/>
        <v>0</v>
      </c>
      <c r="G32" s="405">
        <f t="shared" si="11"/>
        <v>0</v>
      </c>
      <c r="H32" s="405">
        <f t="shared" si="11"/>
        <v>0</v>
      </c>
      <c r="I32" s="405">
        <f t="shared" si="11"/>
        <v>0</v>
      </c>
      <c r="J32" s="405">
        <f t="shared" si="11"/>
        <v>0</v>
      </c>
      <c r="K32" s="405">
        <f t="shared" si="11"/>
        <v>0</v>
      </c>
      <c r="L32" s="405">
        <f>L31+185</f>
        <v>185</v>
      </c>
      <c r="M32" s="405">
        <f>M31</f>
        <v>0</v>
      </c>
      <c r="N32" s="405">
        <f t="shared" si="0"/>
        <v>6441</v>
      </c>
      <c r="O32" s="405">
        <f>O31+188</f>
        <v>39081</v>
      </c>
      <c r="P32" s="406">
        <f>P31+51</f>
        <v>10367</v>
      </c>
      <c r="Q32" s="406">
        <f>Q31+185</f>
        <v>16970</v>
      </c>
      <c r="R32" s="405">
        <f aca="true" t="shared" si="12" ref="R32:S35">R31</f>
        <v>5976</v>
      </c>
      <c r="S32" s="405">
        <f t="shared" si="12"/>
        <v>0</v>
      </c>
      <c r="T32" s="405"/>
      <c r="U32" s="405">
        <f aca="true" t="shared" si="13" ref="U32:W34">U31</f>
        <v>0</v>
      </c>
      <c r="V32" s="405">
        <f t="shared" si="13"/>
        <v>0</v>
      </c>
      <c r="W32" s="405">
        <f t="shared" si="13"/>
        <v>0</v>
      </c>
      <c r="X32" s="405">
        <f t="shared" si="1"/>
        <v>66418</v>
      </c>
      <c r="Z32" s="211"/>
    </row>
    <row r="33" spans="1:26" ht="12.75">
      <c r="A33" s="403"/>
      <c r="B33" s="404" t="s">
        <v>385</v>
      </c>
      <c r="C33" s="405">
        <f>C32+712</f>
        <v>5717</v>
      </c>
      <c r="D33" s="405">
        <f>D32</f>
        <v>4028</v>
      </c>
      <c r="E33" s="405">
        <f>E32+178</f>
        <v>1429</v>
      </c>
      <c r="F33" s="405">
        <f aca="true" t="shared" si="14" ref="F33:L33">F32</f>
        <v>0</v>
      </c>
      <c r="G33" s="405">
        <f t="shared" si="14"/>
        <v>0</v>
      </c>
      <c r="H33" s="405">
        <f t="shared" si="14"/>
        <v>0</v>
      </c>
      <c r="I33" s="405">
        <f t="shared" si="14"/>
        <v>0</v>
      </c>
      <c r="J33" s="405">
        <f t="shared" si="14"/>
        <v>0</v>
      </c>
      <c r="K33" s="405">
        <f t="shared" si="14"/>
        <v>0</v>
      </c>
      <c r="L33" s="405">
        <f t="shared" si="14"/>
        <v>185</v>
      </c>
      <c r="M33" s="405">
        <f>M32</f>
        <v>0</v>
      </c>
      <c r="N33" s="405">
        <f t="shared" si="0"/>
        <v>7331</v>
      </c>
      <c r="O33" s="405">
        <f>O32+319+66</f>
        <v>39466</v>
      </c>
      <c r="P33" s="406">
        <f>P32+86</f>
        <v>10453</v>
      </c>
      <c r="Q33" s="406">
        <f>Q32+890</f>
        <v>17860</v>
      </c>
      <c r="R33" s="405">
        <f t="shared" si="12"/>
        <v>5976</v>
      </c>
      <c r="S33" s="405">
        <f t="shared" si="12"/>
        <v>0</v>
      </c>
      <c r="T33" s="405"/>
      <c r="U33" s="405">
        <f t="shared" si="13"/>
        <v>0</v>
      </c>
      <c r="V33" s="405">
        <f t="shared" si="13"/>
        <v>0</v>
      </c>
      <c r="W33" s="405">
        <f t="shared" si="13"/>
        <v>0</v>
      </c>
      <c r="X33" s="405">
        <f t="shared" si="1"/>
        <v>67779</v>
      </c>
      <c r="Z33" s="211"/>
    </row>
    <row r="34" spans="1:26" s="407" customFormat="1" ht="12.75">
      <c r="A34" s="403"/>
      <c r="B34" s="404" t="s">
        <v>386</v>
      </c>
      <c r="C34" s="405">
        <f>C33</f>
        <v>5717</v>
      </c>
      <c r="D34" s="405">
        <f>D33</f>
        <v>4028</v>
      </c>
      <c r="E34" s="405">
        <f aca="true" t="shared" si="15" ref="E34:M35">E33</f>
        <v>1429</v>
      </c>
      <c r="F34" s="405">
        <f t="shared" si="15"/>
        <v>0</v>
      </c>
      <c r="G34" s="405">
        <f t="shared" si="15"/>
        <v>0</v>
      </c>
      <c r="H34" s="405">
        <f t="shared" si="15"/>
        <v>0</v>
      </c>
      <c r="I34" s="405">
        <f t="shared" si="15"/>
        <v>0</v>
      </c>
      <c r="J34" s="405">
        <f t="shared" si="15"/>
        <v>0</v>
      </c>
      <c r="K34" s="405">
        <f t="shared" si="15"/>
        <v>0</v>
      </c>
      <c r="L34" s="405">
        <f t="shared" si="15"/>
        <v>185</v>
      </c>
      <c r="M34" s="405">
        <f t="shared" si="15"/>
        <v>0</v>
      </c>
      <c r="N34" s="405">
        <f t="shared" si="0"/>
        <v>7331</v>
      </c>
      <c r="O34" s="405">
        <f>O33+82</f>
        <v>39548</v>
      </c>
      <c r="P34" s="406">
        <f>P33+23</f>
        <v>10476</v>
      </c>
      <c r="Q34" s="406">
        <f>Q33</f>
        <v>17860</v>
      </c>
      <c r="R34" s="405">
        <f t="shared" si="12"/>
        <v>5976</v>
      </c>
      <c r="S34" s="405">
        <f t="shared" si="12"/>
        <v>0</v>
      </c>
      <c r="T34" s="405"/>
      <c r="U34" s="405">
        <f t="shared" si="13"/>
        <v>0</v>
      </c>
      <c r="V34" s="405">
        <f t="shared" si="13"/>
        <v>0</v>
      </c>
      <c r="W34" s="405">
        <f t="shared" si="13"/>
        <v>0</v>
      </c>
      <c r="X34" s="405">
        <f>SUM(O34:W34)-R34</f>
        <v>67884</v>
      </c>
      <c r="Z34" s="408"/>
    </row>
    <row r="35" spans="1:26" s="407" customFormat="1" ht="12.75">
      <c r="A35" s="403"/>
      <c r="B35" s="404" t="s">
        <v>387</v>
      </c>
      <c r="C35" s="405">
        <f>C34</f>
        <v>5717</v>
      </c>
      <c r="D35" s="405">
        <f>D34</f>
        <v>4028</v>
      </c>
      <c r="E35" s="405">
        <f t="shared" si="15"/>
        <v>1429</v>
      </c>
      <c r="F35" s="405">
        <f t="shared" si="15"/>
        <v>0</v>
      </c>
      <c r="G35" s="405">
        <f t="shared" si="15"/>
        <v>0</v>
      </c>
      <c r="H35" s="405">
        <f t="shared" si="15"/>
        <v>0</v>
      </c>
      <c r="I35" s="405">
        <f t="shared" si="15"/>
        <v>0</v>
      </c>
      <c r="J35" s="405">
        <f t="shared" si="15"/>
        <v>0</v>
      </c>
      <c r="K35" s="405">
        <f t="shared" si="15"/>
        <v>0</v>
      </c>
      <c r="L35" s="405">
        <f t="shared" si="15"/>
        <v>185</v>
      </c>
      <c r="M35" s="405">
        <f t="shared" si="15"/>
        <v>0</v>
      </c>
      <c r="N35" s="405">
        <f t="shared" si="0"/>
        <v>7331</v>
      </c>
      <c r="O35" s="405">
        <f>O34-5-150</f>
        <v>39393</v>
      </c>
      <c r="P35" s="406">
        <f>P34+10+150</f>
        <v>10636</v>
      </c>
      <c r="Q35" s="406">
        <f>Q34-299</f>
        <v>17561</v>
      </c>
      <c r="R35" s="405">
        <f t="shared" si="12"/>
        <v>5976</v>
      </c>
      <c r="S35" s="405">
        <f t="shared" si="12"/>
        <v>0</v>
      </c>
      <c r="T35" s="405"/>
      <c r="U35" s="405">
        <f>U34</f>
        <v>0</v>
      </c>
      <c r="V35" s="405">
        <v>299</v>
      </c>
      <c r="W35" s="405">
        <f>W34</f>
        <v>0</v>
      </c>
      <c r="X35" s="405">
        <f>SUM(O35:W35)-R35</f>
        <v>67889</v>
      </c>
      <c r="Z35" s="408"/>
    </row>
    <row r="36" spans="1:26" s="407" customFormat="1" ht="12.75">
      <c r="A36" s="403"/>
      <c r="B36" s="404" t="s">
        <v>388</v>
      </c>
      <c r="C36" s="405">
        <v>6128</v>
      </c>
      <c r="D36" s="405">
        <v>4372</v>
      </c>
      <c r="E36" s="405">
        <v>1516</v>
      </c>
      <c r="F36" s="405"/>
      <c r="G36" s="405"/>
      <c r="H36" s="405"/>
      <c r="I36" s="405"/>
      <c r="J36" s="405"/>
      <c r="K36" s="405"/>
      <c r="L36" s="405">
        <v>185</v>
      </c>
      <c r="M36" s="405"/>
      <c r="N36" s="405">
        <f t="shared" si="0"/>
        <v>7829</v>
      </c>
      <c r="O36" s="405">
        <v>38873</v>
      </c>
      <c r="P36" s="406">
        <v>10628</v>
      </c>
      <c r="Q36" s="406">
        <v>16777</v>
      </c>
      <c r="R36" s="405">
        <v>5976</v>
      </c>
      <c r="S36" s="405"/>
      <c r="T36" s="405"/>
      <c r="U36" s="405"/>
      <c r="V36" s="405">
        <v>299</v>
      </c>
      <c r="W36" s="405"/>
      <c r="X36" s="405">
        <f>SUM(O36:W36)-R36</f>
        <v>66577</v>
      </c>
      <c r="Z36" s="408"/>
    </row>
    <row r="37" spans="1:26" ht="12.75">
      <c r="A37" s="403">
        <f>'[2]Eredeti Ft'!A22</f>
        <v>0</v>
      </c>
      <c r="B37" s="404">
        <f>'[2]Eredeti Ft'!B22</f>
        <v>0</v>
      </c>
      <c r="C37" s="405">
        <f>ROUND('[2]Eredeti Ft'!C22,-3)/1000</f>
        <v>5649</v>
      </c>
      <c r="D37" s="405">
        <f>ROUND('[2]Eredeti Ft'!D22,-3)/1000</f>
        <v>2487</v>
      </c>
      <c r="E37" s="405">
        <f>ROUND('[2]Eredeti Ft'!E22,-3)/1000</f>
        <v>1412</v>
      </c>
      <c r="F37" s="405">
        <f>ROUND('[2]Eredeti Ft'!F22,-3)/1000</f>
        <v>0</v>
      </c>
      <c r="G37" s="405">
        <f>ROUND('[2]Eredeti Ft'!G22,-3)/1000</f>
        <v>0</v>
      </c>
      <c r="H37" s="405">
        <f>ROUND('[2]Eredeti Ft'!H22,-3)/1000</f>
        <v>0</v>
      </c>
      <c r="I37" s="405">
        <f>ROUND('[2]Eredeti Ft'!I22,-3)/1000</f>
        <v>0</v>
      </c>
      <c r="J37" s="405">
        <f>ROUND('[2]Eredeti Ft'!J22,-3)/1000</f>
        <v>0</v>
      </c>
      <c r="K37" s="405">
        <f>ROUND('[2]Eredeti Ft'!K22,-3)/1000</f>
        <v>0</v>
      </c>
      <c r="L37" s="405">
        <f>ROUND('[2]Eredeti Ft'!L22,-3)/1000</f>
        <v>0</v>
      </c>
      <c r="M37" s="405">
        <f>ROUND('[2]Eredeti Ft'!M22,-3)/1000</f>
        <v>0</v>
      </c>
      <c r="N37" s="405">
        <f t="shared" si="0"/>
        <v>7061</v>
      </c>
      <c r="O37" s="405">
        <f>ROUND('[2]Eredeti Ft'!O22,-3)/1000</f>
        <v>25874</v>
      </c>
      <c r="P37" s="406">
        <f>ROUND('[2]Eredeti Ft'!P22,-3)/1000</f>
        <v>6895</v>
      </c>
      <c r="Q37" s="406">
        <f>ROUND('[2]Eredeti Ft'!Q22,-3)/1000</f>
        <v>10835</v>
      </c>
      <c r="R37" s="405">
        <f>ROUND('[2]Eredeti Ft'!R22,-3)/1000</f>
        <v>3103</v>
      </c>
      <c r="S37" s="405">
        <f>ROUND('[2]Eredeti Ft'!S22,-3)/1000</f>
        <v>0</v>
      </c>
      <c r="T37" s="405"/>
      <c r="U37" s="405">
        <f>ROUND('[2]Eredeti Ft'!T22,-3)/1000</f>
        <v>0</v>
      </c>
      <c r="V37" s="405">
        <f>ROUND('[2]Eredeti Ft'!U22,-3)/1000</f>
        <v>0</v>
      </c>
      <c r="W37" s="405">
        <f>ROUND('[2]Eredeti Ft'!V22,-3)/1000</f>
        <v>4500</v>
      </c>
      <c r="X37" s="405">
        <f>SUM(O37:W37)-R37</f>
        <v>48104</v>
      </c>
      <c r="Z37" s="211">
        <f>SUM(O37:W37)-R37</f>
        <v>48104</v>
      </c>
    </row>
    <row r="38" spans="1:26" ht="12.75">
      <c r="A38" s="403"/>
      <c r="B38" s="404" t="s">
        <v>384</v>
      </c>
      <c r="C38" s="405">
        <f>C37</f>
        <v>5649</v>
      </c>
      <c r="D38" s="405">
        <f aca="true" t="shared" si="16" ref="D38:W41">D37</f>
        <v>2487</v>
      </c>
      <c r="E38" s="405">
        <f t="shared" si="16"/>
        <v>1412</v>
      </c>
      <c r="F38" s="405">
        <f t="shared" si="16"/>
        <v>0</v>
      </c>
      <c r="G38" s="405">
        <f t="shared" si="16"/>
        <v>0</v>
      </c>
      <c r="H38" s="405">
        <f t="shared" si="16"/>
        <v>0</v>
      </c>
      <c r="I38" s="405">
        <f t="shared" si="16"/>
        <v>0</v>
      </c>
      <c r="J38" s="405">
        <f t="shared" si="16"/>
        <v>0</v>
      </c>
      <c r="K38" s="405">
        <f t="shared" si="16"/>
        <v>0</v>
      </c>
      <c r="L38" s="405">
        <f>L37+146</f>
        <v>146</v>
      </c>
      <c r="M38" s="405">
        <f t="shared" si="16"/>
        <v>0</v>
      </c>
      <c r="N38" s="405">
        <f t="shared" si="0"/>
        <v>7207</v>
      </c>
      <c r="O38" s="405">
        <f>O37+126</f>
        <v>26000</v>
      </c>
      <c r="P38" s="406">
        <f>P37+34</f>
        <v>6929</v>
      </c>
      <c r="Q38" s="406">
        <f>Q37+146</f>
        <v>10981</v>
      </c>
      <c r="R38" s="405">
        <f t="shared" si="16"/>
        <v>3103</v>
      </c>
      <c r="S38" s="405">
        <f t="shared" si="16"/>
        <v>0</v>
      </c>
      <c r="T38" s="405"/>
      <c r="U38" s="405">
        <f t="shared" si="16"/>
        <v>0</v>
      </c>
      <c r="V38" s="405">
        <f t="shared" si="16"/>
        <v>0</v>
      </c>
      <c r="W38" s="405">
        <f t="shared" si="16"/>
        <v>4500</v>
      </c>
      <c r="X38" s="405">
        <f t="shared" si="1"/>
        <v>48410</v>
      </c>
      <c r="Z38" s="211"/>
    </row>
    <row r="39" spans="1:26" ht="12.75">
      <c r="A39" s="403"/>
      <c r="B39" s="404" t="s">
        <v>385</v>
      </c>
      <c r="C39" s="405">
        <f>C38</f>
        <v>5649</v>
      </c>
      <c r="D39" s="405">
        <f t="shared" si="16"/>
        <v>2487</v>
      </c>
      <c r="E39" s="405">
        <f t="shared" si="16"/>
        <v>1412</v>
      </c>
      <c r="F39" s="405">
        <f t="shared" si="16"/>
        <v>0</v>
      </c>
      <c r="G39" s="405">
        <f t="shared" si="16"/>
        <v>0</v>
      </c>
      <c r="H39" s="405">
        <f t="shared" si="16"/>
        <v>0</v>
      </c>
      <c r="I39" s="405">
        <f t="shared" si="16"/>
        <v>0</v>
      </c>
      <c r="J39" s="405">
        <f t="shared" si="16"/>
        <v>0</v>
      </c>
      <c r="K39" s="405">
        <f t="shared" si="16"/>
        <v>0</v>
      </c>
      <c r="L39" s="405">
        <f t="shared" si="16"/>
        <v>146</v>
      </c>
      <c r="M39" s="405">
        <f t="shared" si="16"/>
        <v>0</v>
      </c>
      <c r="N39" s="405">
        <f t="shared" si="0"/>
        <v>7207</v>
      </c>
      <c r="O39" s="405">
        <f>O38+202+48+41</f>
        <v>26291</v>
      </c>
      <c r="P39" s="406">
        <f>P38+54+12</f>
        <v>6995</v>
      </c>
      <c r="Q39" s="406">
        <f aca="true" t="shared" si="17" ref="Q39:V41">Q38</f>
        <v>10981</v>
      </c>
      <c r="R39" s="405">
        <f t="shared" si="17"/>
        <v>3103</v>
      </c>
      <c r="S39" s="405">
        <f t="shared" si="17"/>
        <v>0</v>
      </c>
      <c r="T39" s="405"/>
      <c r="U39" s="405">
        <f t="shared" si="17"/>
        <v>0</v>
      </c>
      <c r="V39" s="405">
        <f t="shared" si="17"/>
        <v>0</v>
      </c>
      <c r="W39" s="405"/>
      <c r="X39" s="405">
        <f t="shared" si="1"/>
        <v>44267</v>
      </c>
      <c r="Z39" s="211"/>
    </row>
    <row r="40" spans="1:26" s="407" customFormat="1" ht="12.75">
      <c r="A40" s="403"/>
      <c r="B40" s="404" t="s">
        <v>386</v>
      </c>
      <c r="C40" s="405">
        <f>C39</f>
        <v>5649</v>
      </c>
      <c r="D40" s="405">
        <f t="shared" si="16"/>
        <v>2487</v>
      </c>
      <c r="E40" s="405">
        <f t="shared" si="16"/>
        <v>1412</v>
      </c>
      <c r="F40" s="405">
        <f t="shared" si="16"/>
        <v>0</v>
      </c>
      <c r="G40" s="405">
        <f t="shared" si="16"/>
        <v>0</v>
      </c>
      <c r="H40" s="405">
        <f t="shared" si="16"/>
        <v>0</v>
      </c>
      <c r="I40" s="405">
        <f t="shared" si="16"/>
        <v>0</v>
      </c>
      <c r="J40" s="405">
        <f t="shared" si="16"/>
        <v>0</v>
      </c>
      <c r="K40" s="405">
        <f t="shared" si="16"/>
        <v>0</v>
      </c>
      <c r="L40" s="405">
        <f t="shared" si="16"/>
        <v>146</v>
      </c>
      <c r="M40" s="405">
        <f t="shared" si="16"/>
        <v>0</v>
      </c>
      <c r="N40" s="405">
        <f t="shared" si="0"/>
        <v>7207</v>
      </c>
      <c r="O40" s="405">
        <f>O39+85</f>
        <v>26376</v>
      </c>
      <c r="P40" s="406">
        <f>P39+22</f>
        <v>7017</v>
      </c>
      <c r="Q40" s="406">
        <f t="shared" si="17"/>
        <v>10981</v>
      </c>
      <c r="R40" s="405">
        <f t="shared" si="17"/>
        <v>3103</v>
      </c>
      <c r="S40" s="405">
        <f t="shared" si="17"/>
        <v>0</v>
      </c>
      <c r="T40" s="405"/>
      <c r="U40" s="405">
        <f t="shared" si="17"/>
        <v>0</v>
      </c>
      <c r="V40" s="405">
        <f t="shared" si="17"/>
        <v>0</v>
      </c>
      <c r="W40" s="405"/>
      <c r="X40" s="405">
        <f>SUM(O40:W40)-R40</f>
        <v>44374</v>
      </c>
      <c r="Z40" s="408"/>
    </row>
    <row r="41" spans="1:26" s="407" customFormat="1" ht="12.75">
      <c r="A41" s="403"/>
      <c r="B41" s="404" t="s">
        <v>387</v>
      </c>
      <c r="C41" s="405">
        <f>C40+1973</f>
        <v>7622</v>
      </c>
      <c r="D41" s="405">
        <f t="shared" si="16"/>
        <v>2487</v>
      </c>
      <c r="E41" s="405">
        <f>E40+493</f>
        <v>1905</v>
      </c>
      <c r="F41" s="405">
        <f t="shared" si="16"/>
        <v>0</v>
      </c>
      <c r="G41" s="405">
        <f t="shared" si="16"/>
        <v>0</v>
      </c>
      <c r="H41" s="405">
        <f t="shared" si="16"/>
        <v>0</v>
      </c>
      <c r="I41" s="405">
        <f t="shared" si="16"/>
        <v>0</v>
      </c>
      <c r="J41" s="405">
        <f t="shared" si="16"/>
        <v>0</v>
      </c>
      <c r="K41" s="405">
        <f t="shared" si="16"/>
        <v>0</v>
      </c>
      <c r="L41" s="405">
        <f t="shared" si="16"/>
        <v>146</v>
      </c>
      <c r="M41" s="405">
        <f t="shared" si="16"/>
        <v>0</v>
      </c>
      <c r="N41" s="405">
        <f t="shared" si="0"/>
        <v>9673</v>
      </c>
      <c r="O41" s="405">
        <f>O40+310-5</f>
        <v>26681</v>
      </c>
      <c r="P41" s="406">
        <f>P40+62+9</f>
        <v>7088</v>
      </c>
      <c r="Q41" s="406">
        <f>Q40+2094+1281</f>
        <v>14356</v>
      </c>
      <c r="R41" s="405">
        <f t="shared" si="17"/>
        <v>3103</v>
      </c>
      <c r="S41" s="405">
        <f t="shared" si="17"/>
        <v>0</v>
      </c>
      <c r="T41" s="405"/>
      <c r="U41" s="405">
        <f t="shared" si="17"/>
        <v>0</v>
      </c>
      <c r="V41" s="405">
        <f t="shared" si="17"/>
        <v>0</v>
      </c>
      <c r="W41" s="405">
        <f>W40</f>
        <v>0</v>
      </c>
      <c r="X41" s="405">
        <f>SUM(O41:W41)-R41</f>
        <v>48125</v>
      </c>
      <c r="Y41" s="405">
        <f>Y40</f>
        <v>0</v>
      </c>
      <c r="Z41" s="405">
        <f>Z40</f>
        <v>0</v>
      </c>
    </row>
    <row r="42" spans="1:26" s="407" customFormat="1" ht="12.75">
      <c r="A42" s="403"/>
      <c r="B42" s="404" t="s">
        <v>388</v>
      </c>
      <c r="C42" s="405">
        <v>7622</v>
      </c>
      <c r="D42" s="405">
        <v>2718</v>
      </c>
      <c r="E42" s="405">
        <v>1905</v>
      </c>
      <c r="F42" s="405"/>
      <c r="G42" s="405"/>
      <c r="H42" s="405"/>
      <c r="I42" s="405"/>
      <c r="J42" s="405"/>
      <c r="K42" s="405"/>
      <c r="L42" s="405">
        <v>146</v>
      </c>
      <c r="M42" s="405"/>
      <c r="N42" s="405">
        <f t="shared" si="0"/>
        <v>9673</v>
      </c>
      <c r="O42" s="405">
        <v>26617</v>
      </c>
      <c r="P42" s="406">
        <v>7088</v>
      </c>
      <c r="Q42" s="406">
        <v>14356</v>
      </c>
      <c r="R42" s="405">
        <v>3103</v>
      </c>
      <c r="S42" s="405"/>
      <c r="T42" s="405"/>
      <c r="U42" s="405"/>
      <c r="V42" s="405"/>
      <c r="W42" s="405"/>
      <c r="X42" s="405">
        <f>SUM(O42:W42)-R42</f>
        <v>48061</v>
      </c>
      <c r="Y42" s="410"/>
      <c r="Z42" s="410"/>
    </row>
    <row r="43" spans="1:26" ht="12.75">
      <c r="A43" s="403">
        <f>'[2]Eredeti Ft'!A25</f>
        <v>0</v>
      </c>
      <c r="B43" s="404">
        <f>'[2]Eredeti Ft'!B25</f>
        <v>0</v>
      </c>
      <c r="C43" s="405">
        <f>ROUND('[2]Eredeti Ft'!C25,-3)/1000</f>
        <v>4187</v>
      </c>
      <c r="D43" s="405">
        <f>ROUND('[2]Eredeti Ft'!D25,-3)/1000</f>
        <v>3615</v>
      </c>
      <c r="E43" s="405">
        <f>ROUND('[2]Eredeti Ft'!E25,-3)/1000-1</f>
        <v>1046</v>
      </c>
      <c r="F43" s="405">
        <f>ROUND('[2]Eredeti Ft'!F25,-3)/1000</f>
        <v>0</v>
      </c>
      <c r="G43" s="405">
        <f>ROUND('[2]Eredeti Ft'!G25,-3)/1000</f>
        <v>0</v>
      </c>
      <c r="H43" s="405">
        <f>ROUND('[2]Eredeti Ft'!H25,-3)/1000</f>
        <v>0</v>
      </c>
      <c r="I43" s="405">
        <f>ROUND('[2]Eredeti Ft'!I25,-3)/1000</f>
        <v>0</v>
      </c>
      <c r="J43" s="405">
        <f>ROUND('[2]Eredeti Ft'!J25,-3)/1000</f>
        <v>0</v>
      </c>
      <c r="K43" s="405">
        <f>ROUND('[2]Eredeti Ft'!K25,-3)/1000</f>
        <v>0</v>
      </c>
      <c r="L43" s="405">
        <f>ROUND('[2]Eredeti Ft'!L25,-3)/1000</f>
        <v>0</v>
      </c>
      <c r="M43" s="405">
        <f>ROUND('[2]Eredeti Ft'!M25,-3)/1000</f>
        <v>0</v>
      </c>
      <c r="N43" s="405">
        <f t="shared" si="0"/>
        <v>5233</v>
      </c>
      <c r="O43" s="405">
        <f>ROUND('[2]Eredeti Ft'!O25,-3)/1000</f>
        <v>27157</v>
      </c>
      <c r="P43" s="406">
        <f>ROUND('[2]Eredeti Ft'!P25,-3)/1000</f>
        <v>7242</v>
      </c>
      <c r="Q43" s="406">
        <f>ROUND('[2]Eredeti Ft'!Q25,-3)/1000</f>
        <v>10586</v>
      </c>
      <c r="R43" s="405">
        <f>ROUND('[2]Eredeti Ft'!R25,-3)/1000</f>
        <v>4725</v>
      </c>
      <c r="S43" s="405">
        <f>ROUND('[2]Eredeti Ft'!S25,-3)/1000</f>
        <v>0</v>
      </c>
      <c r="T43" s="405"/>
      <c r="U43" s="405">
        <f>ROUND('[2]Eredeti Ft'!T25,-3)/1000</f>
        <v>0</v>
      </c>
      <c r="V43" s="405">
        <f>ROUND('[2]Eredeti Ft'!U25,-3)/1000</f>
        <v>0</v>
      </c>
      <c r="W43" s="405">
        <f>ROUND('[2]Eredeti Ft'!V25,-3)/1000</f>
        <v>0</v>
      </c>
      <c r="X43" s="405">
        <f t="shared" si="1"/>
        <v>44985</v>
      </c>
      <c r="Z43" s="211">
        <f>SUM(O43:W43)-R43</f>
        <v>44985</v>
      </c>
    </row>
    <row r="44" spans="1:26" ht="12.75">
      <c r="A44" s="403"/>
      <c r="B44" s="404" t="s">
        <v>384</v>
      </c>
      <c r="C44" s="405">
        <f>C43</f>
        <v>4187</v>
      </c>
      <c r="D44" s="405">
        <f aca="true" t="shared" si="18" ref="D44:W47">D43</f>
        <v>3615</v>
      </c>
      <c r="E44" s="405">
        <f t="shared" si="18"/>
        <v>1046</v>
      </c>
      <c r="F44" s="405">
        <f t="shared" si="18"/>
        <v>0</v>
      </c>
      <c r="G44" s="405">
        <f t="shared" si="18"/>
        <v>0</v>
      </c>
      <c r="H44" s="405">
        <f t="shared" si="18"/>
        <v>0</v>
      </c>
      <c r="I44" s="405">
        <f t="shared" si="18"/>
        <v>0</v>
      </c>
      <c r="J44" s="405">
        <f t="shared" si="18"/>
        <v>0</v>
      </c>
      <c r="K44" s="405">
        <f t="shared" si="18"/>
        <v>0</v>
      </c>
      <c r="L44" s="405">
        <f>L43+242</f>
        <v>242</v>
      </c>
      <c r="M44" s="405">
        <f t="shared" si="18"/>
        <v>0</v>
      </c>
      <c r="N44" s="405">
        <f t="shared" si="0"/>
        <v>5475</v>
      </c>
      <c r="O44" s="405">
        <f>O43+73</f>
        <v>27230</v>
      </c>
      <c r="P44" s="406">
        <f>P43+20</f>
        <v>7262</v>
      </c>
      <c r="Q44" s="406">
        <f>Q43+242</f>
        <v>10828</v>
      </c>
      <c r="R44" s="405">
        <f t="shared" si="18"/>
        <v>4725</v>
      </c>
      <c r="S44" s="405">
        <f t="shared" si="18"/>
        <v>0</v>
      </c>
      <c r="T44" s="405"/>
      <c r="U44" s="405">
        <f t="shared" si="18"/>
        <v>0</v>
      </c>
      <c r="V44" s="405">
        <f t="shared" si="18"/>
        <v>0</v>
      </c>
      <c r="W44" s="405">
        <f t="shared" si="18"/>
        <v>0</v>
      </c>
      <c r="X44" s="405">
        <f t="shared" si="1"/>
        <v>45320</v>
      </c>
      <c r="Z44" s="211"/>
    </row>
    <row r="45" spans="1:26" ht="12.75">
      <c r="A45" s="403"/>
      <c r="B45" s="404" t="s">
        <v>385</v>
      </c>
      <c r="C45" s="405">
        <f>C44</f>
        <v>4187</v>
      </c>
      <c r="D45" s="405">
        <f t="shared" si="18"/>
        <v>3615</v>
      </c>
      <c r="E45" s="405">
        <f t="shared" si="18"/>
        <v>1046</v>
      </c>
      <c r="F45" s="405">
        <f t="shared" si="18"/>
        <v>0</v>
      </c>
      <c r="G45" s="405">
        <f t="shared" si="18"/>
        <v>0</v>
      </c>
      <c r="H45" s="405">
        <f t="shared" si="18"/>
        <v>0</v>
      </c>
      <c r="I45" s="405">
        <f t="shared" si="18"/>
        <v>0</v>
      </c>
      <c r="J45" s="405">
        <f t="shared" si="18"/>
        <v>0</v>
      </c>
      <c r="K45" s="405">
        <f t="shared" si="18"/>
        <v>0</v>
      </c>
      <c r="L45" s="405">
        <f t="shared" si="18"/>
        <v>242</v>
      </c>
      <c r="M45" s="405">
        <f t="shared" si="18"/>
        <v>0</v>
      </c>
      <c r="N45" s="405">
        <f t="shared" si="0"/>
        <v>5475</v>
      </c>
      <c r="O45" s="405">
        <f>O44+192+39</f>
        <v>27461</v>
      </c>
      <c r="P45" s="406">
        <f>P44+52</f>
        <v>7314</v>
      </c>
      <c r="Q45" s="406">
        <f aca="true" t="shared" si="19" ref="Q45:W47">Q44</f>
        <v>10828</v>
      </c>
      <c r="R45" s="405">
        <f t="shared" si="19"/>
        <v>4725</v>
      </c>
      <c r="S45" s="405">
        <f t="shared" si="19"/>
        <v>0</v>
      </c>
      <c r="T45" s="405"/>
      <c r="U45" s="405">
        <f t="shared" si="19"/>
        <v>0</v>
      </c>
      <c r="V45" s="405">
        <f t="shared" si="19"/>
        <v>0</v>
      </c>
      <c r="W45" s="405">
        <f t="shared" si="19"/>
        <v>0</v>
      </c>
      <c r="X45" s="405">
        <f t="shared" si="1"/>
        <v>45603</v>
      </c>
      <c r="Z45" s="211"/>
    </row>
    <row r="46" spans="1:26" s="407" customFormat="1" ht="12.75">
      <c r="A46" s="403"/>
      <c r="B46" s="404" t="s">
        <v>386</v>
      </c>
      <c r="C46" s="405">
        <f>C45</f>
        <v>4187</v>
      </c>
      <c r="D46" s="405">
        <f t="shared" si="18"/>
        <v>3615</v>
      </c>
      <c r="E46" s="405">
        <f t="shared" si="18"/>
        <v>1046</v>
      </c>
      <c r="F46" s="405">
        <f t="shared" si="18"/>
        <v>0</v>
      </c>
      <c r="G46" s="405">
        <f t="shared" si="18"/>
        <v>0</v>
      </c>
      <c r="H46" s="405">
        <f t="shared" si="18"/>
        <v>0</v>
      </c>
      <c r="I46" s="405">
        <f t="shared" si="18"/>
        <v>0</v>
      </c>
      <c r="J46" s="405">
        <f t="shared" si="18"/>
        <v>0</v>
      </c>
      <c r="K46" s="405">
        <f t="shared" si="18"/>
        <v>0</v>
      </c>
      <c r="L46" s="405">
        <f t="shared" si="18"/>
        <v>242</v>
      </c>
      <c r="M46" s="405">
        <f t="shared" si="18"/>
        <v>0</v>
      </c>
      <c r="N46" s="405">
        <f t="shared" si="0"/>
        <v>5475</v>
      </c>
      <c r="O46" s="405">
        <f>O45+82</f>
        <v>27543</v>
      </c>
      <c r="P46" s="406">
        <f>P45+22</f>
        <v>7336</v>
      </c>
      <c r="Q46" s="406">
        <f t="shared" si="19"/>
        <v>10828</v>
      </c>
      <c r="R46" s="405">
        <f t="shared" si="19"/>
        <v>4725</v>
      </c>
      <c r="S46" s="405">
        <f t="shared" si="19"/>
        <v>0</v>
      </c>
      <c r="T46" s="405"/>
      <c r="U46" s="405">
        <f t="shared" si="19"/>
        <v>0</v>
      </c>
      <c r="V46" s="405">
        <f t="shared" si="19"/>
        <v>0</v>
      </c>
      <c r="W46" s="405">
        <f t="shared" si="19"/>
        <v>0</v>
      </c>
      <c r="X46" s="405">
        <f>SUM(O46:W46)-R46</f>
        <v>45707</v>
      </c>
      <c r="Z46" s="408"/>
    </row>
    <row r="47" spans="1:26" s="407" customFormat="1" ht="12.75">
      <c r="A47" s="403"/>
      <c r="B47" s="404" t="s">
        <v>387</v>
      </c>
      <c r="C47" s="405">
        <f>C46</f>
        <v>4187</v>
      </c>
      <c r="D47" s="405">
        <f t="shared" si="18"/>
        <v>3615</v>
      </c>
      <c r="E47" s="405">
        <f t="shared" si="18"/>
        <v>1046</v>
      </c>
      <c r="F47" s="405">
        <f t="shared" si="18"/>
        <v>0</v>
      </c>
      <c r="G47" s="405">
        <f t="shared" si="18"/>
        <v>0</v>
      </c>
      <c r="H47" s="405">
        <f t="shared" si="18"/>
        <v>0</v>
      </c>
      <c r="I47" s="405">
        <f t="shared" si="18"/>
        <v>0</v>
      </c>
      <c r="J47" s="405">
        <f t="shared" si="18"/>
        <v>0</v>
      </c>
      <c r="K47" s="405">
        <f t="shared" si="18"/>
        <v>0</v>
      </c>
      <c r="L47" s="405">
        <f t="shared" si="18"/>
        <v>242</v>
      </c>
      <c r="M47" s="405">
        <f t="shared" si="18"/>
        <v>0</v>
      </c>
      <c r="N47" s="405">
        <f>N46</f>
        <v>5475</v>
      </c>
      <c r="O47" s="405">
        <f>O46-7-240</f>
        <v>27296</v>
      </c>
      <c r="P47" s="406">
        <f>P46+12-85</f>
        <v>7263</v>
      </c>
      <c r="Q47" s="406">
        <f>Q46+240+85</f>
        <v>11153</v>
      </c>
      <c r="R47" s="405">
        <f t="shared" si="19"/>
        <v>4725</v>
      </c>
      <c r="S47" s="405">
        <f t="shared" si="19"/>
        <v>0</v>
      </c>
      <c r="T47" s="405"/>
      <c r="U47" s="405">
        <f t="shared" si="19"/>
        <v>0</v>
      </c>
      <c r="V47" s="405">
        <f t="shared" si="19"/>
        <v>0</v>
      </c>
      <c r="W47" s="405">
        <f t="shared" si="19"/>
        <v>0</v>
      </c>
      <c r="X47" s="405">
        <f>SUM(O47:W47)-R47</f>
        <v>45712</v>
      </c>
      <c r="Y47" s="405">
        <f>Y46</f>
        <v>0</v>
      </c>
      <c r="Z47" s="405">
        <f>Z46</f>
        <v>0</v>
      </c>
    </row>
    <row r="48" spans="1:26" s="407" customFormat="1" ht="12.75">
      <c r="A48" s="403"/>
      <c r="B48" s="404" t="s">
        <v>388</v>
      </c>
      <c r="C48" s="405">
        <v>4191</v>
      </c>
      <c r="D48" s="405">
        <v>3870</v>
      </c>
      <c r="E48" s="405">
        <v>1048</v>
      </c>
      <c r="F48" s="405"/>
      <c r="G48" s="405"/>
      <c r="H48" s="405"/>
      <c r="I48" s="405"/>
      <c r="J48" s="405"/>
      <c r="K48" s="405"/>
      <c r="L48" s="405">
        <v>242</v>
      </c>
      <c r="M48" s="405"/>
      <c r="N48" s="405">
        <v>5481</v>
      </c>
      <c r="O48" s="405">
        <v>27184</v>
      </c>
      <c r="P48" s="406">
        <v>7262</v>
      </c>
      <c r="Q48" s="406">
        <v>11153</v>
      </c>
      <c r="R48" s="405">
        <v>4725</v>
      </c>
      <c r="S48" s="405"/>
      <c r="T48" s="405"/>
      <c r="U48" s="405"/>
      <c r="V48" s="405"/>
      <c r="W48" s="405"/>
      <c r="X48" s="405">
        <f>SUM(O48:W48)-R48</f>
        <v>45599</v>
      </c>
      <c r="Y48" s="410"/>
      <c r="Z48" s="410"/>
    </row>
    <row r="49" spans="1:26" ht="12.75">
      <c r="A49" s="403">
        <f>'[2]Eredeti Ft'!A28</f>
        <v>0</v>
      </c>
      <c r="B49" s="404">
        <f>'[2]Eredeti Ft'!B28</f>
        <v>0</v>
      </c>
      <c r="C49" s="405">
        <f>ROUND('[2]Eredeti Ft'!C28,-3)/1000-1</f>
        <v>1002</v>
      </c>
      <c r="D49" s="405">
        <f>ROUND('[2]Eredeti Ft'!D28,-3)/1000</f>
        <v>839</v>
      </c>
      <c r="E49" s="405">
        <f>ROUND('[2]Eredeti Ft'!E28,-3)/1000</f>
        <v>251</v>
      </c>
      <c r="F49" s="405">
        <f>ROUND('[2]Eredeti Ft'!F28,-3)/1000</f>
        <v>0</v>
      </c>
      <c r="G49" s="405">
        <f>ROUND('[2]Eredeti Ft'!G28,-3)/1000</f>
        <v>0</v>
      </c>
      <c r="H49" s="405">
        <f>ROUND('[2]Eredeti Ft'!H28,-3)/1000</f>
        <v>0</v>
      </c>
      <c r="I49" s="405">
        <f>ROUND('[2]Eredeti Ft'!I28,-3)/1000</f>
        <v>0</v>
      </c>
      <c r="J49" s="405">
        <f>ROUND('[2]Eredeti Ft'!J28,-3)/1000</f>
        <v>0</v>
      </c>
      <c r="K49" s="405">
        <f>ROUND('[2]Eredeti Ft'!K28,-3)/1000</f>
        <v>0</v>
      </c>
      <c r="L49" s="405">
        <f>ROUND('[2]Eredeti Ft'!L28,-3)/1000</f>
        <v>0</v>
      </c>
      <c r="M49" s="405">
        <f>ROUND('[2]Eredeti Ft'!M28,-3)/1000</f>
        <v>0</v>
      </c>
      <c r="N49" s="405">
        <f t="shared" si="0"/>
        <v>1253</v>
      </c>
      <c r="O49" s="405">
        <f>ROUND('[2]Eredeti Ft'!O28,-3)/1000</f>
        <v>7193</v>
      </c>
      <c r="P49" s="406">
        <f>ROUND('[2]Eredeti Ft'!P28,-3)/1000</f>
        <v>1936</v>
      </c>
      <c r="Q49" s="406">
        <f>ROUND('[2]Eredeti Ft'!Q28,-3)/1000</f>
        <v>2957</v>
      </c>
      <c r="R49" s="405">
        <f>ROUND('[2]Eredeti Ft'!R28,-3)/1000</f>
        <v>1040</v>
      </c>
      <c r="S49" s="405">
        <f>ROUND('[2]Eredeti Ft'!S28,-3)/1000</f>
        <v>0</v>
      </c>
      <c r="T49" s="405"/>
      <c r="U49" s="405">
        <f>ROUND('[2]Eredeti Ft'!T28,-3)/1000</f>
        <v>0</v>
      </c>
      <c r="V49" s="405">
        <f>ROUND('[2]Eredeti Ft'!U28,-3)/1000</f>
        <v>0</v>
      </c>
      <c r="W49" s="405">
        <f>ROUND('[2]Eredeti Ft'!V28,-3)/1000</f>
        <v>0</v>
      </c>
      <c r="X49" s="405">
        <f t="shared" si="1"/>
        <v>12086</v>
      </c>
      <c r="Z49" s="211">
        <f>SUM(O49:W49)-R49</f>
        <v>12086</v>
      </c>
    </row>
    <row r="50" spans="1:26" ht="12.75">
      <c r="A50" s="403"/>
      <c r="B50" s="404" t="s">
        <v>384</v>
      </c>
      <c r="C50" s="405">
        <f>C49</f>
        <v>1002</v>
      </c>
      <c r="D50" s="405">
        <f aca="true" t="shared" si="20" ref="D50:W53">D49</f>
        <v>839</v>
      </c>
      <c r="E50" s="405">
        <f t="shared" si="20"/>
        <v>251</v>
      </c>
      <c r="F50" s="405">
        <f t="shared" si="20"/>
        <v>0</v>
      </c>
      <c r="G50" s="405">
        <f t="shared" si="20"/>
        <v>0</v>
      </c>
      <c r="H50" s="405">
        <f t="shared" si="20"/>
        <v>0</v>
      </c>
      <c r="I50" s="405">
        <f t="shared" si="20"/>
        <v>0</v>
      </c>
      <c r="J50" s="405">
        <f t="shared" si="20"/>
        <v>0</v>
      </c>
      <c r="K50" s="405">
        <f t="shared" si="20"/>
        <v>0</v>
      </c>
      <c r="L50" s="405">
        <f t="shared" si="20"/>
        <v>0</v>
      </c>
      <c r="M50" s="405">
        <f t="shared" si="20"/>
        <v>0</v>
      </c>
      <c r="N50" s="405">
        <f t="shared" si="0"/>
        <v>1253</v>
      </c>
      <c r="O50" s="405">
        <f>O49+48</f>
        <v>7241</v>
      </c>
      <c r="P50" s="406">
        <f>P49+13</f>
        <v>1949</v>
      </c>
      <c r="Q50" s="406">
        <f t="shared" si="20"/>
        <v>2957</v>
      </c>
      <c r="R50" s="405">
        <f t="shared" si="20"/>
        <v>1040</v>
      </c>
      <c r="S50" s="405">
        <f t="shared" si="20"/>
        <v>0</v>
      </c>
      <c r="T50" s="405"/>
      <c r="U50" s="405">
        <f t="shared" si="20"/>
        <v>0</v>
      </c>
      <c r="V50" s="405">
        <f t="shared" si="20"/>
        <v>0</v>
      </c>
      <c r="W50" s="405">
        <f t="shared" si="20"/>
        <v>0</v>
      </c>
      <c r="X50" s="405">
        <f t="shared" si="1"/>
        <v>12147</v>
      </c>
      <c r="Z50" s="211"/>
    </row>
    <row r="51" spans="1:26" ht="12.75">
      <c r="A51" s="403"/>
      <c r="B51" s="404" t="s">
        <v>385</v>
      </c>
      <c r="C51" s="405">
        <f>C50</f>
        <v>1002</v>
      </c>
      <c r="D51" s="405">
        <f t="shared" si="20"/>
        <v>839</v>
      </c>
      <c r="E51" s="405">
        <f t="shared" si="20"/>
        <v>251</v>
      </c>
      <c r="F51" s="405">
        <f t="shared" si="20"/>
        <v>0</v>
      </c>
      <c r="G51" s="405">
        <f t="shared" si="20"/>
        <v>0</v>
      </c>
      <c r="H51" s="405">
        <f t="shared" si="20"/>
        <v>0</v>
      </c>
      <c r="I51" s="405">
        <f t="shared" si="20"/>
        <v>0</v>
      </c>
      <c r="J51" s="405">
        <f t="shared" si="20"/>
        <v>0</v>
      </c>
      <c r="K51" s="405">
        <f t="shared" si="20"/>
        <v>0</v>
      </c>
      <c r="L51" s="405">
        <f t="shared" si="20"/>
        <v>0</v>
      </c>
      <c r="M51" s="405">
        <f t="shared" si="20"/>
        <v>0</v>
      </c>
      <c r="N51" s="405">
        <f t="shared" si="0"/>
        <v>1253</v>
      </c>
      <c r="O51" s="405">
        <f>O50+79+16</f>
        <v>7336</v>
      </c>
      <c r="P51" s="406">
        <f>P50+21</f>
        <v>1970</v>
      </c>
      <c r="Q51" s="406">
        <f>Q50+25</f>
        <v>2982</v>
      </c>
      <c r="R51" s="405">
        <f>R50</f>
        <v>1040</v>
      </c>
      <c r="S51" s="405">
        <f t="shared" si="20"/>
        <v>0</v>
      </c>
      <c r="T51" s="405"/>
      <c r="U51" s="405">
        <f t="shared" si="20"/>
        <v>0</v>
      </c>
      <c r="V51" s="405">
        <f t="shared" si="20"/>
        <v>0</v>
      </c>
      <c r="W51" s="405">
        <f t="shared" si="20"/>
        <v>0</v>
      </c>
      <c r="X51" s="405">
        <f t="shared" si="1"/>
        <v>12288</v>
      </c>
      <c r="Z51" s="211"/>
    </row>
    <row r="52" spans="1:26" s="407" customFormat="1" ht="12.75">
      <c r="A52" s="403"/>
      <c r="B52" s="404" t="s">
        <v>386</v>
      </c>
      <c r="C52" s="405">
        <f>C51</f>
        <v>1002</v>
      </c>
      <c r="D52" s="405">
        <f t="shared" si="20"/>
        <v>839</v>
      </c>
      <c r="E52" s="405">
        <f t="shared" si="20"/>
        <v>251</v>
      </c>
      <c r="F52" s="405">
        <f t="shared" si="20"/>
        <v>0</v>
      </c>
      <c r="G52" s="405">
        <f t="shared" si="20"/>
        <v>0</v>
      </c>
      <c r="H52" s="405">
        <f t="shared" si="20"/>
        <v>0</v>
      </c>
      <c r="I52" s="405">
        <v>119</v>
      </c>
      <c r="J52" s="405">
        <f t="shared" si="20"/>
        <v>0</v>
      </c>
      <c r="K52" s="405">
        <f t="shared" si="20"/>
        <v>0</v>
      </c>
      <c r="L52" s="405">
        <f t="shared" si="20"/>
        <v>0</v>
      </c>
      <c r="M52" s="405">
        <f t="shared" si="20"/>
        <v>0</v>
      </c>
      <c r="N52" s="405">
        <f t="shared" si="0"/>
        <v>1372</v>
      </c>
      <c r="O52" s="405">
        <f>O51+89+32</f>
        <v>7457</v>
      </c>
      <c r="P52" s="406">
        <f>P51+30+8</f>
        <v>2008</v>
      </c>
      <c r="Q52" s="406">
        <f>Q51</f>
        <v>2982</v>
      </c>
      <c r="R52" s="405">
        <f>R51</f>
        <v>1040</v>
      </c>
      <c r="S52" s="405">
        <f>S51</f>
        <v>0</v>
      </c>
      <c r="T52" s="405"/>
      <c r="U52" s="405">
        <f>U51</f>
        <v>0</v>
      </c>
      <c r="V52" s="405">
        <f>V51</f>
        <v>0</v>
      </c>
      <c r="W52" s="405">
        <f>W51</f>
        <v>0</v>
      </c>
      <c r="X52" s="405">
        <f>SUM(O52:W52)-R52</f>
        <v>12447</v>
      </c>
      <c r="Z52" s="408"/>
    </row>
    <row r="53" spans="1:26" s="407" customFormat="1" ht="12.75">
      <c r="A53" s="403"/>
      <c r="B53" s="404" t="s">
        <v>387</v>
      </c>
      <c r="C53" s="405">
        <f>C52</f>
        <v>1002</v>
      </c>
      <c r="D53" s="405">
        <f t="shared" si="20"/>
        <v>839</v>
      </c>
      <c r="E53" s="405">
        <f t="shared" si="20"/>
        <v>251</v>
      </c>
      <c r="F53" s="405">
        <f t="shared" si="20"/>
        <v>0</v>
      </c>
      <c r="G53" s="405">
        <f t="shared" si="20"/>
        <v>0</v>
      </c>
      <c r="H53" s="405">
        <f t="shared" si="20"/>
        <v>0</v>
      </c>
      <c r="I53" s="405">
        <f>I52+60</f>
        <v>179</v>
      </c>
      <c r="J53" s="405">
        <f t="shared" si="20"/>
        <v>0</v>
      </c>
      <c r="K53" s="405">
        <f t="shared" si="20"/>
        <v>0</v>
      </c>
      <c r="L53" s="405">
        <f t="shared" si="20"/>
        <v>0</v>
      </c>
      <c r="M53" s="405">
        <f t="shared" si="20"/>
        <v>0</v>
      </c>
      <c r="N53" s="405">
        <f t="shared" si="0"/>
        <v>1432</v>
      </c>
      <c r="O53" s="405">
        <f>O52+47-2</f>
        <v>7502</v>
      </c>
      <c r="P53" s="406">
        <f>P52+13+4</f>
        <v>2025</v>
      </c>
      <c r="Q53" s="406">
        <f aca="true" t="shared" si="21" ref="Q53:Z53">Q52</f>
        <v>2982</v>
      </c>
      <c r="R53" s="405">
        <f t="shared" si="21"/>
        <v>1040</v>
      </c>
      <c r="S53" s="405">
        <f t="shared" si="21"/>
        <v>0</v>
      </c>
      <c r="T53" s="405"/>
      <c r="U53" s="405">
        <f t="shared" si="21"/>
        <v>0</v>
      </c>
      <c r="V53" s="405">
        <f t="shared" si="21"/>
        <v>0</v>
      </c>
      <c r="W53" s="405">
        <f t="shared" si="21"/>
        <v>0</v>
      </c>
      <c r="X53" s="405">
        <f>SUM(O53:W53)-R53</f>
        <v>12509</v>
      </c>
      <c r="Y53" s="405">
        <f t="shared" si="21"/>
        <v>0</v>
      </c>
      <c r="Z53" s="405">
        <f t="shared" si="21"/>
        <v>0</v>
      </c>
    </row>
    <row r="54" spans="1:26" s="407" customFormat="1" ht="12.75">
      <c r="A54" s="403"/>
      <c r="B54" s="404" t="s">
        <v>388</v>
      </c>
      <c r="C54" s="405">
        <v>898</v>
      </c>
      <c r="D54" s="405">
        <v>877</v>
      </c>
      <c r="E54" s="405">
        <v>224</v>
      </c>
      <c r="F54" s="405"/>
      <c r="G54" s="405"/>
      <c r="H54" s="405"/>
      <c r="I54" s="405">
        <v>179</v>
      </c>
      <c r="J54" s="405"/>
      <c r="K54" s="405"/>
      <c r="L54" s="405"/>
      <c r="M54" s="405"/>
      <c r="N54" s="405">
        <f t="shared" si="0"/>
        <v>1301</v>
      </c>
      <c r="O54" s="405">
        <v>7448</v>
      </c>
      <c r="P54" s="406">
        <v>1973</v>
      </c>
      <c r="Q54" s="406">
        <v>2842</v>
      </c>
      <c r="R54" s="405">
        <v>1040</v>
      </c>
      <c r="S54" s="405"/>
      <c r="T54" s="405"/>
      <c r="U54" s="405"/>
      <c r="V54" s="405"/>
      <c r="W54" s="405"/>
      <c r="X54" s="405">
        <f>SUM(O54:W54)-R54</f>
        <v>12263</v>
      </c>
      <c r="Y54" s="410"/>
      <c r="Z54" s="410"/>
    </row>
    <row r="55" spans="1:26" ht="12.75">
      <c r="A55" s="403">
        <f>'[2]Eredeti Ft'!A31</f>
        <v>0</v>
      </c>
      <c r="B55" s="404">
        <f>'[2]Eredeti Ft'!B31</f>
        <v>0</v>
      </c>
      <c r="C55" s="405">
        <f>ROUND('[2]Eredeti Ft'!C31,-3)/1000</f>
        <v>4677</v>
      </c>
      <c r="D55" s="405">
        <f>ROUND('[2]Eredeti Ft'!D31,-3)/1000</f>
        <v>3295</v>
      </c>
      <c r="E55" s="405">
        <f>ROUND('[2]Eredeti Ft'!E31,-3)/1000</f>
        <v>1169</v>
      </c>
      <c r="F55" s="405">
        <f>ROUND('[2]Eredeti Ft'!F31,-3)/1000</f>
        <v>0</v>
      </c>
      <c r="G55" s="405">
        <f>ROUND('[2]Eredeti Ft'!G31,-3)/1000</f>
        <v>0</v>
      </c>
      <c r="H55" s="405">
        <f>ROUND('[2]Eredeti Ft'!H31,-3)/1000</f>
        <v>0</v>
      </c>
      <c r="I55" s="405">
        <f>ROUND('[2]Eredeti Ft'!I31,-3)/1000</f>
        <v>0</v>
      </c>
      <c r="J55" s="405">
        <f>ROUND('[2]Eredeti Ft'!J31,-3)/1000</f>
        <v>0</v>
      </c>
      <c r="K55" s="405">
        <f>ROUND('[2]Eredeti Ft'!K31,-3)/1000</f>
        <v>0</v>
      </c>
      <c r="L55" s="405">
        <f>ROUND('[2]Eredeti Ft'!L31,-3)/1000</f>
        <v>0</v>
      </c>
      <c r="M55" s="405">
        <f>ROUND('[2]Eredeti Ft'!M31,-3)/1000</f>
        <v>0</v>
      </c>
      <c r="N55" s="405">
        <f t="shared" si="0"/>
        <v>5846</v>
      </c>
      <c r="O55" s="405">
        <f>ROUND('[2]Eredeti Ft'!O31,-3)/1000</f>
        <v>37987</v>
      </c>
      <c r="P55" s="406">
        <f>ROUND('[2]Eredeti Ft'!P31,-3)/1000</f>
        <v>10028</v>
      </c>
      <c r="Q55" s="406">
        <f>ROUND('[2]Eredeti Ft'!Q31,-3)/1000</f>
        <v>19990</v>
      </c>
      <c r="R55" s="405">
        <f>ROUND('[2]Eredeti Ft'!R31,-3)/1000</f>
        <v>3917</v>
      </c>
      <c r="S55" s="405">
        <f>ROUND('[2]Eredeti Ft'!S31,-3)/1000</f>
        <v>0</v>
      </c>
      <c r="T55" s="405"/>
      <c r="U55" s="405">
        <f>ROUND('[2]Eredeti Ft'!T31,-3)/1000</f>
        <v>0</v>
      </c>
      <c r="V55" s="405">
        <f>ROUND('[2]Eredeti Ft'!U31,-3)/1000</f>
        <v>0</v>
      </c>
      <c r="W55" s="405">
        <f>ROUND('[2]Eredeti Ft'!V31,-3)/1000</f>
        <v>5000</v>
      </c>
      <c r="X55" s="405">
        <f t="shared" si="1"/>
        <v>73005</v>
      </c>
      <c r="Z55" s="211">
        <f>SUM(O55:W55)-R55</f>
        <v>73005</v>
      </c>
    </row>
    <row r="56" spans="1:26" ht="12.75">
      <c r="A56" s="403"/>
      <c r="B56" s="404" t="s">
        <v>384</v>
      </c>
      <c r="C56" s="405">
        <f aca="true" t="shared" si="22" ref="C56:L59">C55</f>
        <v>4677</v>
      </c>
      <c r="D56" s="405">
        <f t="shared" si="22"/>
        <v>3295</v>
      </c>
      <c r="E56" s="405">
        <f t="shared" si="22"/>
        <v>1169</v>
      </c>
      <c r="F56" s="405">
        <f t="shared" si="22"/>
        <v>0</v>
      </c>
      <c r="G56" s="405">
        <f t="shared" si="22"/>
        <v>0</v>
      </c>
      <c r="H56" s="405">
        <f t="shared" si="22"/>
        <v>0</v>
      </c>
      <c r="I56" s="405">
        <f t="shared" si="22"/>
        <v>0</v>
      </c>
      <c r="J56" s="405">
        <f t="shared" si="22"/>
        <v>0</v>
      </c>
      <c r="K56" s="405">
        <f t="shared" si="22"/>
        <v>0</v>
      </c>
      <c r="L56" s="405">
        <f>L55+1047</f>
        <v>1047</v>
      </c>
      <c r="M56" s="405">
        <f>M55</f>
        <v>0</v>
      </c>
      <c r="N56" s="405">
        <f t="shared" si="0"/>
        <v>6893</v>
      </c>
      <c r="O56" s="405">
        <f>O55+156+120+4081</f>
        <v>42344</v>
      </c>
      <c r="P56" s="406">
        <f>P55+42+1080</f>
        <v>11150</v>
      </c>
      <c r="Q56" s="406">
        <f>Q55+927+2839</f>
        <v>23756</v>
      </c>
      <c r="R56" s="405">
        <f>R55</f>
        <v>3917</v>
      </c>
      <c r="S56" s="405">
        <f>S55</f>
        <v>0</v>
      </c>
      <c r="T56" s="405"/>
      <c r="U56" s="405">
        <f>U55</f>
        <v>0</v>
      </c>
      <c r="V56" s="405">
        <f>V55</f>
        <v>0</v>
      </c>
      <c r="W56" s="405">
        <f>W55</f>
        <v>5000</v>
      </c>
      <c r="X56" s="405">
        <f t="shared" si="1"/>
        <v>82250</v>
      </c>
      <c r="Z56" s="211"/>
    </row>
    <row r="57" spans="1:26" ht="12.75">
      <c r="A57" s="403"/>
      <c r="B57" s="404" t="s">
        <v>385</v>
      </c>
      <c r="C57" s="405">
        <f t="shared" si="22"/>
        <v>4677</v>
      </c>
      <c r="D57" s="405">
        <f t="shared" si="22"/>
        <v>3295</v>
      </c>
      <c r="E57" s="405">
        <f t="shared" si="22"/>
        <v>1169</v>
      </c>
      <c r="F57" s="405">
        <f t="shared" si="22"/>
        <v>0</v>
      </c>
      <c r="G57" s="405">
        <f>468</f>
        <v>468</v>
      </c>
      <c r="H57" s="405">
        <v>304</v>
      </c>
      <c r="I57" s="405">
        <f t="shared" si="22"/>
        <v>0</v>
      </c>
      <c r="J57" s="405">
        <f t="shared" si="22"/>
        <v>0</v>
      </c>
      <c r="K57" s="405">
        <f t="shared" si="22"/>
        <v>0</v>
      </c>
      <c r="L57" s="405">
        <f t="shared" si="22"/>
        <v>1047</v>
      </c>
      <c r="M57" s="405">
        <f>M56</f>
        <v>0</v>
      </c>
      <c r="N57" s="405">
        <f t="shared" si="0"/>
        <v>7665</v>
      </c>
      <c r="O57" s="405">
        <f>O56+301+62</f>
        <v>42707</v>
      </c>
      <c r="P57" s="406">
        <f>P56+81</f>
        <v>11231</v>
      </c>
      <c r="Q57" s="406">
        <f>Q56+468</f>
        <v>24224</v>
      </c>
      <c r="R57" s="405">
        <f aca="true" t="shared" si="23" ref="R57:U59">R56</f>
        <v>3917</v>
      </c>
      <c r="S57" s="405">
        <f t="shared" si="23"/>
        <v>0</v>
      </c>
      <c r="T57" s="405"/>
      <c r="U57" s="405">
        <f t="shared" si="23"/>
        <v>0</v>
      </c>
      <c r="V57" s="405">
        <v>304</v>
      </c>
      <c r="W57" s="405"/>
      <c r="X57" s="405">
        <f t="shared" si="1"/>
        <v>78466</v>
      </c>
      <c r="Z57" s="211"/>
    </row>
    <row r="58" spans="1:26" s="407" customFormat="1" ht="12.75">
      <c r="A58" s="403"/>
      <c r="B58" s="404" t="s">
        <v>386</v>
      </c>
      <c r="C58" s="405">
        <f t="shared" si="22"/>
        <v>4677</v>
      </c>
      <c r="D58" s="405">
        <f t="shared" si="22"/>
        <v>3295</v>
      </c>
      <c r="E58" s="405">
        <f t="shared" si="22"/>
        <v>1169</v>
      </c>
      <c r="F58" s="405">
        <f t="shared" si="22"/>
        <v>0</v>
      </c>
      <c r="G58" s="405">
        <f>468</f>
        <v>468</v>
      </c>
      <c r="H58" s="405">
        <v>304</v>
      </c>
      <c r="I58" s="405">
        <f t="shared" si="22"/>
        <v>0</v>
      </c>
      <c r="J58" s="405">
        <f t="shared" si="22"/>
        <v>0</v>
      </c>
      <c r="K58" s="405">
        <f t="shared" si="22"/>
        <v>0</v>
      </c>
      <c r="L58" s="405">
        <f t="shared" si="22"/>
        <v>1047</v>
      </c>
      <c r="M58" s="405">
        <f>M57</f>
        <v>0</v>
      </c>
      <c r="N58" s="405">
        <f t="shared" si="0"/>
        <v>7665</v>
      </c>
      <c r="O58" s="405">
        <f>O57+126</f>
        <v>42833</v>
      </c>
      <c r="P58" s="406">
        <f>P57+34</f>
        <v>11265</v>
      </c>
      <c r="Q58" s="406">
        <f>Q57</f>
        <v>24224</v>
      </c>
      <c r="R58" s="405">
        <f t="shared" si="23"/>
        <v>3917</v>
      </c>
      <c r="S58" s="405">
        <f t="shared" si="23"/>
        <v>0</v>
      </c>
      <c r="T58" s="405"/>
      <c r="U58" s="405">
        <f t="shared" si="23"/>
        <v>0</v>
      </c>
      <c r="V58" s="405">
        <v>304</v>
      </c>
      <c r="W58" s="405"/>
      <c r="X58" s="405">
        <f>SUM(O58:W58)-R58</f>
        <v>78626</v>
      </c>
      <c r="Z58" s="408"/>
    </row>
    <row r="59" spans="1:26" s="407" customFormat="1" ht="12.75">
      <c r="A59" s="403"/>
      <c r="B59" s="404" t="s">
        <v>387</v>
      </c>
      <c r="C59" s="405">
        <f t="shared" si="22"/>
        <v>4677</v>
      </c>
      <c r="D59" s="405">
        <f>D58</f>
        <v>3295</v>
      </c>
      <c r="E59" s="405">
        <f>E58</f>
        <v>1169</v>
      </c>
      <c r="F59" s="405">
        <f>F58</f>
        <v>0</v>
      </c>
      <c r="G59" s="405">
        <f>G58</f>
        <v>468</v>
      </c>
      <c r="H59" s="405">
        <f>H58</f>
        <v>304</v>
      </c>
      <c r="I59" s="405">
        <f t="shared" si="22"/>
        <v>0</v>
      </c>
      <c r="J59" s="405">
        <f t="shared" si="22"/>
        <v>0</v>
      </c>
      <c r="K59" s="405">
        <f t="shared" si="22"/>
        <v>0</v>
      </c>
      <c r="L59" s="405">
        <f t="shared" si="22"/>
        <v>1047</v>
      </c>
      <c r="M59" s="405">
        <f>M58</f>
        <v>0</v>
      </c>
      <c r="N59" s="405">
        <f t="shared" si="0"/>
        <v>7665</v>
      </c>
      <c r="O59" s="405">
        <f>O58-8</f>
        <v>42825</v>
      </c>
      <c r="P59" s="406">
        <f>P58+15-60</f>
        <v>11220</v>
      </c>
      <c r="Q59" s="406">
        <f>Q58</f>
        <v>24224</v>
      </c>
      <c r="R59" s="405">
        <f t="shared" si="23"/>
        <v>3917</v>
      </c>
      <c r="S59" s="405">
        <f t="shared" si="23"/>
        <v>0</v>
      </c>
      <c r="T59" s="405"/>
      <c r="U59" s="405">
        <f t="shared" si="23"/>
        <v>0</v>
      </c>
      <c r="V59" s="405">
        <f>V58</f>
        <v>304</v>
      </c>
      <c r="W59" s="405">
        <f>W58</f>
        <v>0</v>
      </c>
      <c r="X59" s="405">
        <f>SUM(O59:W59)-R59</f>
        <v>78573</v>
      </c>
      <c r="Y59" s="405">
        <f>Y58</f>
        <v>0</v>
      </c>
      <c r="Z59" s="405">
        <f>Z58</f>
        <v>0</v>
      </c>
    </row>
    <row r="60" spans="1:26" s="407" customFormat="1" ht="12.75">
      <c r="A60" s="403"/>
      <c r="B60" s="404" t="s">
        <v>388</v>
      </c>
      <c r="C60" s="405">
        <v>5671</v>
      </c>
      <c r="D60" s="405">
        <v>4001</v>
      </c>
      <c r="E60" s="405">
        <v>1414</v>
      </c>
      <c r="F60" s="405"/>
      <c r="G60" s="405">
        <v>468</v>
      </c>
      <c r="H60" s="405">
        <v>304</v>
      </c>
      <c r="I60" s="405"/>
      <c r="J60" s="405"/>
      <c r="K60" s="405"/>
      <c r="L60" s="405">
        <v>1047</v>
      </c>
      <c r="M60" s="405"/>
      <c r="N60" s="405">
        <f t="shared" si="0"/>
        <v>8904</v>
      </c>
      <c r="O60" s="405">
        <v>41990</v>
      </c>
      <c r="P60" s="406">
        <v>10657</v>
      </c>
      <c r="Q60" s="406">
        <v>20588</v>
      </c>
      <c r="R60" s="405">
        <v>3917</v>
      </c>
      <c r="S60" s="405"/>
      <c r="T60" s="405"/>
      <c r="U60" s="405"/>
      <c r="V60" s="405">
        <v>304</v>
      </c>
      <c r="W60" s="405"/>
      <c r="X60" s="405">
        <f>SUM(O60:W60)-R60</f>
        <v>73539</v>
      </c>
      <c r="Y60" s="410"/>
      <c r="Z60" s="410"/>
    </row>
    <row r="61" spans="1:26" ht="12.75">
      <c r="A61" s="403">
        <f>'[2]Eredeti Ft'!A34</f>
        <v>0</v>
      </c>
      <c r="B61" s="404">
        <f>'[2]Eredeti Ft'!B34</f>
        <v>0</v>
      </c>
      <c r="C61" s="405">
        <f>ROUND('[2]Eredeti Ft'!C34,-3)/1000</f>
        <v>15919</v>
      </c>
      <c r="D61" s="405">
        <f>ROUND('[2]Eredeti Ft'!D34,-3)/1000</f>
        <v>12826</v>
      </c>
      <c r="E61" s="405">
        <f>ROUND('[2]Eredeti Ft'!E34,-3)/1000</f>
        <v>3354</v>
      </c>
      <c r="F61" s="405">
        <f>ROUND('[2]Eredeti Ft'!F34,-3)/1000</f>
        <v>4200</v>
      </c>
      <c r="G61" s="405">
        <f>ROUND('[2]Eredeti Ft'!G34,-3)/1000</f>
        <v>1500</v>
      </c>
      <c r="H61" s="405">
        <f>ROUND('[2]Eredeti Ft'!H34,-3)/1000</f>
        <v>0</v>
      </c>
      <c r="I61" s="405">
        <f>ROUND('[2]Eredeti Ft'!I34,-3)/1000</f>
        <v>0</v>
      </c>
      <c r="J61" s="405">
        <f>ROUND('[2]Eredeti Ft'!J34,-3)/1000</f>
        <v>0</v>
      </c>
      <c r="K61" s="405">
        <f>ROUND('[2]Eredeti Ft'!K34,-3)/1000</f>
        <v>0</v>
      </c>
      <c r="L61" s="405">
        <f>ROUND('[2]Eredeti Ft'!L34,-3)/1000</f>
        <v>0</v>
      </c>
      <c r="M61" s="405">
        <f>ROUND('[2]Eredeti Ft'!M34,-3)/1000</f>
        <v>0</v>
      </c>
      <c r="N61" s="405">
        <f t="shared" si="0"/>
        <v>24973</v>
      </c>
      <c r="O61" s="405">
        <f>ROUND('[2]Eredeti Ft'!O34,-3)/1000</f>
        <v>159000</v>
      </c>
      <c r="P61" s="406">
        <f>ROUND('[2]Eredeti Ft'!P34,-3)/1000</f>
        <v>42524</v>
      </c>
      <c r="Q61" s="406">
        <f>ROUND('[2]Eredeti Ft'!Q34,-3)/1000</f>
        <v>68585</v>
      </c>
      <c r="R61" s="405">
        <f>ROUND('[2]Eredeti Ft'!R34,-3)/1000</f>
        <v>31893</v>
      </c>
      <c r="S61" s="405">
        <f>ROUND('[2]Eredeti Ft'!S34,-3)/1000</f>
        <v>4200</v>
      </c>
      <c r="T61" s="405"/>
      <c r="U61" s="405">
        <f>ROUND('[2]Eredeti Ft'!T34,-3)/1000</f>
        <v>4200</v>
      </c>
      <c r="V61" s="405">
        <f>ROUND('[2]Eredeti Ft'!U34,-3)/1000</f>
        <v>0</v>
      </c>
      <c r="W61" s="405">
        <f>ROUND('[2]Eredeti Ft'!V34,-3)/1000</f>
        <v>2300</v>
      </c>
      <c r="X61" s="405">
        <f t="shared" si="1"/>
        <v>280809</v>
      </c>
      <c r="Z61" s="211">
        <f>SUM(O61:W61)-R61</f>
        <v>280809</v>
      </c>
    </row>
    <row r="62" spans="1:26" ht="12.75">
      <c r="A62" s="403"/>
      <c r="B62" s="404" t="s">
        <v>384</v>
      </c>
      <c r="C62" s="405">
        <f aca="true" t="shared" si="24" ref="C62:E63">C61</f>
        <v>15919</v>
      </c>
      <c r="D62" s="405">
        <f t="shared" si="24"/>
        <v>12826</v>
      </c>
      <c r="E62" s="405">
        <f t="shared" si="24"/>
        <v>3354</v>
      </c>
      <c r="F62" s="405">
        <v>0</v>
      </c>
      <c r="G62" s="405">
        <f>G61+474</f>
        <v>1974</v>
      </c>
      <c r="H62" s="405">
        <f>H61</f>
        <v>0</v>
      </c>
      <c r="I62" s="405">
        <f>I61</f>
        <v>0</v>
      </c>
      <c r="J62" s="405">
        <f>J61</f>
        <v>0</v>
      </c>
      <c r="K62" s="405">
        <f>K61</f>
        <v>0</v>
      </c>
      <c r="L62" s="405">
        <f>L61+4573</f>
        <v>4573</v>
      </c>
      <c r="M62" s="405">
        <f>M61</f>
        <v>0</v>
      </c>
      <c r="N62" s="405">
        <f t="shared" si="0"/>
        <v>25820</v>
      </c>
      <c r="O62" s="405">
        <f>O61+373+704+889+689</f>
        <v>161655</v>
      </c>
      <c r="P62" s="406">
        <f>P61+101+190+186</f>
        <v>43001</v>
      </c>
      <c r="Q62" s="406">
        <f>Q61+1483+1326+100+602</f>
        <v>72096</v>
      </c>
      <c r="R62" s="405">
        <f aca="true" t="shared" si="25" ref="R62:S65">R61</f>
        <v>31893</v>
      </c>
      <c r="S62" s="405">
        <f t="shared" si="25"/>
        <v>4200</v>
      </c>
      <c r="T62" s="405"/>
      <c r="U62" s="405">
        <v>0</v>
      </c>
      <c r="V62" s="405">
        <f>V61</f>
        <v>0</v>
      </c>
      <c r="W62" s="405">
        <f>W61</f>
        <v>2300</v>
      </c>
      <c r="X62" s="405">
        <f t="shared" si="1"/>
        <v>283252</v>
      </c>
      <c r="Z62" s="211"/>
    </row>
    <row r="63" spans="1:26" ht="12.75">
      <c r="A63" s="403"/>
      <c r="B63" s="404" t="s">
        <v>385</v>
      </c>
      <c r="C63" s="405">
        <f t="shared" si="24"/>
        <v>15919</v>
      </c>
      <c r="D63" s="405">
        <f t="shared" si="24"/>
        <v>12826</v>
      </c>
      <c r="E63" s="405">
        <f t="shared" si="24"/>
        <v>3354</v>
      </c>
      <c r="F63" s="405">
        <v>0</v>
      </c>
      <c r="G63" s="405">
        <f>G62+75-1500</f>
        <v>549</v>
      </c>
      <c r="H63" s="405">
        <f>H62</f>
        <v>0</v>
      </c>
      <c r="I63" s="405">
        <v>1500</v>
      </c>
      <c r="J63" s="405">
        <f>J62</f>
        <v>0</v>
      </c>
      <c r="K63" s="405">
        <f>K62</f>
        <v>0</v>
      </c>
      <c r="L63" s="405">
        <f>L62+602</f>
        <v>5175</v>
      </c>
      <c r="M63" s="405">
        <f>M62</f>
        <v>0</v>
      </c>
      <c r="N63" s="405">
        <f t="shared" si="0"/>
        <v>26497</v>
      </c>
      <c r="O63" s="405">
        <f>O62+1129+232</f>
        <v>163016</v>
      </c>
      <c r="P63" s="406">
        <f>P62+305</f>
        <v>43306</v>
      </c>
      <c r="Q63" s="406">
        <f>Q62+75+390</f>
        <v>72561</v>
      </c>
      <c r="R63" s="405">
        <f t="shared" si="25"/>
        <v>31893</v>
      </c>
      <c r="S63" s="405">
        <f t="shared" si="25"/>
        <v>4200</v>
      </c>
      <c r="T63" s="405"/>
      <c r="U63" s="405">
        <v>0</v>
      </c>
      <c r="V63" s="405">
        <f>V62</f>
        <v>0</v>
      </c>
      <c r="W63" s="405"/>
      <c r="X63" s="405">
        <f t="shared" si="1"/>
        <v>283083</v>
      </c>
      <c r="Z63" s="211"/>
    </row>
    <row r="64" spans="1:26" s="407" customFormat="1" ht="12.75">
      <c r="A64" s="403"/>
      <c r="B64" s="404" t="s">
        <v>386</v>
      </c>
      <c r="C64" s="405">
        <f>C63+1263</f>
        <v>17182</v>
      </c>
      <c r="D64" s="405">
        <f>D63</f>
        <v>12826</v>
      </c>
      <c r="E64" s="405">
        <f>E63</f>
        <v>3354</v>
      </c>
      <c r="F64" s="405">
        <v>0</v>
      </c>
      <c r="G64" s="405">
        <f>G63+771</f>
        <v>1320</v>
      </c>
      <c r="H64" s="405">
        <f>H63</f>
        <v>0</v>
      </c>
      <c r="I64" s="405">
        <f>1500+233</f>
        <v>1733</v>
      </c>
      <c r="J64" s="405">
        <f>J63</f>
        <v>0</v>
      </c>
      <c r="K64" s="405">
        <f>K63</f>
        <v>0</v>
      </c>
      <c r="L64" s="405">
        <f>L63</f>
        <v>5175</v>
      </c>
      <c r="M64" s="405">
        <f>M63</f>
        <v>0</v>
      </c>
      <c r="N64" s="405">
        <f t="shared" si="0"/>
        <v>28764</v>
      </c>
      <c r="O64" s="405">
        <f>O63+607+183+464</f>
        <v>164270</v>
      </c>
      <c r="P64" s="406">
        <f>P63+164+50+125</f>
        <v>43645</v>
      </c>
      <c r="Q64" s="406">
        <f>Q63+1263</f>
        <v>73824</v>
      </c>
      <c r="R64" s="405">
        <f t="shared" si="25"/>
        <v>31893</v>
      </c>
      <c r="S64" s="405">
        <f t="shared" si="25"/>
        <v>4200</v>
      </c>
      <c r="T64" s="405"/>
      <c r="U64" s="405">
        <v>0</v>
      </c>
      <c r="V64" s="405">
        <f>V63</f>
        <v>0</v>
      </c>
      <c r="W64" s="405"/>
      <c r="X64" s="405">
        <f>SUM(O64:W64)-R64</f>
        <v>285939</v>
      </c>
      <c r="Z64" s="408"/>
    </row>
    <row r="65" spans="1:26" s="407" customFormat="1" ht="12.75">
      <c r="A65" s="403"/>
      <c r="B65" s="404" t="s">
        <v>387</v>
      </c>
      <c r="C65" s="405">
        <f>C64+351</f>
        <v>17533</v>
      </c>
      <c r="D65" s="405">
        <f aca="true" t="shared" si="26" ref="D65:M65">D64</f>
        <v>12826</v>
      </c>
      <c r="E65" s="405">
        <f t="shared" si="26"/>
        <v>3354</v>
      </c>
      <c r="F65" s="405">
        <f t="shared" si="26"/>
        <v>0</v>
      </c>
      <c r="G65" s="405">
        <f>G64+405</f>
        <v>1725</v>
      </c>
      <c r="H65" s="405">
        <f t="shared" si="26"/>
        <v>0</v>
      </c>
      <c r="I65" s="405">
        <f>I64+308</f>
        <v>2041</v>
      </c>
      <c r="J65" s="405">
        <f t="shared" si="26"/>
        <v>0</v>
      </c>
      <c r="K65" s="405">
        <f t="shared" si="26"/>
        <v>0</v>
      </c>
      <c r="L65" s="405">
        <f t="shared" si="26"/>
        <v>5175</v>
      </c>
      <c r="M65" s="405">
        <f t="shared" si="26"/>
        <v>0</v>
      </c>
      <c r="N65" s="405">
        <f t="shared" si="0"/>
        <v>29828</v>
      </c>
      <c r="O65" s="405">
        <f>O64+243-30+450+900</f>
        <v>165833</v>
      </c>
      <c r="P65" s="406">
        <f>P64+65+57+400</f>
        <v>44167</v>
      </c>
      <c r="Q65" s="406">
        <f>Q64+351+405-451+1000+4100+1655</f>
        <v>80884</v>
      </c>
      <c r="R65" s="405">
        <f t="shared" si="25"/>
        <v>31893</v>
      </c>
      <c r="S65" s="405">
        <f>S64-1211-444</f>
        <v>2545</v>
      </c>
      <c r="T65" s="405">
        <v>451</v>
      </c>
      <c r="U65" s="405">
        <f>U64</f>
        <v>0</v>
      </c>
      <c r="V65" s="405">
        <f>V64</f>
        <v>0</v>
      </c>
      <c r="W65" s="405">
        <f>W64</f>
        <v>0</v>
      </c>
      <c r="X65" s="405">
        <f>SUM(O65:W65)-R65</f>
        <v>293880</v>
      </c>
      <c r="Z65" s="408"/>
    </row>
    <row r="66" spans="1:26" s="407" customFormat="1" ht="12.75">
      <c r="A66" s="403"/>
      <c r="B66" s="404" t="s">
        <v>388</v>
      </c>
      <c r="C66" s="405">
        <v>16146</v>
      </c>
      <c r="D66" s="405">
        <v>10726</v>
      </c>
      <c r="E66" s="405">
        <v>2723</v>
      </c>
      <c r="F66" s="405"/>
      <c r="G66" s="405">
        <v>1725</v>
      </c>
      <c r="H66" s="405"/>
      <c r="I66" s="405">
        <v>1963</v>
      </c>
      <c r="J66" s="405"/>
      <c r="K66" s="405"/>
      <c r="L66" s="405">
        <v>5175</v>
      </c>
      <c r="M66" s="405"/>
      <c r="N66" s="405">
        <f t="shared" si="0"/>
        <v>27732</v>
      </c>
      <c r="O66" s="405">
        <v>165800</v>
      </c>
      <c r="P66" s="406">
        <v>44147</v>
      </c>
      <c r="Q66" s="406">
        <v>80469</v>
      </c>
      <c r="R66" s="405">
        <v>31893</v>
      </c>
      <c r="S66" s="405">
        <v>2545</v>
      </c>
      <c r="T66" s="405">
        <v>451</v>
      </c>
      <c r="U66" s="405"/>
      <c r="V66" s="405"/>
      <c r="W66" s="405"/>
      <c r="X66" s="405">
        <f>SUM(O66:W66)-R66</f>
        <v>293412</v>
      </c>
      <c r="Z66" s="408"/>
    </row>
    <row r="67" spans="1:26" ht="12.75">
      <c r="A67" s="403">
        <f>'[2]Eredeti Ft'!A37</f>
        <v>0</v>
      </c>
      <c r="B67" s="404">
        <f>'[2]Eredeti Ft'!B37</f>
        <v>0</v>
      </c>
      <c r="C67" s="405">
        <f>ROUND('[2]Eredeti Ft'!C37,-3)/1000</f>
        <v>0</v>
      </c>
      <c r="D67" s="405">
        <f>ROUND('[2]Eredeti Ft'!D37,-3)/1000</f>
        <v>0</v>
      </c>
      <c r="E67" s="405">
        <f>ROUND('[2]Eredeti Ft'!E37,-3)/1000</f>
        <v>0</v>
      </c>
      <c r="F67" s="405">
        <f>ROUND('[2]Eredeti Ft'!F37,-3)/1000</f>
        <v>0</v>
      </c>
      <c r="G67" s="405">
        <f>ROUND('[2]Eredeti Ft'!G37,-3)/1000</f>
        <v>0</v>
      </c>
      <c r="H67" s="405">
        <f>ROUND('[2]Eredeti Ft'!H37,-3)/1000</f>
        <v>0</v>
      </c>
      <c r="I67" s="405">
        <f>ROUND('[2]Eredeti Ft'!I37,-3)/1000</f>
        <v>5494</v>
      </c>
      <c r="J67" s="405">
        <f>ROUND('[2]Eredeti Ft'!J37,-3)/1000</f>
        <v>0</v>
      </c>
      <c r="K67" s="405">
        <f>ROUND('[2]Eredeti Ft'!K37,-3)/1000</f>
        <v>0</v>
      </c>
      <c r="L67" s="405">
        <f>ROUND('[2]Eredeti Ft'!L37,-3)/1000</f>
        <v>0</v>
      </c>
      <c r="M67" s="405">
        <f>ROUND('[2]Eredeti Ft'!M37,-3)/1000</f>
        <v>0</v>
      </c>
      <c r="N67" s="405">
        <f t="shared" si="0"/>
        <v>5494</v>
      </c>
      <c r="O67" s="405">
        <f>ROUND('[2]Eredeti Ft'!O37,-3)/1000</f>
        <v>21810</v>
      </c>
      <c r="P67" s="406">
        <f>ROUND('[2]Eredeti Ft'!P37,-3)/1000</f>
        <v>5774</v>
      </c>
      <c r="Q67" s="406">
        <f>ROUND('[2]Eredeti Ft'!Q37,-3)/1000-1</f>
        <v>2535</v>
      </c>
      <c r="R67" s="405">
        <f>ROUND('[2]Eredeti Ft'!R37,-3)/1000</f>
        <v>0</v>
      </c>
      <c r="S67" s="405">
        <f>ROUND('[2]Eredeti Ft'!S37,-3)/1000</f>
        <v>0</v>
      </c>
      <c r="T67" s="405"/>
      <c r="U67" s="405">
        <f>ROUND('[2]Eredeti Ft'!T37,-3)/1000</f>
        <v>0</v>
      </c>
      <c r="V67" s="405">
        <f>ROUND('[2]Eredeti Ft'!U37,-3)/1000</f>
        <v>0</v>
      </c>
      <c r="W67" s="405">
        <f>ROUND('[2]Eredeti Ft'!V37,-3)/1000</f>
        <v>0</v>
      </c>
      <c r="X67" s="405">
        <f t="shared" si="1"/>
        <v>30119</v>
      </c>
      <c r="Z67" s="211">
        <f>SUM(O67:W67)-R67</f>
        <v>30119</v>
      </c>
    </row>
    <row r="68" spans="1:26" ht="12.75">
      <c r="A68" s="403"/>
      <c r="B68" s="404" t="s">
        <v>384</v>
      </c>
      <c r="C68" s="405">
        <f aca="true" t="shared" si="27" ref="C68:L71">C67</f>
        <v>0</v>
      </c>
      <c r="D68" s="405">
        <f t="shared" si="27"/>
        <v>0</v>
      </c>
      <c r="E68" s="405">
        <f t="shared" si="27"/>
        <v>0</v>
      </c>
      <c r="F68" s="405">
        <f t="shared" si="27"/>
        <v>0</v>
      </c>
      <c r="G68" s="405">
        <f t="shared" si="27"/>
        <v>0</v>
      </c>
      <c r="H68" s="405">
        <f t="shared" si="27"/>
        <v>0</v>
      </c>
      <c r="I68" s="405">
        <f t="shared" si="27"/>
        <v>5494</v>
      </c>
      <c r="J68" s="405">
        <f t="shared" si="27"/>
        <v>0</v>
      </c>
      <c r="K68" s="405">
        <f t="shared" si="27"/>
        <v>0</v>
      </c>
      <c r="L68" s="405">
        <f>L67+162</f>
        <v>162</v>
      </c>
      <c r="M68" s="405">
        <f>M67</f>
        <v>0</v>
      </c>
      <c r="N68" s="405">
        <f aca="true" t="shared" si="28" ref="N68:N130">SUM(C68:M68)-D68</f>
        <v>5656</v>
      </c>
      <c r="O68" s="405">
        <f>O67+113+157-1094+1203-1203</f>
        <v>20986</v>
      </c>
      <c r="P68" s="406">
        <f>P67+31-295</f>
        <v>5510</v>
      </c>
      <c r="Q68" s="406">
        <f>Q67+5+295+1094+1203</f>
        <v>5132</v>
      </c>
      <c r="R68" s="405">
        <f aca="true" t="shared" si="29" ref="R68:W72">R67</f>
        <v>0</v>
      </c>
      <c r="S68" s="405">
        <f t="shared" si="29"/>
        <v>0</v>
      </c>
      <c r="T68" s="405"/>
      <c r="U68" s="405">
        <f t="shared" si="29"/>
        <v>0</v>
      </c>
      <c r="V68" s="405">
        <f t="shared" si="29"/>
        <v>0</v>
      </c>
      <c r="W68" s="405">
        <f t="shared" si="29"/>
        <v>0</v>
      </c>
      <c r="X68" s="405">
        <f t="shared" si="1"/>
        <v>31628</v>
      </c>
      <c r="Z68" s="211"/>
    </row>
    <row r="69" spans="1:26" ht="12.75">
      <c r="A69" s="403"/>
      <c r="B69" s="404" t="s">
        <v>385</v>
      </c>
      <c r="C69" s="405">
        <f t="shared" si="27"/>
        <v>0</v>
      </c>
      <c r="D69" s="405">
        <f t="shared" si="27"/>
        <v>0</v>
      </c>
      <c r="E69" s="405">
        <f t="shared" si="27"/>
        <v>0</v>
      </c>
      <c r="F69" s="405">
        <f t="shared" si="27"/>
        <v>0</v>
      </c>
      <c r="G69" s="405">
        <f t="shared" si="27"/>
        <v>0</v>
      </c>
      <c r="H69" s="405">
        <f t="shared" si="27"/>
        <v>0</v>
      </c>
      <c r="I69" s="405">
        <f t="shared" si="27"/>
        <v>5494</v>
      </c>
      <c r="J69" s="405">
        <f t="shared" si="27"/>
        <v>0</v>
      </c>
      <c r="K69" s="405">
        <f t="shared" si="27"/>
        <v>0</v>
      </c>
      <c r="L69" s="405">
        <f>L68+1203</f>
        <v>1365</v>
      </c>
      <c r="M69" s="405">
        <f>M68</f>
        <v>0</v>
      </c>
      <c r="N69" s="405">
        <f t="shared" si="28"/>
        <v>6859</v>
      </c>
      <c r="O69" s="405">
        <f>O68+188+472-508+39</f>
        <v>21177</v>
      </c>
      <c r="P69" s="406">
        <f>P68+51+128-138</f>
        <v>5551</v>
      </c>
      <c r="Q69" s="406">
        <f>Q68+258-19+508+138</f>
        <v>6017</v>
      </c>
      <c r="R69" s="405">
        <f t="shared" si="29"/>
        <v>0</v>
      </c>
      <c r="S69" s="405">
        <f t="shared" si="29"/>
        <v>0</v>
      </c>
      <c r="T69" s="405"/>
      <c r="U69" s="405">
        <f t="shared" si="29"/>
        <v>0</v>
      </c>
      <c r="V69" s="405">
        <f t="shared" si="29"/>
        <v>0</v>
      </c>
      <c r="W69" s="405">
        <f t="shared" si="29"/>
        <v>0</v>
      </c>
      <c r="X69" s="405">
        <f t="shared" si="1"/>
        <v>32745</v>
      </c>
      <c r="Z69" s="211"/>
    </row>
    <row r="70" spans="1:26" s="407" customFormat="1" ht="12.75">
      <c r="A70" s="403"/>
      <c r="B70" s="404" t="s">
        <v>386</v>
      </c>
      <c r="C70" s="405">
        <f>466</f>
        <v>466</v>
      </c>
      <c r="D70" s="405">
        <f t="shared" si="27"/>
        <v>0</v>
      </c>
      <c r="E70" s="405">
        <f t="shared" si="27"/>
        <v>0</v>
      </c>
      <c r="F70" s="405">
        <f t="shared" si="27"/>
        <v>0</v>
      </c>
      <c r="G70" s="405">
        <f t="shared" si="27"/>
        <v>0</v>
      </c>
      <c r="H70" s="405">
        <f t="shared" si="27"/>
        <v>0</v>
      </c>
      <c r="I70" s="405">
        <f t="shared" si="27"/>
        <v>5494</v>
      </c>
      <c r="J70" s="405">
        <f t="shared" si="27"/>
        <v>0</v>
      </c>
      <c r="K70" s="405">
        <f t="shared" si="27"/>
        <v>0</v>
      </c>
      <c r="L70" s="405">
        <f t="shared" si="27"/>
        <v>1365</v>
      </c>
      <c r="M70" s="405">
        <f>M69</f>
        <v>0</v>
      </c>
      <c r="N70" s="405">
        <f t="shared" si="28"/>
        <v>7325</v>
      </c>
      <c r="O70" s="405">
        <f>O69+76</f>
        <v>21253</v>
      </c>
      <c r="P70" s="406">
        <f>P69+20</f>
        <v>5571</v>
      </c>
      <c r="Q70" s="406">
        <f>Q69+466</f>
        <v>6483</v>
      </c>
      <c r="R70" s="405">
        <f t="shared" si="29"/>
        <v>0</v>
      </c>
      <c r="S70" s="405">
        <f t="shared" si="29"/>
        <v>0</v>
      </c>
      <c r="T70" s="405"/>
      <c r="U70" s="405">
        <f t="shared" si="29"/>
        <v>0</v>
      </c>
      <c r="V70" s="405">
        <f t="shared" si="29"/>
        <v>0</v>
      </c>
      <c r="W70" s="405">
        <f t="shared" si="29"/>
        <v>0</v>
      </c>
      <c r="X70" s="405">
        <f>SUM(O70:W70)-R70</f>
        <v>33307</v>
      </c>
      <c r="Z70" s="408"/>
    </row>
    <row r="71" spans="1:26" s="407" customFormat="1" ht="12.75">
      <c r="A71" s="403"/>
      <c r="B71" s="404" t="s">
        <v>387</v>
      </c>
      <c r="C71" s="405">
        <f>466-58</f>
        <v>408</v>
      </c>
      <c r="D71" s="405">
        <f t="shared" si="27"/>
        <v>0</v>
      </c>
      <c r="E71" s="405">
        <f t="shared" si="27"/>
        <v>0</v>
      </c>
      <c r="F71" s="405">
        <f t="shared" si="27"/>
        <v>0</v>
      </c>
      <c r="G71" s="405">
        <f t="shared" si="27"/>
        <v>0</v>
      </c>
      <c r="H71" s="405">
        <f t="shared" si="27"/>
        <v>0</v>
      </c>
      <c r="I71" s="405">
        <f t="shared" si="27"/>
        <v>5494</v>
      </c>
      <c r="J71" s="405">
        <f t="shared" si="27"/>
        <v>0</v>
      </c>
      <c r="K71" s="405">
        <f t="shared" si="27"/>
        <v>0</v>
      </c>
      <c r="L71" s="405">
        <f t="shared" si="27"/>
        <v>1365</v>
      </c>
      <c r="M71" s="405">
        <f>M70</f>
        <v>0</v>
      </c>
      <c r="N71" s="405">
        <f t="shared" si="28"/>
        <v>7267</v>
      </c>
      <c r="O71" s="405">
        <f>O70-6-100-1000-450</f>
        <v>19697</v>
      </c>
      <c r="P71" s="406">
        <f>P70+10</f>
        <v>5581</v>
      </c>
      <c r="Q71" s="406">
        <f>Q70-58+100</f>
        <v>6525</v>
      </c>
      <c r="R71" s="405">
        <f t="shared" si="29"/>
        <v>0</v>
      </c>
      <c r="S71" s="405">
        <f t="shared" si="29"/>
        <v>0</v>
      </c>
      <c r="T71" s="405"/>
      <c r="U71" s="405">
        <f t="shared" si="29"/>
        <v>0</v>
      </c>
      <c r="V71" s="405">
        <f t="shared" si="29"/>
        <v>0</v>
      </c>
      <c r="W71" s="405">
        <f t="shared" si="29"/>
        <v>0</v>
      </c>
      <c r="X71" s="405">
        <f>SUM(O71:W71)-R71</f>
        <v>31803</v>
      </c>
      <c r="Z71" s="408"/>
    </row>
    <row r="72" spans="1:26" s="407" customFormat="1" ht="12.75">
      <c r="A72" s="403"/>
      <c r="B72" s="404" t="s">
        <v>388</v>
      </c>
      <c r="C72" s="405">
        <v>408</v>
      </c>
      <c r="D72" s="405"/>
      <c r="E72" s="405"/>
      <c r="F72" s="405"/>
      <c r="G72" s="405"/>
      <c r="H72" s="405"/>
      <c r="I72" s="405">
        <v>3988</v>
      </c>
      <c r="J72" s="405"/>
      <c r="K72" s="405"/>
      <c r="L72" s="405">
        <v>1365</v>
      </c>
      <c r="M72" s="405"/>
      <c r="N72" s="405">
        <f t="shared" si="28"/>
        <v>5761</v>
      </c>
      <c r="O72" s="405">
        <v>19042</v>
      </c>
      <c r="P72" s="406">
        <v>5055</v>
      </c>
      <c r="Q72" s="406">
        <v>6422</v>
      </c>
      <c r="R72" s="405">
        <f t="shared" si="29"/>
        <v>0</v>
      </c>
      <c r="S72" s="405"/>
      <c r="T72" s="405"/>
      <c r="U72" s="405"/>
      <c r="V72" s="405"/>
      <c r="W72" s="405"/>
      <c r="X72" s="405">
        <f>SUM(O72:W72)-R72</f>
        <v>30519</v>
      </c>
      <c r="Z72" s="408"/>
    </row>
    <row r="73" spans="1:26" s="412" customFormat="1" ht="12.75">
      <c r="A73" s="403">
        <f>'[2]Eredeti Ft'!A40</f>
        <v>0</v>
      </c>
      <c r="B73" s="404">
        <f>'[2]Eredeti Ft'!B40</f>
        <v>0</v>
      </c>
      <c r="C73" s="405">
        <f>ROUND('[2]Eredeti Ft'!C40,-3)/1000</f>
        <v>8552</v>
      </c>
      <c r="D73" s="405">
        <f>ROUND('[2]Eredeti Ft'!D40,-3)/1000</f>
        <v>7802</v>
      </c>
      <c r="E73" s="405">
        <f>ROUND('[2]Eredeti Ft'!E40,-3)/1000</f>
        <v>2091</v>
      </c>
      <c r="F73" s="405">
        <f>ROUND('[2]Eredeti Ft'!F40,-3)/1000</f>
        <v>0</v>
      </c>
      <c r="G73" s="405">
        <f>ROUND('[2]Eredeti Ft'!G40,-3)/1000</f>
        <v>0</v>
      </c>
      <c r="H73" s="405">
        <f>ROUND('[2]Eredeti Ft'!H40,-3)/1000</f>
        <v>0</v>
      </c>
      <c r="I73" s="405">
        <f>ROUND('[2]Eredeti Ft'!I40,-3)/1000</f>
        <v>0</v>
      </c>
      <c r="J73" s="405">
        <f>ROUND('[2]Eredeti Ft'!J40,-3)/1000</f>
        <v>0</v>
      </c>
      <c r="K73" s="405">
        <f>ROUND('[2]Eredeti Ft'!K40,-3)/1000</f>
        <v>0</v>
      </c>
      <c r="L73" s="405">
        <f>ROUND('[2]Eredeti Ft'!L40,-3)/1000</f>
        <v>0</v>
      </c>
      <c r="M73" s="405">
        <f>ROUND('[2]Eredeti Ft'!M40,-3)/1000</f>
        <v>0</v>
      </c>
      <c r="N73" s="405">
        <f t="shared" si="28"/>
        <v>10643</v>
      </c>
      <c r="O73" s="405">
        <f>ROUND('[2]Eredeti Ft'!O40,-3)/1000</f>
        <v>43110</v>
      </c>
      <c r="P73" s="406">
        <f>ROUND('[2]Eredeti Ft'!P40,-3)/1000+1</f>
        <v>11590</v>
      </c>
      <c r="Q73" s="406">
        <f>ROUND('[2]Eredeti Ft'!Q40,-3)/1000</f>
        <v>27696</v>
      </c>
      <c r="R73" s="405">
        <f>ROUND('[2]Eredeti Ft'!R40,-3)/1000</f>
        <v>17840</v>
      </c>
      <c r="S73" s="405">
        <f>ROUND('[2]Eredeti Ft'!S40,-3)/1000</f>
        <v>1020</v>
      </c>
      <c r="T73" s="405"/>
      <c r="U73" s="405">
        <f>ROUND('[2]Eredeti Ft'!T40,-3)/1000</f>
        <v>0</v>
      </c>
      <c r="V73" s="405">
        <f>ROUND('[2]Eredeti Ft'!U40,-3)/1000</f>
        <v>0</v>
      </c>
      <c r="W73" s="405">
        <f>ROUND('[2]Eredeti Ft'!V40,-3)/1000</f>
        <v>0</v>
      </c>
      <c r="X73" s="405">
        <f t="shared" si="1"/>
        <v>83416</v>
      </c>
      <c r="Z73" s="413">
        <f>SUM(O73:W73)-R73</f>
        <v>83416</v>
      </c>
    </row>
    <row r="74" spans="1:26" s="412" customFormat="1" ht="12.75">
      <c r="A74" s="403"/>
      <c r="B74" s="404" t="s">
        <v>384</v>
      </c>
      <c r="C74" s="414">
        <f>C73+294</f>
        <v>8846</v>
      </c>
      <c r="D74" s="414">
        <f>D73</f>
        <v>7802</v>
      </c>
      <c r="E74" s="414">
        <f>E73+73</f>
        <v>2164</v>
      </c>
      <c r="F74" s="414">
        <f>F73</f>
        <v>0</v>
      </c>
      <c r="G74" s="414">
        <v>182</v>
      </c>
      <c r="H74" s="414">
        <f aca="true" t="shared" si="30" ref="H74:K75">H73</f>
        <v>0</v>
      </c>
      <c r="I74" s="414">
        <f t="shared" si="30"/>
        <v>0</v>
      </c>
      <c r="J74" s="414">
        <f t="shared" si="30"/>
        <v>0</v>
      </c>
      <c r="K74" s="414">
        <f t="shared" si="30"/>
        <v>0</v>
      </c>
      <c r="L74" s="414">
        <f>L73+99</f>
        <v>99</v>
      </c>
      <c r="M74" s="414">
        <f>M73</f>
        <v>0</v>
      </c>
      <c r="N74" s="405">
        <f t="shared" si="28"/>
        <v>11291</v>
      </c>
      <c r="O74" s="414">
        <f>O73+100+137+78</f>
        <v>43425</v>
      </c>
      <c r="P74" s="415">
        <f>P73+27+37</f>
        <v>11654</v>
      </c>
      <c r="Q74" s="415">
        <f>Q73+240+182+21</f>
        <v>28139</v>
      </c>
      <c r="R74" s="414">
        <f>R73</f>
        <v>17840</v>
      </c>
      <c r="S74" s="414">
        <f>S73</f>
        <v>1020</v>
      </c>
      <c r="T74" s="414"/>
      <c r="U74" s="414">
        <f>U73</f>
        <v>0</v>
      </c>
      <c r="V74" s="414">
        <f>V73</f>
        <v>0</v>
      </c>
      <c r="W74" s="414">
        <f>W73</f>
        <v>0</v>
      </c>
      <c r="X74" s="405">
        <f t="shared" si="1"/>
        <v>84238</v>
      </c>
      <c r="Z74" s="413"/>
    </row>
    <row r="75" spans="1:26" s="412" customFormat="1" ht="12.75">
      <c r="A75" s="403"/>
      <c r="B75" s="404" t="s">
        <v>385</v>
      </c>
      <c r="C75" s="414">
        <f>C74+366</f>
        <v>9212</v>
      </c>
      <c r="D75" s="414">
        <f>D74</f>
        <v>7802</v>
      </c>
      <c r="E75" s="414">
        <f>E74+91</f>
        <v>2255</v>
      </c>
      <c r="F75" s="414">
        <f>F74</f>
        <v>0</v>
      </c>
      <c r="G75" s="414">
        <f>G74+42</f>
        <v>224</v>
      </c>
      <c r="H75" s="414">
        <f t="shared" si="30"/>
        <v>0</v>
      </c>
      <c r="I75" s="414">
        <f t="shared" si="30"/>
        <v>0</v>
      </c>
      <c r="J75" s="414">
        <f t="shared" si="30"/>
        <v>0</v>
      </c>
      <c r="K75" s="414">
        <f t="shared" si="30"/>
        <v>0</v>
      </c>
      <c r="L75" s="414">
        <f>L74</f>
        <v>99</v>
      </c>
      <c r="M75" s="414">
        <f>M74</f>
        <v>0</v>
      </c>
      <c r="N75" s="405">
        <f t="shared" si="28"/>
        <v>11790</v>
      </c>
      <c r="O75" s="414">
        <f>O74+228+123+47</f>
        <v>43823</v>
      </c>
      <c r="P75" s="415">
        <f>P74+61+30</f>
        <v>11745</v>
      </c>
      <c r="Q75" s="415">
        <f>Q74+457+42+267</f>
        <v>28905</v>
      </c>
      <c r="R75" s="414">
        <f aca="true" t="shared" si="31" ref="R75:V76">R74</f>
        <v>17840</v>
      </c>
      <c r="S75" s="414">
        <f t="shared" si="31"/>
        <v>1020</v>
      </c>
      <c r="T75" s="414"/>
      <c r="U75" s="414">
        <f t="shared" si="31"/>
        <v>0</v>
      </c>
      <c r="V75" s="414">
        <f t="shared" si="31"/>
        <v>0</v>
      </c>
      <c r="W75" s="414">
        <v>6400</v>
      </c>
      <c r="X75" s="405">
        <f t="shared" si="1"/>
        <v>91893</v>
      </c>
      <c r="Z75" s="413"/>
    </row>
    <row r="76" spans="1:26" s="416" customFormat="1" ht="12.75">
      <c r="A76" s="403"/>
      <c r="B76" s="404" t="s">
        <v>386</v>
      </c>
      <c r="C76" s="414">
        <f>C75+160</f>
        <v>9372</v>
      </c>
      <c r="D76" s="414">
        <f>D75</f>
        <v>7802</v>
      </c>
      <c r="E76" s="414">
        <f>E75</f>
        <v>2255</v>
      </c>
      <c r="F76" s="414">
        <f>F75</f>
        <v>0</v>
      </c>
      <c r="G76" s="414">
        <f aca="true" t="shared" si="32" ref="G76:K77">G75</f>
        <v>224</v>
      </c>
      <c r="H76" s="414">
        <f t="shared" si="32"/>
        <v>0</v>
      </c>
      <c r="I76" s="414">
        <f t="shared" si="32"/>
        <v>0</v>
      </c>
      <c r="J76" s="414">
        <f t="shared" si="32"/>
        <v>0</v>
      </c>
      <c r="K76" s="414">
        <f t="shared" si="32"/>
        <v>0</v>
      </c>
      <c r="L76" s="414">
        <f>L75</f>
        <v>99</v>
      </c>
      <c r="M76" s="414">
        <f>M75</f>
        <v>0</v>
      </c>
      <c r="N76" s="405">
        <f t="shared" si="28"/>
        <v>11950</v>
      </c>
      <c r="O76" s="414">
        <f>O75+90</f>
        <v>43913</v>
      </c>
      <c r="P76" s="415">
        <f>P75+26</f>
        <v>11771</v>
      </c>
      <c r="Q76" s="415">
        <f>Q75+160</f>
        <v>29065</v>
      </c>
      <c r="R76" s="414">
        <f t="shared" si="31"/>
        <v>17840</v>
      </c>
      <c r="S76" s="414">
        <f t="shared" si="31"/>
        <v>1020</v>
      </c>
      <c r="T76" s="414"/>
      <c r="U76" s="414">
        <f t="shared" si="31"/>
        <v>0</v>
      </c>
      <c r="V76" s="414">
        <f t="shared" si="31"/>
        <v>0</v>
      </c>
      <c r="W76" s="414">
        <v>6400</v>
      </c>
      <c r="X76" s="405">
        <f>SUM(O76:W76)-R76</f>
        <v>92169</v>
      </c>
      <c r="Z76" s="417"/>
    </row>
    <row r="77" spans="1:26" s="416" customFormat="1" ht="12.75">
      <c r="A77" s="403"/>
      <c r="B77" s="404" t="s">
        <v>387</v>
      </c>
      <c r="C77" s="414">
        <f>C76</f>
        <v>9372</v>
      </c>
      <c r="D77" s="414">
        <f>D76</f>
        <v>7802</v>
      </c>
      <c r="E77" s="414">
        <f>E76</f>
        <v>2255</v>
      </c>
      <c r="F77" s="414">
        <f>F76</f>
        <v>0</v>
      </c>
      <c r="G77" s="414">
        <f t="shared" si="32"/>
        <v>224</v>
      </c>
      <c r="H77" s="414">
        <f t="shared" si="32"/>
        <v>0</v>
      </c>
      <c r="I77" s="414">
        <f t="shared" si="32"/>
        <v>0</v>
      </c>
      <c r="J77" s="414">
        <f t="shared" si="32"/>
        <v>0</v>
      </c>
      <c r="K77" s="414">
        <f t="shared" si="32"/>
        <v>0</v>
      </c>
      <c r="L77" s="414">
        <f>L76</f>
        <v>99</v>
      </c>
      <c r="M77" s="414">
        <f>M76</f>
        <v>0</v>
      </c>
      <c r="N77" s="405">
        <f t="shared" si="28"/>
        <v>11950</v>
      </c>
      <c r="O77" s="414">
        <f>O76-6-900</f>
        <v>43007</v>
      </c>
      <c r="P77" s="415">
        <f>P76+13-400</f>
        <v>11384</v>
      </c>
      <c r="Q77" s="415">
        <f>Q76+292</f>
        <v>29357</v>
      </c>
      <c r="R77" s="414">
        <f>R76</f>
        <v>17840</v>
      </c>
      <c r="S77" s="414">
        <f>S76-220-72</f>
        <v>728</v>
      </c>
      <c r="T77" s="414"/>
      <c r="U77" s="414">
        <f>U76</f>
        <v>0</v>
      </c>
      <c r="V77" s="414">
        <f>V76</f>
        <v>0</v>
      </c>
      <c r="W77" s="414">
        <v>6400</v>
      </c>
      <c r="X77" s="405">
        <f>SUM(O77:W77)-R77</f>
        <v>90876</v>
      </c>
      <c r="Z77" s="417"/>
    </row>
    <row r="78" spans="1:26" s="416" customFormat="1" ht="12.75">
      <c r="A78" s="403"/>
      <c r="B78" s="404" t="s">
        <v>388</v>
      </c>
      <c r="C78" s="414">
        <v>8483</v>
      </c>
      <c r="D78" s="414">
        <v>7241</v>
      </c>
      <c r="E78" s="414">
        <v>2071</v>
      </c>
      <c r="F78" s="414"/>
      <c r="G78" s="414">
        <v>224</v>
      </c>
      <c r="H78" s="414"/>
      <c r="I78" s="414"/>
      <c r="J78" s="414"/>
      <c r="K78" s="414"/>
      <c r="L78" s="414">
        <v>99</v>
      </c>
      <c r="M78" s="414"/>
      <c r="N78" s="405">
        <f t="shared" si="28"/>
        <v>10877</v>
      </c>
      <c r="O78" s="414">
        <v>42947</v>
      </c>
      <c r="P78" s="415">
        <v>11096</v>
      </c>
      <c r="Q78" s="415">
        <v>28395</v>
      </c>
      <c r="R78" s="414">
        <v>17531</v>
      </c>
      <c r="S78" s="414">
        <v>728</v>
      </c>
      <c r="T78" s="414"/>
      <c r="U78" s="414"/>
      <c r="V78" s="414"/>
      <c r="W78" s="414">
        <v>6391</v>
      </c>
      <c r="X78" s="405">
        <f>SUM(O78:W78)-R78</f>
        <v>89557</v>
      </c>
      <c r="Z78" s="417"/>
    </row>
    <row r="79" spans="1:26" ht="12.75">
      <c r="A79" s="403">
        <f>'[2]Eredeti Ft'!A43</f>
        <v>0</v>
      </c>
      <c r="B79" s="404">
        <f>'[2]Eredeti Ft'!B43</f>
        <v>0</v>
      </c>
      <c r="C79" s="405">
        <f>ROUND('[2]Eredeti Ft'!C43,-3)/1000</f>
        <v>2010</v>
      </c>
      <c r="D79" s="405">
        <f>ROUND('[2]Eredeti Ft'!D43,-3)/1000</f>
        <v>1312</v>
      </c>
      <c r="E79" s="405">
        <f>ROUND('[2]Eredeti Ft'!E43,-3)/1000</f>
        <v>502</v>
      </c>
      <c r="F79" s="405">
        <f>ROUND('[2]Eredeti Ft'!F43,-3)/1000</f>
        <v>0</v>
      </c>
      <c r="G79" s="405">
        <f>ROUND('[2]Eredeti Ft'!G43,-3)/1000</f>
        <v>0</v>
      </c>
      <c r="H79" s="405">
        <f>ROUND('[2]Eredeti Ft'!H43,-3)/1000</f>
        <v>0</v>
      </c>
      <c r="I79" s="405">
        <f>ROUND('[2]Eredeti Ft'!I43,-3)/1000</f>
        <v>0</v>
      </c>
      <c r="J79" s="405">
        <f>ROUND('[2]Eredeti Ft'!J43,-3)/1000</f>
        <v>0</v>
      </c>
      <c r="K79" s="405">
        <f>ROUND('[2]Eredeti Ft'!K43,-3)/1000</f>
        <v>0</v>
      </c>
      <c r="L79" s="405">
        <f>ROUND('[2]Eredeti Ft'!L43,-3)/1000</f>
        <v>0</v>
      </c>
      <c r="M79" s="405">
        <f>ROUND('[2]Eredeti Ft'!M43,-3)/1000</f>
        <v>0</v>
      </c>
      <c r="N79" s="405">
        <f t="shared" si="28"/>
        <v>2512</v>
      </c>
      <c r="O79" s="405">
        <f>ROUND('[2]Eredeti Ft'!O43,-3)/1000</f>
        <v>34650</v>
      </c>
      <c r="P79" s="406">
        <f>ROUND('[2]Eredeti Ft'!P43,-3)/1000</f>
        <v>9162</v>
      </c>
      <c r="Q79" s="406">
        <f>ROUND('[2]Eredeti Ft'!Q43,-3)/1000</f>
        <v>12402</v>
      </c>
      <c r="R79" s="405">
        <f>ROUND('[2]Eredeti Ft'!R43,-3)/1000</f>
        <v>4512</v>
      </c>
      <c r="S79" s="405">
        <f>ROUND('[2]Eredeti Ft'!S43,-3)/1000</f>
        <v>660</v>
      </c>
      <c r="T79" s="405"/>
      <c r="U79" s="405">
        <f>ROUND('[2]Eredeti Ft'!T43,-3)/1000</f>
        <v>0</v>
      </c>
      <c r="V79" s="405">
        <f>ROUND('[2]Eredeti Ft'!U43,-3)/1000</f>
        <v>0</v>
      </c>
      <c r="W79" s="405">
        <f>ROUND('[2]Eredeti Ft'!V43,-3)/1000</f>
        <v>0</v>
      </c>
      <c r="X79" s="405">
        <f t="shared" si="1"/>
        <v>56874</v>
      </c>
      <c r="Z79" s="211">
        <f>SUM(O79:W79)-R79</f>
        <v>56874</v>
      </c>
    </row>
    <row r="80" spans="1:26" ht="12.75">
      <c r="A80" s="403"/>
      <c r="B80" s="404" t="s">
        <v>384</v>
      </c>
      <c r="C80" s="405">
        <f>C79</f>
        <v>2010</v>
      </c>
      <c r="D80" s="405">
        <f aca="true" t="shared" si="33" ref="D80:W83">D79</f>
        <v>1312</v>
      </c>
      <c r="E80" s="405">
        <f t="shared" si="33"/>
        <v>502</v>
      </c>
      <c r="F80" s="405">
        <f t="shared" si="33"/>
        <v>0</v>
      </c>
      <c r="G80" s="405">
        <f t="shared" si="33"/>
        <v>0</v>
      </c>
      <c r="H80" s="405">
        <f t="shared" si="33"/>
        <v>0</v>
      </c>
      <c r="I80" s="405">
        <f t="shared" si="33"/>
        <v>0</v>
      </c>
      <c r="J80" s="405">
        <f t="shared" si="33"/>
        <v>0</v>
      </c>
      <c r="K80" s="405">
        <f t="shared" si="33"/>
        <v>0</v>
      </c>
      <c r="L80" s="405">
        <f>L79+620</f>
        <v>620</v>
      </c>
      <c r="M80" s="405">
        <f t="shared" si="33"/>
        <v>0</v>
      </c>
      <c r="N80" s="405">
        <f t="shared" si="28"/>
        <v>3132</v>
      </c>
      <c r="O80" s="405">
        <f>O79+50+99</f>
        <v>34799</v>
      </c>
      <c r="P80" s="406">
        <f>P79+13</f>
        <v>9175</v>
      </c>
      <c r="Q80" s="406">
        <f>Q79+521</f>
        <v>12923</v>
      </c>
      <c r="R80" s="405">
        <f t="shared" si="33"/>
        <v>4512</v>
      </c>
      <c r="S80" s="405">
        <f t="shared" si="33"/>
        <v>660</v>
      </c>
      <c r="T80" s="405"/>
      <c r="U80" s="405">
        <f t="shared" si="33"/>
        <v>0</v>
      </c>
      <c r="V80" s="405">
        <f t="shared" si="33"/>
        <v>0</v>
      </c>
      <c r="W80" s="405">
        <f t="shared" si="33"/>
        <v>0</v>
      </c>
      <c r="X80" s="405">
        <f t="shared" si="1"/>
        <v>57557</v>
      </c>
      <c r="Z80" s="211"/>
    </row>
    <row r="81" spans="1:26" ht="12.75">
      <c r="A81" s="403"/>
      <c r="B81" s="404" t="s">
        <v>385</v>
      </c>
      <c r="C81" s="405">
        <f>C80</f>
        <v>2010</v>
      </c>
      <c r="D81" s="405">
        <f t="shared" si="33"/>
        <v>1312</v>
      </c>
      <c r="E81" s="405">
        <f t="shared" si="33"/>
        <v>502</v>
      </c>
      <c r="F81" s="405">
        <f t="shared" si="33"/>
        <v>0</v>
      </c>
      <c r="G81" s="405">
        <f t="shared" si="33"/>
        <v>0</v>
      </c>
      <c r="H81" s="405">
        <f t="shared" si="33"/>
        <v>0</v>
      </c>
      <c r="I81" s="405">
        <f t="shared" si="33"/>
        <v>0</v>
      </c>
      <c r="J81" s="405">
        <f t="shared" si="33"/>
        <v>0</v>
      </c>
      <c r="K81" s="405">
        <f t="shared" si="33"/>
        <v>0</v>
      </c>
      <c r="L81" s="405">
        <f t="shared" si="33"/>
        <v>620</v>
      </c>
      <c r="M81" s="405">
        <f t="shared" si="33"/>
        <v>0</v>
      </c>
      <c r="N81" s="405">
        <f t="shared" si="28"/>
        <v>3132</v>
      </c>
      <c r="O81" s="405">
        <f>O80+114+1023+23</f>
        <v>35959</v>
      </c>
      <c r="P81" s="406">
        <f>P80+31+246</f>
        <v>9452</v>
      </c>
      <c r="Q81" s="406">
        <f>Q80+346</f>
        <v>13269</v>
      </c>
      <c r="R81" s="405">
        <f t="shared" si="33"/>
        <v>4512</v>
      </c>
      <c r="S81" s="405">
        <f t="shared" si="33"/>
        <v>660</v>
      </c>
      <c r="T81" s="405"/>
      <c r="U81" s="405">
        <f t="shared" si="33"/>
        <v>0</v>
      </c>
      <c r="V81" s="405">
        <f t="shared" si="33"/>
        <v>0</v>
      </c>
      <c r="W81" s="405">
        <f t="shared" si="33"/>
        <v>0</v>
      </c>
      <c r="X81" s="405">
        <f t="shared" si="1"/>
        <v>59340</v>
      </c>
      <c r="Z81" s="211"/>
    </row>
    <row r="82" spans="1:26" s="407" customFormat="1" ht="12.75">
      <c r="A82" s="403"/>
      <c r="B82" s="404" t="s">
        <v>386</v>
      </c>
      <c r="C82" s="405">
        <f>C81+624</f>
        <v>2634</v>
      </c>
      <c r="D82" s="405">
        <f t="shared" si="33"/>
        <v>1312</v>
      </c>
      <c r="E82" s="405">
        <f>E81+156</f>
        <v>658</v>
      </c>
      <c r="F82" s="405">
        <f t="shared" si="33"/>
        <v>0</v>
      </c>
      <c r="G82" s="405">
        <f t="shared" si="33"/>
        <v>0</v>
      </c>
      <c r="H82" s="405">
        <f t="shared" si="33"/>
        <v>0</v>
      </c>
      <c r="I82" s="405">
        <f t="shared" si="33"/>
        <v>0</v>
      </c>
      <c r="J82" s="405">
        <f t="shared" si="33"/>
        <v>0</v>
      </c>
      <c r="K82" s="405">
        <f t="shared" si="33"/>
        <v>0</v>
      </c>
      <c r="L82" s="405">
        <f t="shared" si="33"/>
        <v>620</v>
      </c>
      <c r="M82" s="405">
        <f t="shared" si="33"/>
        <v>0</v>
      </c>
      <c r="N82" s="405">
        <f t="shared" si="28"/>
        <v>3912</v>
      </c>
      <c r="O82" s="405">
        <f>O81+35</f>
        <v>35994</v>
      </c>
      <c r="P82" s="406">
        <f>P81+10</f>
        <v>9462</v>
      </c>
      <c r="Q82" s="406">
        <f>Q81+780</f>
        <v>14049</v>
      </c>
      <c r="R82" s="405">
        <f t="shared" si="33"/>
        <v>4512</v>
      </c>
      <c r="S82" s="405">
        <f t="shared" si="33"/>
        <v>660</v>
      </c>
      <c r="T82" s="405"/>
      <c r="U82" s="405">
        <f t="shared" si="33"/>
        <v>0</v>
      </c>
      <c r="V82" s="405">
        <f t="shared" si="33"/>
        <v>0</v>
      </c>
      <c r="W82" s="405">
        <f t="shared" si="33"/>
        <v>0</v>
      </c>
      <c r="X82" s="405">
        <f>SUM(O82:W82)-R82</f>
        <v>60165</v>
      </c>
      <c r="Z82" s="408"/>
    </row>
    <row r="83" spans="1:26" s="407" customFormat="1" ht="10.5" customHeight="1">
      <c r="A83" s="403"/>
      <c r="B83" s="404" t="s">
        <v>387</v>
      </c>
      <c r="C83" s="405">
        <f aca="true" t="shared" si="34" ref="C83:M83">C82</f>
        <v>2634</v>
      </c>
      <c r="D83" s="405">
        <f t="shared" si="34"/>
        <v>1312</v>
      </c>
      <c r="E83" s="405">
        <f t="shared" si="34"/>
        <v>658</v>
      </c>
      <c r="F83" s="405">
        <f t="shared" si="34"/>
        <v>0</v>
      </c>
      <c r="G83" s="405">
        <f t="shared" si="34"/>
        <v>0</v>
      </c>
      <c r="H83" s="405">
        <f t="shared" si="34"/>
        <v>0</v>
      </c>
      <c r="I83" s="405">
        <f>I82+50</f>
        <v>50</v>
      </c>
      <c r="J83" s="405">
        <f t="shared" si="34"/>
        <v>0</v>
      </c>
      <c r="K83" s="405">
        <f t="shared" si="34"/>
        <v>0</v>
      </c>
      <c r="L83" s="405">
        <f t="shared" si="34"/>
        <v>620</v>
      </c>
      <c r="M83" s="405">
        <f t="shared" si="34"/>
        <v>0</v>
      </c>
      <c r="N83" s="405">
        <f>SUM(C83:M83)-D83</f>
        <v>3962</v>
      </c>
      <c r="O83" s="405">
        <f>O82-2</f>
        <v>35992</v>
      </c>
      <c r="P83" s="406">
        <f>P82+4</f>
        <v>9466</v>
      </c>
      <c r="Q83" s="406">
        <f>Q82+50+183</f>
        <v>14282</v>
      </c>
      <c r="R83" s="405">
        <f t="shared" si="33"/>
        <v>4512</v>
      </c>
      <c r="S83" s="405">
        <f>S82-147-36</f>
        <v>477</v>
      </c>
      <c r="T83" s="405"/>
      <c r="U83" s="405">
        <f t="shared" si="33"/>
        <v>0</v>
      </c>
      <c r="V83" s="405">
        <f t="shared" si="33"/>
        <v>0</v>
      </c>
      <c r="W83" s="405">
        <f t="shared" si="33"/>
        <v>0</v>
      </c>
      <c r="X83" s="405">
        <f>SUM(O83:W83)-R83</f>
        <v>60217</v>
      </c>
      <c r="Z83" s="408"/>
    </row>
    <row r="84" spans="1:26" s="407" customFormat="1" ht="12.75">
      <c r="A84" s="403"/>
      <c r="B84" s="404" t="s">
        <v>388</v>
      </c>
      <c r="C84" s="405">
        <v>2372</v>
      </c>
      <c r="D84" s="405">
        <v>1049</v>
      </c>
      <c r="E84" s="405">
        <v>593</v>
      </c>
      <c r="F84" s="405"/>
      <c r="G84" s="405"/>
      <c r="H84" s="405"/>
      <c r="I84" s="405">
        <v>50</v>
      </c>
      <c r="J84" s="405"/>
      <c r="K84" s="405"/>
      <c r="L84" s="405">
        <v>620</v>
      </c>
      <c r="M84" s="405"/>
      <c r="N84" s="405">
        <f>SUM(C84:M84)-D84</f>
        <v>3635</v>
      </c>
      <c r="O84" s="405">
        <v>35364</v>
      </c>
      <c r="P84" s="406">
        <v>9371</v>
      </c>
      <c r="Q84" s="406">
        <v>11677</v>
      </c>
      <c r="R84" s="405">
        <v>4383</v>
      </c>
      <c r="S84" s="405">
        <v>477</v>
      </c>
      <c r="T84" s="405"/>
      <c r="U84" s="405"/>
      <c r="V84" s="405"/>
      <c r="W84" s="405"/>
      <c r="X84" s="405">
        <f>SUM(O84:W84)-R84</f>
        <v>56889</v>
      </c>
      <c r="Z84" s="408"/>
    </row>
    <row r="85" spans="1:26" ht="12.75">
      <c r="A85" s="418">
        <f>'[2]Eredeti Ft'!A46</f>
        <v>0</v>
      </c>
      <c r="B85" s="419">
        <f>'[2]Eredeti Ft'!B46</f>
        <v>0</v>
      </c>
      <c r="C85" s="420">
        <f aca="true" t="shared" si="35" ref="C85:W90">C61+C67+C73+C79</f>
        <v>26481</v>
      </c>
      <c r="D85" s="420">
        <f t="shared" si="35"/>
        <v>21940</v>
      </c>
      <c r="E85" s="420">
        <f>E61+E67+E73+E79</f>
        <v>5947</v>
      </c>
      <c r="F85" s="420">
        <f t="shared" si="35"/>
        <v>4200</v>
      </c>
      <c r="G85" s="420">
        <f t="shared" si="35"/>
        <v>1500</v>
      </c>
      <c r="H85" s="420">
        <f t="shared" si="35"/>
        <v>0</v>
      </c>
      <c r="I85" s="420">
        <f t="shared" si="35"/>
        <v>5494</v>
      </c>
      <c r="J85" s="420">
        <f t="shared" si="35"/>
        <v>0</v>
      </c>
      <c r="K85" s="420">
        <f t="shared" si="35"/>
        <v>0</v>
      </c>
      <c r="L85" s="420">
        <f t="shared" si="35"/>
        <v>0</v>
      </c>
      <c r="M85" s="420">
        <f t="shared" si="35"/>
        <v>0</v>
      </c>
      <c r="N85" s="405">
        <f t="shared" si="28"/>
        <v>43622</v>
      </c>
      <c r="O85" s="420">
        <f aca="true" t="shared" si="36" ref="O85:O90">O61+O67+O73+O79</f>
        <v>258570</v>
      </c>
      <c r="P85" s="421">
        <f t="shared" si="35"/>
        <v>69050</v>
      </c>
      <c r="Q85" s="421">
        <f t="shared" si="35"/>
        <v>111218</v>
      </c>
      <c r="R85" s="420">
        <f t="shared" si="35"/>
        <v>54245</v>
      </c>
      <c r="S85" s="420">
        <f t="shared" si="35"/>
        <v>5880</v>
      </c>
      <c r="T85" s="420">
        <f t="shared" si="35"/>
        <v>0</v>
      </c>
      <c r="U85" s="420">
        <f t="shared" si="35"/>
        <v>4200</v>
      </c>
      <c r="V85" s="420">
        <f t="shared" si="35"/>
        <v>0</v>
      </c>
      <c r="W85" s="420">
        <f t="shared" si="35"/>
        <v>2300</v>
      </c>
      <c r="X85" s="405">
        <f t="shared" si="1"/>
        <v>451218</v>
      </c>
      <c r="Y85">
        <f>SUM(Y61:Y79)</f>
        <v>0</v>
      </c>
      <c r="Z85" s="211"/>
    </row>
    <row r="86" spans="1:26" ht="12.75">
      <c r="A86" s="418"/>
      <c r="B86" s="404" t="s">
        <v>384</v>
      </c>
      <c r="C86" s="420">
        <f t="shared" si="35"/>
        <v>26775</v>
      </c>
      <c r="D86" s="420">
        <f t="shared" si="35"/>
        <v>21940</v>
      </c>
      <c r="E86" s="420">
        <f t="shared" si="35"/>
        <v>6020</v>
      </c>
      <c r="F86" s="420">
        <f t="shared" si="35"/>
        <v>0</v>
      </c>
      <c r="G86" s="420">
        <f t="shared" si="35"/>
        <v>2156</v>
      </c>
      <c r="H86" s="420">
        <f t="shared" si="35"/>
        <v>0</v>
      </c>
      <c r="I86" s="420">
        <f t="shared" si="35"/>
        <v>5494</v>
      </c>
      <c r="J86" s="420">
        <f t="shared" si="35"/>
        <v>0</v>
      </c>
      <c r="K86" s="420">
        <f t="shared" si="35"/>
        <v>0</v>
      </c>
      <c r="L86" s="420">
        <f t="shared" si="35"/>
        <v>5454</v>
      </c>
      <c r="M86" s="420">
        <f t="shared" si="35"/>
        <v>0</v>
      </c>
      <c r="N86" s="405">
        <f t="shared" si="28"/>
        <v>45899</v>
      </c>
      <c r="O86" s="420">
        <f t="shared" si="36"/>
        <v>260865</v>
      </c>
      <c r="P86" s="421">
        <f t="shared" si="35"/>
        <v>69340</v>
      </c>
      <c r="Q86" s="421">
        <f t="shared" si="35"/>
        <v>118290</v>
      </c>
      <c r="R86" s="420">
        <f t="shared" si="35"/>
        <v>54245</v>
      </c>
      <c r="S86" s="420">
        <f t="shared" si="35"/>
        <v>5880</v>
      </c>
      <c r="T86" s="420">
        <f t="shared" si="35"/>
        <v>0</v>
      </c>
      <c r="U86" s="420">
        <f t="shared" si="35"/>
        <v>0</v>
      </c>
      <c r="V86" s="420">
        <f t="shared" si="35"/>
        <v>0</v>
      </c>
      <c r="W86" s="420">
        <f t="shared" si="35"/>
        <v>2300</v>
      </c>
      <c r="X86" s="405">
        <f t="shared" si="1"/>
        <v>456675</v>
      </c>
      <c r="Z86" s="211"/>
    </row>
    <row r="87" spans="1:26" ht="12.75">
      <c r="A87" s="418"/>
      <c r="B87" s="404" t="s">
        <v>385</v>
      </c>
      <c r="C87" s="420">
        <f t="shared" si="35"/>
        <v>27141</v>
      </c>
      <c r="D87" s="420">
        <f t="shared" si="35"/>
        <v>21940</v>
      </c>
      <c r="E87" s="420">
        <f t="shared" si="35"/>
        <v>6111</v>
      </c>
      <c r="F87" s="420">
        <f t="shared" si="35"/>
        <v>0</v>
      </c>
      <c r="G87" s="420">
        <f t="shared" si="35"/>
        <v>773</v>
      </c>
      <c r="H87" s="420">
        <f t="shared" si="35"/>
        <v>0</v>
      </c>
      <c r="I87" s="420">
        <f t="shared" si="35"/>
        <v>6994</v>
      </c>
      <c r="J87" s="420">
        <f t="shared" si="35"/>
        <v>0</v>
      </c>
      <c r="K87" s="420">
        <f t="shared" si="35"/>
        <v>0</v>
      </c>
      <c r="L87" s="420">
        <f t="shared" si="35"/>
        <v>7259</v>
      </c>
      <c r="M87" s="420">
        <f t="shared" si="35"/>
        <v>0</v>
      </c>
      <c r="N87" s="405">
        <f t="shared" si="28"/>
        <v>48278</v>
      </c>
      <c r="O87" s="420">
        <f t="shared" si="36"/>
        <v>263975</v>
      </c>
      <c r="P87" s="421">
        <f t="shared" si="35"/>
        <v>70054</v>
      </c>
      <c r="Q87" s="421">
        <f t="shared" si="35"/>
        <v>120752</v>
      </c>
      <c r="R87" s="420">
        <f t="shared" si="35"/>
        <v>54245</v>
      </c>
      <c r="S87" s="420">
        <f t="shared" si="35"/>
        <v>5880</v>
      </c>
      <c r="T87" s="420">
        <f t="shared" si="35"/>
        <v>0</v>
      </c>
      <c r="U87" s="420">
        <f t="shared" si="35"/>
        <v>0</v>
      </c>
      <c r="V87" s="420">
        <f t="shared" si="35"/>
        <v>0</v>
      </c>
      <c r="W87" s="420">
        <f t="shared" si="35"/>
        <v>6400</v>
      </c>
      <c r="X87" s="405">
        <f t="shared" si="1"/>
        <v>467061</v>
      </c>
      <c r="Z87" s="211"/>
    </row>
    <row r="88" spans="1:26" s="407" customFormat="1" ht="12.75">
      <c r="A88" s="418"/>
      <c r="B88" s="404" t="s">
        <v>386</v>
      </c>
      <c r="C88" s="420">
        <f t="shared" si="35"/>
        <v>29654</v>
      </c>
      <c r="D88" s="420">
        <f t="shared" si="35"/>
        <v>21940</v>
      </c>
      <c r="E88" s="420">
        <f t="shared" si="35"/>
        <v>6267</v>
      </c>
      <c r="F88" s="420">
        <f t="shared" si="35"/>
        <v>0</v>
      </c>
      <c r="G88" s="420">
        <f t="shared" si="35"/>
        <v>1544</v>
      </c>
      <c r="H88" s="420">
        <f t="shared" si="35"/>
        <v>0</v>
      </c>
      <c r="I88" s="420">
        <f t="shared" si="35"/>
        <v>7227</v>
      </c>
      <c r="J88" s="420">
        <f t="shared" si="35"/>
        <v>0</v>
      </c>
      <c r="K88" s="420">
        <f t="shared" si="35"/>
        <v>0</v>
      </c>
      <c r="L88" s="420">
        <f t="shared" si="35"/>
        <v>7259</v>
      </c>
      <c r="M88" s="420">
        <f t="shared" si="35"/>
        <v>0</v>
      </c>
      <c r="N88" s="405">
        <f t="shared" si="28"/>
        <v>51951</v>
      </c>
      <c r="O88" s="420">
        <f t="shared" si="36"/>
        <v>265430</v>
      </c>
      <c r="P88" s="421">
        <f t="shared" si="35"/>
        <v>70449</v>
      </c>
      <c r="Q88" s="421">
        <f t="shared" si="35"/>
        <v>123421</v>
      </c>
      <c r="R88" s="420">
        <f t="shared" si="35"/>
        <v>54245</v>
      </c>
      <c r="S88" s="420">
        <f t="shared" si="35"/>
        <v>5880</v>
      </c>
      <c r="T88" s="420">
        <f t="shared" si="35"/>
        <v>0</v>
      </c>
      <c r="U88" s="420">
        <f t="shared" si="35"/>
        <v>0</v>
      </c>
      <c r="V88" s="420">
        <f t="shared" si="35"/>
        <v>0</v>
      </c>
      <c r="W88" s="420">
        <f t="shared" si="35"/>
        <v>6400</v>
      </c>
      <c r="X88" s="405">
        <f>SUM(O88:W88)-R88</f>
        <v>471580</v>
      </c>
      <c r="Z88" s="408"/>
    </row>
    <row r="89" spans="1:26" s="407" customFormat="1" ht="12.75">
      <c r="A89" s="418"/>
      <c r="B89" s="404" t="s">
        <v>387</v>
      </c>
      <c r="C89" s="420">
        <f t="shared" si="35"/>
        <v>29947</v>
      </c>
      <c r="D89" s="420">
        <f t="shared" si="35"/>
        <v>21940</v>
      </c>
      <c r="E89" s="420">
        <f t="shared" si="35"/>
        <v>6267</v>
      </c>
      <c r="F89" s="420">
        <f t="shared" si="35"/>
        <v>0</v>
      </c>
      <c r="G89" s="420">
        <f t="shared" si="35"/>
        <v>1949</v>
      </c>
      <c r="H89" s="420">
        <f t="shared" si="35"/>
        <v>0</v>
      </c>
      <c r="I89" s="420">
        <f t="shared" si="35"/>
        <v>7585</v>
      </c>
      <c r="J89" s="420">
        <f t="shared" si="35"/>
        <v>0</v>
      </c>
      <c r="K89" s="420">
        <f t="shared" si="35"/>
        <v>0</v>
      </c>
      <c r="L89" s="420">
        <f t="shared" si="35"/>
        <v>7259</v>
      </c>
      <c r="M89" s="420">
        <f t="shared" si="35"/>
        <v>0</v>
      </c>
      <c r="N89" s="405">
        <f>SUM(C89:M89)-D89</f>
        <v>53007</v>
      </c>
      <c r="O89" s="420">
        <f t="shared" si="36"/>
        <v>264529</v>
      </c>
      <c r="P89" s="421">
        <f t="shared" si="35"/>
        <v>70598</v>
      </c>
      <c r="Q89" s="421">
        <f t="shared" si="35"/>
        <v>131048</v>
      </c>
      <c r="R89" s="420">
        <f t="shared" si="35"/>
        <v>54245</v>
      </c>
      <c r="S89" s="420">
        <f t="shared" si="35"/>
        <v>3750</v>
      </c>
      <c r="T89" s="420">
        <f t="shared" si="35"/>
        <v>451</v>
      </c>
      <c r="U89" s="420">
        <f t="shared" si="35"/>
        <v>0</v>
      </c>
      <c r="V89" s="420">
        <f t="shared" si="35"/>
        <v>0</v>
      </c>
      <c r="W89" s="420">
        <f t="shared" si="35"/>
        <v>6400</v>
      </c>
      <c r="X89" s="405">
        <f>SUM(O89:W89)-R89</f>
        <v>476776</v>
      </c>
      <c r="Z89" s="408"/>
    </row>
    <row r="90" spans="1:26" s="407" customFormat="1" ht="12.75">
      <c r="A90" s="418"/>
      <c r="B90" s="404" t="s">
        <v>388</v>
      </c>
      <c r="C90" s="420">
        <f t="shared" si="35"/>
        <v>27409</v>
      </c>
      <c r="D90" s="420">
        <f t="shared" si="35"/>
        <v>19016</v>
      </c>
      <c r="E90" s="420">
        <f t="shared" si="35"/>
        <v>5387</v>
      </c>
      <c r="F90" s="420"/>
      <c r="G90" s="420">
        <f t="shared" si="35"/>
        <v>1949</v>
      </c>
      <c r="H90" s="420"/>
      <c r="I90" s="420">
        <f t="shared" si="35"/>
        <v>6001</v>
      </c>
      <c r="J90" s="420"/>
      <c r="K90" s="420"/>
      <c r="L90" s="420">
        <f t="shared" si="35"/>
        <v>7259</v>
      </c>
      <c r="M90" s="420"/>
      <c r="N90" s="405">
        <f>SUM(C90:M90)-D90</f>
        <v>48005</v>
      </c>
      <c r="O90" s="420">
        <f t="shared" si="36"/>
        <v>263153</v>
      </c>
      <c r="P90" s="421">
        <f>P66+P72+P78+P84</f>
        <v>69669</v>
      </c>
      <c r="Q90" s="421">
        <f>Q66+Q72+Q78+Q84</f>
        <v>126963</v>
      </c>
      <c r="R90" s="420">
        <f t="shared" si="35"/>
        <v>53807</v>
      </c>
      <c r="S90" s="420">
        <f>S66+S72+S78+S84</f>
        <v>3750</v>
      </c>
      <c r="T90" s="420">
        <v>451</v>
      </c>
      <c r="U90" s="420"/>
      <c r="V90" s="420"/>
      <c r="W90" s="420">
        <f>W66+W72+W78+W84</f>
        <v>6391</v>
      </c>
      <c r="X90" s="405">
        <f>SUM(O90:W90)-R90</f>
        <v>470377</v>
      </c>
      <c r="Z90" s="408"/>
    </row>
    <row r="91" spans="1:26" ht="12.75">
      <c r="A91" s="403">
        <f>'[2]Eredeti Ft'!A49</f>
        <v>0</v>
      </c>
      <c r="B91" s="404">
        <f>'[2]Eredeti Ft'!B49</f>
        <v>0</v>
      </c>
      <c r="C91" s="405">
        <f>ROUND('[2]Eredeti Ft'!C49,-3)/1000</f>
        <v>24704</v>
      </c>
      <c r="D91" s="405">
        <f>ROUND('[2]Eredeti Ft'!D49,-3)/1000</f>
        <v>17634</v>
      </c>
      <c r="E91" s="405">
        <f>ROUND('[2]Eredeti Ft'!E49,-3)/1000</f>
        <v>6008</v>
      </c>
      <c r="F91" s="405">
        <f>ROUND('[2]Eredeti Ft'!F49,-3)/1000</f>
        <v>7900</v>
      </c>
      <c r="G91" s="405">
        <f>ROUND('[2]Eredeti Ft'!G49,-3)/1000</f>
        <v>1679</v>
      </c>
      <c r="H91" s="405">
        <f>ROUND('[2]Eredeti Ft'!H49,-3)/1000</f>
        <v>0</v>
      </c>
      <c r="I91" s="405">
        <f>ROUND('[2]Eredeti Ft'!I49,-3)/1000</f>
        <v>0</v>
      </c>
      <c r="J91" s="405">
        <f>ROUND('[2]Eredeti Ft'!J49,-3)/1000</f>
        <v>0</v>
      </c>
      <c r="K91" s="405">
        <f>ROUND('[2]Eredeti Ft'!K49,-3)/1000</f>
        <v>0</v>
      </c>
      <c r="L91" s="405">
        <f>ROUND('[2]Eredeti Ft'!L49,-3)/1000</f>
        <v>0</v>
      </c>
      <c r="M91" s="405">
        <f>ROUND('[2]Eredeti Ft'!M49,-3)/1000</f>
        <v>0</v>
      </c>
      <c r="N91" s="405">
        <f t="shared" si="28"/>
        <v>40291</v>
      </c>
      <c r="O91" s="405">
        <f>ROUND('[2]Eredeti Ft'!O49,-3)/1000</f>
        <v>147553</v>
      </c>
      <c r="P91" s="406">
        <f>ROUND('[2]Eredeti Ft'!P49,-3)/1000</f>
        <v>39584</v>
      </c>
      <c r="Q91" s="406">
        <f>ROUND('[2]Eredeti Ft'!Q49,-3)/1000</f>
        <v>115246</v>
      </c>
      <c r="R91" s="405">
        <f>ROUND('[2]Eredeti Ft'!R49,-3)/1000</f>
        <v>39024</v>
      </c>
      <c r="S91" s="405">
        <f>ROUND('[2]Eredeti Ft'!S49,-3)/1000</f>
        <v>3000</v>
      </c>
      <c r="T91" s="405"/>
      <c r="U91" s="405">
        <f>ROUND('[2]Eredeti Ft'!T49,-3)/1000</f>
        <v>7920</v>
      </c>
      <c r="V91" s="405">
        <f>ROUND('[2]Eredeti Ft'!U49,-3)/1000</f>
        <v>0</v>
      </c>
      <c r="W91" s="405">
        <f>ROUND('[2]Eredeti Ft'!V49,-3)/1000</f>
        <v>4000</v>
      </c>
      <c r="X91" s="405">
        <f t="shared" si="1"/>
        <v>317303</v>
      </c>
      <c r="Z91" s="211">
        <f>SUM(O91:W91)-R91</f>
        <v>317303</v>
      </c>
    </row>
    <row r="92" spans="1:26" ht="12.75">
      <c r="A92" s="403"/>
      <c r="B92" s="404" t="s">
        <v>384</v>
      </c>
      <c r="C92" s="405">
        <f>C91+131+152</f>
        <v>24987</v>
      </c>
      <c r="D92" s="405">
        <f aca="true" t="shared" si="37" ref="D92:E94">D91</f>
        <v>17634</v>
      </c>
      <c r="E92" s="405">
        <f t="shared" si="37"/>
        <v>6008</v>
      </c>
      <c r="F92" s="405">
        <v>0</v>
      </c>
      <c r="G92" s="405">
        <f>G91</f>
        <v>1679</v>
      </c>
      <c r="H92" s="405">
        <f>H91</f>
        <v>0</v>
      </c>
      <c r="I92" s="405">
        <f>I91+57</f>
        <v>57</v>
      </c>
      <c r="J92" s="405">
        <f aca="true" t="shared" si="38" ref="J92:K94">J91</f>
        <v>0</v>
      </c>
      <c r="K92" s="405">
        <f t="shared" si="38"/>
        <v>0</v>
      </c>
      <c r="L92" s="405">
        <f>L91+5725</f>
        <v>5725</v>
      </c>
      <c r="M92" s="405">
        <f>M91</f>
        <v>0</v>
      </c>
      <c r="N92" s="405">
        <f t="shared" si="28"/>
        <v>38456</v>
      </c>
      <c r="O92" s="405">
        <f>O91+57+776+986+1189-247</f>
        <v>150314</v>
      </c>
      <c r="P92" s="406">
        <f>P91+209+321-67</f>
        <v>40047</v>
      </c>
      <c r="Q92" s="406">
        <f>Q91+131+152+400+1852+1377+247+67</f>
        <v>119472</v>
      </c>
      <c r="R92" s="405">
        <f aca="true" t="shared" si="39" ref="R92:W95">R91</f>
        <v>39024</v>
      </c>
      <c r="S92" s="405">
        <f t="shared" si="39"/>
        <v>3000</v>
      </c>
      <c r="T92" s="405"/>
      <c r="U92" s="405">
        <f>U91-5800</f>
        <v>2120</v>
      </c>
      <c r="V92" s="405">
        <f t="shared" si="39"/>
        <v>0</v>
      </c>
      <c r="W92" s="405">
        <f t="shared" si="39"/>
        <v>4000</v>
      </c>
      <c r="X92" s="405">
        <f t="shared" si="1"/>
        <v>318953</v>
      </c>
      <c r="Z92" s="211"/>
    </row>
    <row r="93" spans="1:26" ht="12.75">
      <c r="A93" s="403"/>
      <c r="B93" s="404" t="s">
        <v>385</v>
      </c>
      <c r="C93" s="405">
        <f>C92+681+200</f>
        <v>25868</v>
      </c>
      <c r="D93" s="405">
        <f t="shared" si="37"/>
        <v>17634</v>
      </c>
      <c r="E93" s="405">
        <f t="shared" si="37"/>
        <v>6008</v>
      </c>
      <c r="F93" s="405">
        <v>0</v>
      </c>
      <c r="G93" s="405">
        <f>G92+100+90+75+300+2770+20-1679</f>
        <v>3355</v>
      </c>
      <c r="H93" s="405">
        <f>H92</f>
        <v>0</v>
      </c>
      <c r="I93" s="405">
        <f>I92+1679</f>
        <v>1736</v>
      </c>
      <c r="J93" s="405">
        <f t="shared" si="38"/>
        <v>0</v>
      </c>
      <c r="K93" s="405">
        <f t="shared" si="38"/>
        <v>0</v>
      </c>
      <c r="L93" s="405">
        <f>L92</f>
        <v>5725</v>
      </c>
      <c r="M93" s="405">
        <f>M92</f>
        <v>0</v>
      </c>
      <c r="N93" s="405">
        <f t="shared" si="28"/>
        <v>42692</v>
      </c>
      <c r="O93" s="405">
        <f>O92+1260-405+259</f>
        <v>151428</v>
      </c>
      <c r="P93" s="406">
        <f>P92+340</f>
        <v>40387</v>
      </c>
      <c r="Q93" s="406">
        <f>Q92+681+200+3355+3760-60-600+405+95</f>
        <v>127308</v>
      </c>
      <c r="R93" s="405">
        <f t="shared" si="39"/>
        <v>39024</v>
      </c>
      <c r="S93" s="405">
        <f t="shared" si="39"/>
        <v>3000</v>
      </c>
      <c r="T93" s="405"/>
      <c r="U93" s="405">
        <f t="shared" si="39"/>
        <v>2120</v>
      </c>
      <c r="V93" s="405">
        <f t="shared" si="39"/>
        <v>0</v>
      </c>
      <c r="W93" s="405"/>
      <c r="X93" s="405">
        <f t="shared" si="1"/>
        <v>324243</v>
      </c>
      <c r="Z93" s="211"/>
    </row>
    <row r="94" spans="1:26" s="407" customFormat="1" ht="12.75">
      <c r="A94" s="403"/>
      <c r="B94" s="404" t="s">
        <v>386</v>
      </c>
      <c r="C94" s="405">
        <f>C93+206</f>
        <v>26074</v>
      </c>
      <c r="D94" s="405">
        <f t="shared" si="37"/>
        <v>17634</v>
      </c>
      <c r="E94" s="405">
        <f t="shared" si="37"/>
        <v>6008</v>
      </c>
      <c r="F94" s="405">
        <v>0</v>
      </c>
      <c r="G94" s="405">
        <f>G93+2144</f>
        <v>5499</v>
      </c>
      <c r="H94" s="405">
        <f>H93</f>
        <v>0</v>
      </c>
      <c r="I94" s="405">
        <f>I93</f>
        <v>1736</v>
      </c>
      <c r="J94" s="405">
        <f t="shared" si="38"/>
        <v>0</v>
      </c>
      <c r="K94" s="405">
        <f t="shared" si="38"/>
        <v>0</v>
      </c>
      <c r="L94" s="405">
        <f>L93</f>
        <v>5725</v>
      </c>
      <c r="M94" s="405">
        <f>M93</f>
        <v>0</v>
      </c>
      <c r="N94" s="405">
        <f t="shared" si="28"/>
        <v>45042</v>
      </c>
      <c r="O94" s="405">
        <f>O93+487</f>
        <v>151915</v>
      </c>
      <c r="P94" s="406">
        <f>P93+131</f>
        <v>40518</v>
      </c>
      <c r="Q94" s="406">
        <f>Q93+206+2144+137-2120</f>
        <v>127675</v>
      </c>
      <c r="R94" s="405">
        <f t="shared" si="39"/>
        <v>39024</v>
      </c>
      <c r="S94" s="405">
        <f t="shared" si="39"/>
        <v>3000</v>
      </c>
      <c r="T94" s="405"/>
      <c r="U94" s="405">
        <f t="shared" si="39"/>
        <v>2120</v>
      </c>
      <c r="V94" s="405">
        <f t="shared" si="39"/>
        <v>0</v>
      </c>
      <c r="W94" s="405"/>
      <c r="X94" s="405">
        <f>SUM(O94:W94)-R94</f>
        <v>325228</v>
      </c>
      <c r="Z94" s="408"/>
    </row>
    <row r="95" spans="1:26" s="407" customFormat="1" ht="12.75">
      <c r="A95" s="403"/>
      <c r="B95" s="404" t="s">
        <v>387</v>
      </c>
      <c r="C95" s="405">
        <f>C94</f>
        <v>26074</v>
      </c>
      <c r="D95" s="405">
        <f>D94</f>
        <v>17634</v>
      </c>
      <c r="E95" s="405">
        <f>E94</f>
        <v>6008</v>
      </c>
      <c r="F95" s="405">
        <v>0</v>
      </c>
      <c r="G95" s="405">
        <f>G94-100+2180-20</f>
        <v>7559</v>
      </c>
      <c r="H95" s="405">
        <f>H94</f>
        <v>0</v>
      </c>
      <c r="I95" s="405">
        <f>I94+20</f>
        <v>1756</v>
      </c>
      <c r="J95" s="405">
        <f>J94</f>
        <v>0</v>
      </c>
      <c r="K95" s="405">
        <f>K94</f>
        <v>0</v>
      </c>
      <c r="L95" s="405">
        <f>L94</f>
        <v>5725</v>
      </c>
      <c r="M95" s="405">
        <f>M94</f>
        <v>0</v>
      </c>
      <c r="N95" s="405">
        <f>SUM(C95:M95)-D95</f>
        <v>47122</v>
      </c>
      <c r="O95" s="405">
        <f>O94-34+150</f>
        <v>152031</v>
      </c>
      <c r="P95" s="406">
        <f>P94+64+565</f>
        <v>41147</v>
      </c>
      <c r="Q95" s="406">
        <f>Q94-100+2180-1150-55</f>
        <v>128550</v>
      </c>
      <c r="R95" s="405">
        <f t="shared" si="39"/>
        <v>39024</v>
      </c>
      <c r="S95" s="405">
        <f>S94+151-96</f>
        <v>3055</v>
      </c>
      <c r="T95" s="405"/>
      <c r="U95" s="405">
        <f t="shared" si="39"/>
        <v>2120</v>
      </c>
      <c r="V95" s="405">
        <f t="shared" si="39"/>
        <v>0</v>
      </c>
      <c r="W95" s="405"/>
      <c r="X95" s="405">
        <f>SUM(O95:W95)-R95</f>
        <v>326903</v>
      </c>
      <c r="Z95" s="408"/>
    </row>
    <row r="96" spans="1:26" s="407" customFormat="1" ht="12.75">
      <c r="A96" s="403"/>
      <c r="B96" s="404" t="s">
        <v>388</v>
      </c>
      <c r="C96" s="405">
        <v>26136</v>
      </c>
      <c r="D96" s="405">
        <v>18246</v>
      </c>
      <c r="E96" s="405">
        <v>6161</v>
      </c>
      <c r="F96" s="405"/>
      <c r="G96" s="405">
        <v>7558</v>
      </c>
      <c r="H96" s="405"/>
      <c r="I96" s="405">
        <v>2964</v>
      </c>
      <c r="J96" s="405"/>
      <c r="K96" s="405"/>
      <c r="L96" s="405">
        <v>5725</v>
      </c>
      <c r="M96" s="405"/>
      <c r="N96" s="405">
        <f>SUM(C96:M96)-D96</f>
        <v>48544</v>
      </c>
      <c r="O96" s="405">
        <v>152030</v>
      </c>
      <c r="P96" s="406">
        <v>41146</v>
      </c>
      <c r="Q96" s="406">
        <v>126378</v>
      </c>
      <c r="R96" s="405">
        <v>39024</v>
      </c>
      <c r="S96" s="405">
        <v>3055</v>
      </c>
      <c r="T96" s="405"/>
      <c r="U96" s="405">
        <v>2120</v>
      </c>
      <c r="V96" s="405"/>
      <c r="W96" s="405"/>
      <c r="X96" s="405">
        <f>SUM(O96:W96)-R96</f>
        <v>324729</v>
      </c>
      <c r="Z96" s="408"/>
    </row>
    <row r="97" spans="1:26" ht="12.75" customHeight="1">
      <c r="A97" s="403">
        <f>'[2]Eredeti Ft'!A52</f>
        <v>0</v>
      </c>
      <c r="B97" s="404">
        <f>'[2]Eredeti Ft'!B52</f>
        <v>0</v>
      </c>
      <c r="C97" s="405">
        <f>ROUND('[2]Eredeti Ft'!C52,-3)/1000</f>
        <v>4942</v>
      </c>
      <c r="D97" s="405">
        <f>ROUND('[2]Eredeti Ft'!D52,-3)/1000</f>
        <v>4212</v>
      </c>
      <c r="E97" s="405">
        <f>ROUND('[2]Eredeti Ft'!E52,-3)/1000</f>
        <v>1173</v>
      </c>
      <c r="F97" s="405">
        <f>ROUND('[2]Eredeti Ft'!F52,-3)/1000</f>
        <v>0</v>
      </c>
      <c r="G97" s="405">
        <f>ROUND('[2]Eredeti Ft'!G52,-3)/1000</f>
        <v>0</v>
      </c>
      <c r="H97" s="405">
        <f>ROUND('[2]Eredeti Ft'!H52,-3)/1000</f>
        <v>0</v>
      </c>
      <c r="I97" s="405">
        <f>ROUND('[2]Eredeti Ft'!I52,-3)/1000</f>
        <v>0</v>
      </c>
      <c r="J97" s="405">
        <f>ROUND('[2]Eredeti Ft'!J52,-3)/1000</f>
        <v>0</v>
      </c>
      <c r="K97" s="405">
        <f>ROUND('[2]Eredeti Ft'!K52,-3)/1000</f>
        <v>0</v>
      </c>
      <c r="L97" s="405">
        <f>ROUND('[2]Eredeti Ft'!L52,-3)/1000</f>
        <v>0</v>
      </c>
      <c r="M97" s="405">
        <f>ROUND('[2]Eredeti Ft'!M52,-3)/1000</f>
        <v>0</v>
      </c>
      <c r="N97" s="405">
        <f t="shared" si="28"/>
        <v>6115</v>
      </c>
      <c r="O97" s="405">
        <f>ROUND('[2]Eredeti Ft'!O52,-3)/1000</f>
        <v>50863</v>
      </c>
      <c r="P97" s="406">
        <f>ROUND('[2]Eredeti Ft'!P52,-3)/1000</f>
        <v>13605</v>
      </c>
      <c r="Q97" s="406">
        <f>ROUND('[2]Eredeti Ft'!Q52,-3)/1000</f>
        <v>27722</v>
      </c>
      <c r="R97" s="405">
        <f>ROUND('[2]Eredeti Ft'!R52,-3)/1000</f>
        <v>13925</v>
      </c>
      <c r="S97" s="405">
        <f>ROUND('[2]Eredeti Ft'!S52,-3)/1000</f>
        <v>1320</v>
      </c>
      <c r="T97" s="405"/>
      <c r="U97" s="405">
        <f>ROUND('[2]Eredeti Ft'!T52,-3)/1000</f>
        <v>0</v>
      </c>
      <c r="V97" s="405">
        <f>ROUND('[2]Eredeti Ft'!U52,-3)/1000</f>
        <v>0</v>
      </c>
      <c r="W97" s="405">
        <f>ROUND('[2]Eredeti Ft'!V52,-3)/1000</f>
        <v>0</v>
      </c>
      <c r="X97" s="405">
        <f t="shared" si="1"/>
        <v>93510</v>
      </c>
      <c r="Z97" s="211">
        <f>SUM(O97:W97)-R97</f>
        <v>93510</v>
      </c>
    </row>
    <row r="98" spans="1:26" ht="12.75">
      <c r="A98" s="403"/>
      <c r="B98" s="404" t="s">
        <v>384</v>
      </c>
      <c r="C98" s="405">
        <f>C97</f>
        <v>4942</v>
      </c>
      <c r="D98" s="405">
        <f aca="true" t="shared" si="40" ref="D98:W101">D97</f>
        <v>4212</v>
      </c>
      <c r="E98" s="405">
        <f t="shared" si="40"/>
        <v>1173</v>
      </c>
      <c r="F98" s="405">
        <f t="shared" si="40"/>
        <v>0</v>
      </c>
      <c r="G98" s="405">
        <f>G97+70</f>
        <v>70</v>
      </c>
      <c r="H98" s="405">
        <f t="shared" si="40"/>
        <v>0</v>
      </c>
      <c r="I98" s="405">
        <f t="shared" si="40"/>
        <v>0</v>
      </c>
      <c r="J98" s="405">
        <f t="shared" si="40"/>
        <v>0</v>
      </c>
      <c r="K98" s="405">
        <f t="shared" si="40"/>
        <v>0</v>
      </c>
      <c r="L98" s="405">
        <f>L97+73</f>
        <v>73</v>
      </c>
      <c r="M98" s="405">
        <f t="shared" si="40"/>
        <v>0</v>
      </c>
      <c r="N98" s="405">
        <f t="shared" si="28"/>
        <v>6258</v>
      </c>
      <c r="O98" s="405">
        <f>O97+73+249</f>
        <v>51185</v>
      </c>
      <c r="P98" s="406">
        <f>P97+67</f>
        <v>13672</v>
      </c>
      <c r="Q98" s="406">
        <f>Q97+70</f>
        <v>27792</v>
      </c>
      <c r="R98" s="405">
        <f t="shared" si="40"/>
        <v>13925</v>
      </c>
      <c r="S98" s="405">
        <f t="shared" si="40"/>
        <v>1320</v>
      </c>
      <c r="T98" s="405"/>
      <c r="U98" s="405">
        <f t="shared" si="40"/>
        <v>0</v>
      </c>
      <c r="V98" s="405">
        <f t="shared" si="40"/>
        <v>0</v>
      </c>
      <c r="W98" s="405">
        <f t="shared" si="40"/>
        <v>0</v>
      </c>
      <c r="X98" s="405">
        <f t="shared" si="1"/>
        <v>93969</v>
      </c>
      <c r="Z98" s="211"/>
    </row>
    <row r="99" spans="1:26" ht="12.75">
      <c r="A99" s="403"/>
      <c r="B99" s="404" t="s">
        <v>385</v>
      </c>
      <c r="C99" s="405">
        <f>C98</f>
        <v>4942</v>
      </c>
      <c r="D99" s="405">
        <f t="shared" si="40"/>
        <v>4212</v>
      </c>
      <c r="E99" s="405">
        <f t="shared" si="40"/>
        <v>1173</v>
      </c>
      <c r="F99" s="405">
        <f t="shared" si="40"/>
        <v>0</v>
      </c>
      <c r="G99" s="405">
        <f t="shared" si="40"/>
        <v>70</v>
      </c>
      <c r="H99" s="405">
        <f t="shared" si="40"/>
        <v>0</v>
      </c>
      <c r="I99" s="405">
        <f t="shared" si="40"/>
        <v>0</v>
      </c>
      <c r="J99" s="405">
        <f t="shared" si="40"/>
        <v>0</v>
      </c>
      <c r="K99" s="405">
        <f t="shared" si="40"/>
        <v>0</v>
      </c>
      <c r="L99" s="405">
        <f t="shared" si="40"/>
        <v>73</v>
      </c>
      <c r="M99" s="405">
        <f t="shared" si="40"/>
        <v>0</v>
      </c>
      <c r="N99" s="405">
        <f t="shared" si="28"/>
        <v>6258</v>
      </c>
      <c r="O99" s="405">
        <f>O98+407+84</f>
        <v>51676</v>
      </c>
      <c r="P99" s="406">
        <f>P98+110</f>
        <v>13782</v>
      </c>
      <c r="Q99" s="406">
        <f>Q98+650+600</f>
        <v>29042</v>
      </c>
      <c r="R99" s="405">
        <f t="shared" si="40"/>
        <v>13925</v>
      </c>
      <c r="S99" s="405">
        <f t="shared" si="40"/>
        <v>1320</v>
      </c>
      <c r="T99" s="405"/>
      <c r="U99" s="405">
        <f t="shared" si="40"/>
        <v>0</v>
      </c>
      <c r="V99" s="405">
        <f t="shared" si="40"/>
        <v>0</v>
      </c>
      <c r="W99" s="405">
        <f t="shared" si="40"/>
        <v>0</v>
      </c>
      <c r="X99" s="405">
        <f t="shared" si="1"/>
        <v>95820</v>
      </c>
      <c r="Z99" s="211"/>
    </row>
    <row r="100" spans="1:26" s="407" customFormat="1" ht="12.75">
      <c r="A100" s="403"/>
      <c r="B100" s="404" t="s">
        <v>386</v>
      </c>
      <c r="C100" s="405">
        <f>C99</f>
        <v>4942</v>
      </c>
      <c r="D100" s="405">
        <f t="shared" si="40"/>
        <v>4212</v>
      </c>
      <c r="E100" s="405">
        <f t="shared" si="40"/>
        <v>1173</v>
      </c>
      <c r="F100" s="405">
        <f t="shared" si="40"/>
        <v>0</v>
      </c>
      <c r="G100" s="405">
        <f t="shared" si="40"/>
        <v>70</v>
      </c>
      <c r="H100" s="405">
        <f t="shared" si="40"/>
        <v>0</v>
      </c>
      <c r="I100" s="405">
        <f t="shared" si="40"/>
        <v>0</v>
      </c>
      <c r="J100" s="405">
        <f t="shared" si="40"/>
        <v>0</v>
      </c>
      <c r="K100" s="405">
        <f t="shared" si="40"/>
        <v>0</v>
      </c>
      <c r="L100" s="405">
        <f t="shared" si="40"/>
        <v>73</v>
      </c>
      <c r="M100" s="405">
        <f t="shared" si="40"/>
        <v>0</v>
      </c>
      <c r="N100" s="405">
        <f t="shared" si="28"/>
        <v>6258</v>
      </c>
      <c r="O100" s="405">
        <f>O99+187</f>
        <v>51863</v>
      </c>
      <c r="P100" s="406">
        <f>P99+49</f>
        <v>13831</v>
      </c>
      <c r="Q100" s="406">
        <f>Q99</f>
        <v>29042</v>
      </c>
      <c r="R100" s="405">
        <f t="shared" si="40"/>
        <v>13925</v>
      </c>
      <c r="S100" s="405">
        <f t="shared" si="40"/>
        <v>1320</v>
      </c>
      <c r="T100" s="405"/>
      <c r="U100" s="405">
        <f t="shared" si="40"/>
        <v>0</v>
      </c>
      <c r="V100" s="405">
        <f t="shared" si="40"/>
        <v>0</v>
      </c>
      <c r="W100" s="405">
        <f t="shared" si="40"/>
        <v>0</v>
      </c>
      <c r="X100" s="405">
        <f>SUM(O100:W100)-R100</f>
        <v>96056</v>
      </c>
      <c r="Z100" s="408"/>
    </row>
    <row r="101" spans="1:26" s="407" customFormat="1" ht="12.75">
      <c r="A101" s="403"/>
      <c r="B101" s="404" t="s">
        <v>387</v>
      </c>
      <c r="C101" s="405">
        <f>C100</f>
        <v>4942</v>
      </c>
      <c r="D101" s="405">
        <f t="shared" si="40"/>
        <v>4212</v>
      </c>
      <c r="E101" s="405">
        <f t="shared" si="40"/>
        <v>1173</v>
      </c>
      <c r="F101" s="405">
        <f t="shared" si="40"/>
        <v>0</v>
      </c>
      <c r="G101" s="405">
        <f t="shared" si="40"/>
        <v>70</v>
      </c>
      <c r="H101" s="405">
        <f t="shared" si="40"/>
        <v>0</v>
      </c>
      <c r="I101" s="405">
        <f>I100+40</f>
        <v>40</v>
      </c>
      <c r="J101" s="405">
        <f t="shared" si="40"/>
        <v>0</v>
      </c>
      <c r="K101" s="405">
        <f t="shared" si="40"/>
        <v>0</v>
      </c>
      <c r="L101" s="405">
        <f t="shared" si="40"/>
        <v>73</v>
      </c>
      <c r="M101" s="405">
        <f t="shared" si="40"/>
        <v>0</v>
      </c>
      <c r="N101" s="405">
        <f>SUM(C101:M101)-D101</f>
        <v>6298</v>
      </c>
      <c r="O101" s="405">
        <f>O100-13-150-565</f>
        <v>51135</v>
      </c>
      <c r="P101" s="406">
        <f>P100+25</f>
        <v>13856</v>
      </c>
      <c r="Q101" s="406">
        <f>Q100+40+1150+85</f>
        <v>30317</v>
      </c>
      <c r="R101" s="405">
        <f>R100</f>
        <v>13925</v>
      </c>
      <c r="S101" s="405">
        <f>S100+35-120</f>
        <v>1235</v>
      </c>
      <c r="T101" s="405"/>
      <c r="U101" s="405">
        <f>U100</f>
        <v>0</v>
      </c>
      <c r="V101" s="405">
        <f>V100</f>
        <v>0</v>
      </c>
      <c r="W101" s="405">
        <f>W100</f>
        <v>0</v>
      </c>
      <c r="X101" s="405">
        <f>SUM(O101:W101)-R101</f>
        <v>96543</v>
      </c>
      <c r="Z101" s="408"/>
    </row>
    <row r="102" spans="1:26" s="407" customFormat="1" ht="12.75">
      <c r="A102" s="403"/>
      <c r="B102" s="404" t="s">
        <v>388</v>
      </c>
      <c r="C102" s="405">
        <v>4442</v>
      </c>
      <c r="D102" s="405">
        <v>4122</v>
      </c>
      <c r="E102" s="405">
        <v>1127</v>
      </c>
      <c r="F102" s="405"/>
      <c r="G102" s="405">
        <v>70</v>
      </c>
      <c r="H102" s="405"/>
      <c r="I102" s="405">
        <v>40</v>
      </c>
      <c r="J102" s="405"/>
      <c r="K102" s="405"/>
      <c r="L102" s="405">
        <v>73</v>
      </c>
      <c r="M102" s="405"/>
      <c r="N102" s="405">
        <f>SUM(C102:M102)-D102</f>
        <v>5752</v>
      </c>
      <c r="O102" s="405">
        <v>50980</v>
      </c>
      <c r="P102" s="406">
        <v>13638</v>
      </c>
      <c r="Q102" s="406">
        <v>30064</v>
      </c>
      <c r="R102" s="405">
        <v>13925</v>
      </c>
      <c r="S102" s="405">
        <v>1235</v>
      </c>
      <c r="T102" s="405"/>
      <c r="U102" s="405"/>
      <c r="V102" s="405"/>
      <c r="W102" s="405"/>
      <c r="X102" s="405">
        <f>SUM(O102:W102)-R102</f>
        <v>95917</v>
      </c>
      <c r="Z102" s="408"/>
    </row>
    <row r="103" spans="1:26" s="422" customFormat="1" ht="12.75">
      <c r="A103" s="418">
        <f>'[2]Eredeti Ft'!A55</f>
        <v>0</v>
      </c>
      <c r="B103" s="419">
        <f>'[2]Eredeti Ft'!B55</f>
        <v>0</v>
      </c>
      <c r="C103" s="420">
        <f aca="true" t="shared" si="41" ref="C103:W108">C91+C97</f>
        <v>29646</v>
      </c>
      <c r="D103" s="420">
        <f t="shared" si="41"/>
        <v>21846</v>
      </c>
      <c r="E103" s="420">
        <f t="shared" si="41"/>
        <v>7181</v>
      </c>
      <c r="F103" s="420">
        <f t="shared" si="41"/>
        <v>7900</v>
      </c>
      <c r="G103" s="420">
        <f t="shared" si="41"/>
        <v>1679</v>
      </c>
      <c r="H103" s="420">
        <f t="shared" si="41"/>
        <v>0</v>
      </c>
      <c r="I103" s="420">
        <f t="shared" si="41"/>
        <v>0</v>
      </c>
      <c r="J103" s="420">
        <f t="shared" si="41"/>
        <v>0</v>
      </c>
      <c r="K103" s="420">
        <f t="shared" si="41"/>
        <v>0</v>
      </c>
      <c r="L103" s="420">
        <f t="shared" si="41"/>
        <v>0</v>
      </c>
      <c r="M103" s="420">
        <f t="shared" si="41"/>
        <v>0</v>
      </c>
      <c r="N103" s="405">
        <f t="shared" si="28"/>
        <v>46406</v>
      </c>
      <c r="O103" s="420">
        <f t="shared" si="41"/>
        <v>198416</v>
      </c>
      <c r="P103" s="421">
        <f t="shared" si="41"/>
        <v>53189</v>
      </c>
      <c r="Q103" s="421">
        <f t="shared" si="41"/>
        <v>142968</v>
      </c>
      <c r="R103" s="420">
        <f t="shared" si="41"/>
        <v>52949</v>
      </c>
      <c r="S103" s="420">
        <f t="shared" si="41"/>
        <v>4320</v>
      </c>
      <c r="T103" s="420"/>
      <c r="U103" s="420">
        <f t="shared" si="41"/>
        <v>7920</v>
      </c>
      <c r="V103" s="420">
        <f t="shared" si="41"/>
        <v>0</v>
      </c>
      <c r="W103" s="420">
        <f t="shared" si="41"/>
        <v>4000</v>
      </c>
      <c r="X103" s="405">
        <f t="shared" si="1"/>
        <v>410813</v>
      </c>
      <c r="Z103" s="211">
        <f>SUM(O103:W103)-R103</f>
        <v>410813</v>
      </c>
    </row>
    <row r="104" spans="1:26" s="422" customFormat="1" ht="12.75">
      <c r="A104" s="418"/>
      <c r="B104" s="404" t="s">
        <v>384</v>
      </c>
      <c r="C104" s="420">
        <f t="shared" si="41"/>
        <v>29929</v>
      </c>
      <c r="D104" s="420">
        <f t="shared" si="41"/>
        <v>21846</v>
      </c>
      <c r="E104" s="420">
        <f t="shared" si="41"/>
        <v>7181</v>
      </c>
      <c r="F104" s="420">
        <f t="shared" si="41"/>
        <v>0</v>
      </c>
      <c r="G104" s="420">
        <f t="shared" si="41"/>
        <v>1749</v>
      </c>
      <c r="H104" s="420">
        <f t="shared" si="41"/>
        <v>0</v>
      </c>
      <c r="I104" s="420">
        <f t="shared" si="41"/>
        <v>57</v>
      </c>
      <c r="J104" s="420">
        <f t="shared" si="41"/>
        <v>0</v>
      </c>
      <c r="K104" s="420">
        <f t="shared" si="41"/>
        <v>0</v>
      </c>
      <c r="L104" s="420">
        <f t="shared" si="41"/>
        <v>5798</v>
      </c>
      <c r="M104" s="420">
        <f t="shared" si="41"/>
        <v>0</v>
      </c>
      <c r="N104" s="405">
        <f t="shared" si="28"/>
        <v>44714</v>
      </c>
      <c r="O104" s="420">
        <f t="shared" si="41"/>
        <v>201499</v>
      </c>
      <c r="P104" s="421">
        <f t="shared" si="41"/>
        <v>53719</v>
      </c>
      <c r="Q104" s="421">
        <f t="shared" si="41"/>
        <v>147264</v>
      </c>
      <c r="R104" s="420">
        <f t="shared" si="41"/>
        <v>52949</v>
      </c>
      <c r="S104" s="420">
        <f t="shared" si="41"/>
        <v>4320</v>
      </c>
      <c r="T104" s="420"/>
      <c r="U104" s="420">
        <f t="shared" si="41"/>
        <v>2120</v>
      </c>
      <c r="V104" s="420">
        <f t="shared" si="41"/>
        <v>0</v>
      </c>
      <c r="W104" s="420">
        <f t="shared" si="41"/>
        <v>4000</v>
      </c>
      <c r="X104" s="405">
        <f t="shared" si="1"/>
        <v>412922</v>
      </c>
      <c r="Z104" s="211"/>
    </row>
    <row r="105" spans="1:26" s="422" customFormat="1" ht="12.75">
      <c r="A105" s="418"/>
      <c r="B105" s="404" t="s">
        <v>385</v>
      </c>
      <c r="C105" s="420">
        <f t="shared" si="41"/>
        <v>30810</v>
      </c>
      <c r="D105" s="420">
        <f t="shared" si="41"/>
        <v>21846</v>
      </c>
      <c r="E105" s="420">
        <f t="shared" si="41"/>
        <v>7181</v>
      </c>
      <c r="F105" s="420">
        <f t="shared" si="41"/>
        <v>0</v>
      </c>
      <c r="G105" s="420">
        <f t="shared" si="41"/>
        <v>3425</v>
      </c>
      <c r="H105" s="420">
        <f t="shared" si="41"/>
        <v>0</v>
      </c>
      <c r="I105" s="420">
        <f t="shared" si="41"/>
        <v>1736</v>
      </c>
      <c r="J105" s="420">
        <f t="shared" si="41"/>
        <v>0</v>
      </c>
      <c r="K105" s="420">
        <f t="shared" si="41"/>
        <v>0</v>
      </c>
      <c r="L105" s="420">
        <f t="shared" si="41"/>
        <v>5798</v>
      </c>
      <c r="M105" s="420">
        <f t="shared" si="41"/>
        <v>0</v>
      </c>
      <c r="N105" s="405">
        <f t="shared" si="28"/>
        <v>48950</v>
      </c>
      <c r="O105" s="420">
        <f t="shared" si="41"/>
        <v>203104</v>
      </c>
      <c r="P105" s="421">
        <f t="shared" si="41"/>
        <v>54169</v>
      </c>
      <c r="Q105" s="421">
        <f t="shared" si="41"/>
        <v>156350</v>
      </c>
      <c r="R105" s="420">
        <f t="shared" si="41"/>
        <v>52949</v>
      </c>
      <c r="S105" s="420">
        <f t="shared" si="41"/>
        <v>4320</v>
      </c>
      <c r="T105" s="420"/>
      <c r="U105" s="420">
        <f t="shared" si="41"/>
        <v>2120</v>
      </c>
      <c r="V105" s="420">
        <f t="shared" si="41"/>
        <v>0</v>
      </c>
      <c r="W105" s="420">
        <f t="shared" si="41"/>
        <v>0</v>
      </c>
      <c r="X105" s="405">
        <f t="shared" si="1"/>
        <v>420063</v>
      </c>
      <c r="Z105" s="211"/>
    </row>
    <row r="106" spans="1:26" s="423" customFormat="1" ht="12.75">
      <c r="A106" s="418"/>
      <c r="B106" s="404" t="s">
        <v>386</v>
      </c>
      <c r="C106" s="420">
        <f t="shared" si="41"/>
        <v>31016</v>
      </c>
      <c r="D106" s="420">
        <f t="shared" si="41"/>
        <v>21846</v>
      </c>
      <c r="E106" s="420">
        <f t="shared" si="41"/>
        <v>7181</v>
      </c>
      <c r="F106" s="420">
        <f t="shared" si="41"/>
        <v>0</v>
      </c>
      <c r="G106" s="420">
        <f t="shared" si="41"/>
        <v>5569</v>
      </c>
      <c r="H106" s="420">
        <f t="shared" si="41"/>
        <v>0</v>
      </c>
      <c r="I106" s="420">
        <f t="shared" si="41"/>
        <v>1736</v>
      </c>
      <c r="J106" s="420">
        <f t="shared" si="41"/>
        <v>0</v>
      </c>
      <c r="K106" s="420">
        <f t="shared" si="41"/>
        <v>0</v>
      </c>
      <c r="L106" s="420">
        <f t="shared" si="41"/>
        <v>5798</v>
      </c>
      <c r="M106" s="420">
        <f t="shared" si="41"/>
        <v>0</v>
      </c>
      <c r="N106" s="405">
        <f t="shared" si="28"/>
        <v>51300</v>
      </c>
      <c r="O106" s="420">
        <f t="shared" si="41"/>
        <v>203778</v>
      </c>
      <c r="P106" s="421">
        <f t="shared" si="41"/>
        <v>54349</v>
      </c>
      <c r="Q106" s="421">
        <f t="shared" si="41"/>
        <v>156717</v>
      </c>
      <c r="R106" s="420">
        <f t="shared" si="41"/>
        <v>52949</v>
      </c>
      <c r="S106" s="420">
        <f t="shared" si="41"/>
        <v>4320</v>
      </c>
      <c r="T106" s="420"/>
      <c r="U106" s="420">
        <f t="shared" si="41"/>
        <v>2120</v>
      </c>
      <c r="V106" s="420">
        <f t="shared" si="41"/>
        <v>0</v>
      </c>
      <c r="W106" s="420">
        <f t="shared" si="41"/>
        <v>0</v>
      </c>
      <c r="X106" s="405">
        <f>SUM(O106:W106)-R106</f>
        <v>421284</v>
      </c>
      <c r="Z106" s="408"/>
    </row>
    <row r="107" spans="1:26" s="423" customFormat="1" ht="12.75">
      <c r="A107" s="418"/>
      <c r="B107" s="404" t="s">
        <v>387</v>
      </c>
      <c r="C107" s="420">
        <f t="shared" si="41"/>
        <v>31016</v>
      </c>
      <c r="D107" s="420">
        <f t="shared" si="41"/>
        <v>21846</v>
      </c>
      <c r="E107" s="420">
        <f t="shared" si="41"/>
        <v>7181</v>
      </c>
      <c r="F107" s="420">
        <f t="shared" si="41"/>
        <v>0</v>
      </c>
      <c r="G107" s="420">
        <f t="shared" si="41"/>
        <v>7629</v>
      </c>
      <c r="H107" s="420">
        <f t="shared" si="41"/>
        <v>0</v>
      </c>
      <c r="I107" s="420">
        <f t="shared" si="41"/>
        <v>1796</v>
      </c>
      <c r="J107" s="420">
        <f t="shared" si="41"/>
        <v>0</v>
      </c>
      <c r="K107" s="420">
        <f t="shared" si="41"/>
        <v>0</v>
      </c>
      <c r="L107" s="420">
        <f t="shared" si="41"/>
        <v>5798</v>
      </c>
      <c r="M107" s="420">
        <f t="shared" si="41"/>
        <v>0</v>
      </c>
      <c r="N107" s="405">
        <f>SUM(C107:M107)-D107</f>
        <v>53420</v>
      </c>
      <c r="O107" s="420">
        <f t="shared" si="41"/>
        <v>203166</v>
      </c>
      <c r="P107" s="421">
        <f t="shared" si="41"/>
        <v>55003</v>
      </c>
      <c r="Q107" s="421">
        <f t="shared" si="41"/>
        <v>158867</v>
      </c>
      <c r="R107" s="420">
        <f t="shared" si="41"/>
        <v>52949</v>
      </c>
      <c r="S107" s="420">
        <f t="shared" si="41"/>
        <v>4290</v>
      </c>
      <c r="T107" s="420"/>
      <c r="U107" s="420">
        <f t="shared" si="41"/>
        <v>2120</v>
      </c>
      <c r="V107" s="420">
        <f t="shared" si="41"/>
        <v>0</v>
      </c>
      <c r="W107" s="420">
        <f t="shared" si="41"/>
        <v>0</v>
      </c>
      <c r="X107" s="405">
        <f>SUM(O107:W107)-R107</f>
        <v>423446</v>
      </c>
      <c r="Z107" s="408"/>
    </row>
    <row r="108" spans="1:26" s="423" customFormat="1" ht="12.75">
      <c r="A108" s="418"/>
      <c r="B108" s="404" t="s">
        <v>388</v>
      </c>
      <c r="C108" s="420">
        <f t="shared" si="41"/>
        <v>30578</v>
      </c>
      <c r="D108" s="420">
        <f t="shared" si="41"/>
        <v>22368</v>
      </c>
      <c r="E108" s="420">
        <f t="shared" si="41"/>
        <v>7288</v>
      </c>
      <c r="F108" s="420"/>
      <c r="G108" s="420">
        <f t="shared" si="41"/>
        <v>7628</v>
      </c>
      <c r="H108" s="420"/>
      <c r="I108" s="420">
        <f t="shared" si="41"/>
        <v>3004</v>
      </c>
      <c r="J108" s="420"/>
      <c r="K108" s="420"/>
      <c r="L108" s="420">
        <f t="shared" si="41"/>
        <v>5798</v>
      </c>
      <c r="M108" s="420"/>
      <c r="N108" s="405">
        <f>SUM(C108:M108)-D108</f>
        <v>54296</v>
      </c>
      <c r="O108" s="420">
        <f>O96+O102</f>
        <v>203010</v>
      </c>
      <c r="P108" s="421">
        <f>P96+P102</f>
        <v>54784</v>
      </c>
      <c r="Q108" s="421">
        <f>Q96+Q102</f>
        <v>156442</v>
      </c>
      <c r="R108" s="420">
        <f t="shared" si="41"/>
        <v>52949</v>
      </c>
      <c r="S108" s="420">
        <f>S96+S102</f>
        <v>4290</v>
      </c>
      <c r="T108" s="420"/>
      <c r="U108" s="420">
        <f>U96+U102</f>
        <v>2120</v>
      </c>
      <c r="V108" s="420"/>
      <c r="W108" s="420"/>
      <c r="X108" s="405">
        <f>SUM(O108:W108)-R108</f>
        <v>420646</v>
      </c>
      <c r="Z108" s="408"/>
    </row>
    <row r="109" spans="1:26" ht="12.75">
      <c r="A109" s="403">
        <f>'[2]Eredeti Ft'!A58</f>
        <v>0</v>
      </c>
      <c r="B109" s="404">
        <f>'[2]Eredeti Ft'!B58</f>
        <v>0</v>
      </c>
      <c r="C109" s="405">
        <f>ROUND('[2]Eredeti Ft'!C58,-3)/1000</f>
        <v>4740</v>
      </c>
      <c r="D109" s="405">
        <f>ROUND('[2]Eredeti Ft'!D58,-3)/1000</f>
        <v>0</v>
      </c>
      <c r="E109" s="405">
        <f>ROUND('[2]Eredeti Ft'!E58,-3)/1000</f>
        <v>0</v>
      </c>
      <c r="F109" s="405">
        <f>ROUND('[2]Eredeti Ft'!F58,-3)/1000</f>
        <v>0</v>
      </c>
      <c r="G109" s="405">
        <f>ROUND('[2]Eredeti Ft'!G58,-3)/1000</f>
        <v>0</v>
      </c>
      <c r="H109" s="405">
        <f>ROUND('[2]Eredeti Ft'!H58,-3)/1000</f>
        <v>0</v>
      </c>
      <c r="I109" s="405">
        <f>ROUND('[2]Eredeti Ft'!I58,-3)/1000</f>
        <v>0</v>
      </c>
      <c r="J109" s="405">
        <f>ROUND('[2]Eredeti Ft'!J58,-3)/1000</f>
        <v>0</v>
      </c>
      <c r="K109" s="405">
        <f>ROUND('[2]Eredeti Ft'!K58,-3)/1000</f>
        <v>0</v>
      </c>
      <c r="L109" s="405">
        <f>ROUND('[2]Eredeti Ft'!L58,-3)/1000</f>
        <v>0</v>
      </c>
      <c r="M109" s="405">
        <f>ROUND('[2]Eredeti Ft'!M58,-3)/1000</f>
        <v>0</v>
      </c>
      <c r="N109" s="405">
        <f t="shared" si="28"/>
        <v>4740</v>
      </c>
      <c r="O109" s="405">
        <f>ROUND('[2]Eredeti Ft'!O58,-3)/1000</f>
        <v>52174</v>
      </c>
      <c r="P109" s="406">
        <f>ROUND('[2]Eredeti Ft'!P58,-3)/1000</f>
        <v>13798</v>
      </c>
      <c r="Q109" s="406">
        <f>ROUND('[2]Eredeti Ft'!Q58,-3)/1000</f>
        <v>6751</v>
      </c>
      <c r="R109" s="405">
        <f>ROUND('[2]Eredeti Ft'!R58,-3)/1000</f>
        <v>0</v>
      </c>
      <c r="S109" s="405">
        <f>ROUND('[2]Eredeti Ft'!S58,-3)/1000</f>
        <v>0</v>
      </c>
      <c r="T109" s="405"/>
      <c r="U109" s="405">
        <f>ROUND('[2]Eredeti Ft'!T58,-3)/1000</f>
        <v>0</v>
      </c>
      <c r="V109" s="405">
        <f>ROUND('[2]Eredeti Ft'!U58,-3)/1000</f>
        <v>0</v>
      </c>
      <c r="W109" s="405">
        <f>ROUND('[2]Eredeti Ft'!V58,-3)/1000</f>
        <v>0</v>
      </c>
      <c r="X109" s="405">
        <f t="shared" si="1"/>
        <v>72723</v>
      </c>
      <c r="Z109" s="211">
        <f>SUM(O109:W109)-R109</f>
        <v>72723</v>
      </c>
    </row>
    <row r="110" spans="1:26" ht="12.75">
      <c r="A110" s="403"/>
      <c r="B110" s="404" t="s">
        <v>384</v>
      </c>
      <c r="C110" s="405">
        <f>C109</f>
        <v>4740</v>
      </c>
      <c r="D110" s="405">
        <f aca="true" t="shared" si="42" ref="D110:W113">D109</f>
        <v>0</v>
      </c>
      <c r="E110" s="405">
        <f t="shared" si="42"/>
        <v>0</v>
      </c>
      <c r="F110" s="405">
        <f t="shared" si="42"/>
        <v>0</v>
      </c>
      <c r="G110" s="405">
        <f t="shared" si="42"/>
        <v>0</v>
      </c>
      <c r="H110" s="405">
        <f t="shared" si="42"/>
        <v>0</v>
      </c>
      <c r="I110" s="405">
        <f t="shared" si="42"/>
        <v>0</v>
      </c>
      <c r="J110" s="405">
        <f t="shared" si="42"/>
        <v>0</v>
      </c>
      <c r="K110" s="405">
        <f t="shared" si="42"/>
        <v>0</v>
      </c>
      <c r="L110" s="405">
        <f>L109+346</f>
        <v>346</v>
      </c>
      <c r="M110" s="405">
        <f t="shared" si="42"/>
        <v>0</v>
      </c>
      <c r="N110" s="405">
        <f t="shared" si="28"/>
        <v>5086</v>
      </c>
      <c r="O110" s="405">
        <f>O109+13+272</f>
        <v>52459</v>
      </c>
      <c r="P110" s="406">
        <f>P109+4</f>
        <v>13802</v>
      </c>
      <c r="Q110" s="406">
        <f>Q109+300+74</f>
        <v>7125</v>
      </c>
      <c r="R110" s="405">
        <f t="shared" si="42"/>
        <v>0</v>
      </c>
      <c r="S110" s="405">
        <f t="shared" si="42"/>
        <v>0</v>
      </c>
      <c r="T110" s="405"/>
      <c r="U110" s="405">
        <f t="shared" si="42"/>
        <v>0</v>
      </c>
      <c r="V110" s="405">
        <f t="shared" si="42"/>
        <v>0</v>
      </c>
      <c r="W110" s="405">
        <f t="shared" si="42"/>
        <v>0</v>
      </c>
      <c r="X110" s="405">
        <f t="shared" si="1"/>
        <v>73386</v>
      </c>
      <c r="Z110" s="211"/>
    </row>
    <row r="111" spans="1:26" ht="12.75">
      <c r="A111" s="403"/>
      <c r="B111" s="404" t="s">
        <v>385</v>
      </c>
      <c r="C111" s="405">
        <f>C110</f>
        <v>4740</v>
      </c>
      <c r="D111" s="405">
        <f t="shared" si="42"/>
        <v>0</v>
      </c>
      <c r="E111" s="405">
        <f t="shared" si="42"/>
        <v>0</v>
      </c>
      <c r="F111" s="405">
        <f t="shared" si="42"/>
        <v>0</v>
      </c>
      <c r="G111" s="405">
        <f>500</f>
        <v>500</v>
      </c>
      <c r="H111" s="405">
        <f t="shared" si="42"/>
        <v>0</v>
      </c>
      <c r="I111" s="405">
        <f t="shared" si="42"/>
        <v>0</v>
      </c>
      <c r="J111" s="405">
        <f t="shared" si="42"/>
        <v>0</v>
      </c>
      <c r="K111" s="405">
        <f t="shared" si="42"/>
        <v>0</v>
      </c>
      <c r="L111" s="405">
        <f t="shared" si="42"/>
        <v>346</v>
      </c>
      <c r="M111" s="405">
        <f t="shared" si="42"/>
        <v>0</v>
      </c>
      <c r="N111" s="405">
        <f t="shared" si="28"/>
        <v>5586</v>
      </c>
      <c r="O111" s="405">
        <f>O110+58+586-1205+12</f>
        <v>51910</v>
      </c>
      <c r="P111" s="406">
        <f>P110+16+141</f>
        <v>13959</v>
      </c>
      <c r="Q111" s="406">
        <f>Q110+500+150+1205</f>
        <v>8980</v>
      </c>
      <c r="R111" s="405">
        <f t="shared" si="42"/>
        <v>0</v>
      </c>
      <c r="S111" s="405">
        <f t="shared" si="42"/>
        <v>0</v>
      </c>
      <c r="T111" s="405"/>
      <c r="U111" s="405">
        <f t="shared" si="42"/>
        <v>0</v>
      </c>
      <c r="V111" s="405">
        <f t="shared" si="42"/>
        <v>0</v>
      </c>
      <c r="W111" s="405">
        <f t="shared" si="42"/>
        <v>0</v>
      </c>
      <c r="X111" s="405">
        <f t="shared" si="1"/>
        <v>74849</v>
      </c>
      <c r="Z111" s="211"/>
    </row>
    <row r="112" spans="1:26" s="407" customFormat="1" ht="12.75">
      <c r="A112" s="403"/>
      <c r="B112" s="404" t="s">
        <v>386</v>
      </c>
      <c r="C112" s="405">
        <f>C111+250</f>
        <v>4990</v>
      </c>
      <c r="D112" s="405">
        <f t="shared" si="42"/>
        <v>0</v>
      </c>
      <c r="E112" s="405">
        <f t="shared" si="42"/>
        <v>0</v>
      </c>
      <c r="F112" s="405">
        <f t="shared" si="42"/>
        <v>0</v>
      </c>
      <c r="G112" s="405">
        <f>500</f>
        <v>500</v>
      </c>
      <c r="H112" s="405">
        <f t="shared" si="42"/>
        <v>0</v>
      </c>
      <c r="I112" s="405">
        <f t="shared" si="42"/>
        <v>0</v>
      </c>
      <c r="J112" s="405">
        <f t="shared" si="42"/>
        <v>0</v>
      </c>
      <c r="K112" s="405">
        <f t="shared" si="42"/>
        <v>0</v>
      </c>
      <c r="L112" s="405">
        <f t="shared" si="42"/>
        <v>346</v>
      </c>
      <c r="M112" s="405">
        <f t="shared" si="42"/>
        <v>0</v>
      </c>
      <c r="N112" s="405">
        <f t="shared" si="28"/>
        <v>5836</v>
      </c>
      <c r="O112" s="405">
        <f>O111+20</f>
        <v>51930</v>
      </c>
      <c r="P112" s="406">
        <f>P111+6</f>
        <v>13965</v>
      </c>
      <c r="Q112" s="406">
        <f>Q111+250</f>
        <v>9230</v>
      </c>
      <c r="R112" s="405">
        <f t="shared" si="42"/>
        <v>0</v>
      </c>
      <c r="S112" s="405">
        <f t="shared" si="42"/>
        <v>0</v>
      </c>
      <c r="T112" s="405"/>
      <c r="U112" s="405">
        <f t="shared" si="42"/>
        <v>0</v>
      </c>
      <c r="V112" s="405">
        <f t="shared" si="42"/>
        <v>0</v>
      </c>
      <c r="W112" s="405">
        <f t="shared" si="42"/>
        <v>0</v>
      </c>
      <c r="X112" s="405">
        <f>SUM(O112:W112)-R112</f>
        <v>75125</v>
      </c>
      <c r="Z112" s="408"/>
    </row>
    <row r="113" spans="1:26" s="407" customFormat="1" ht="12.75">
      <c r="A113" s="403"/>
      <c r="B113" s="404" t="s">
        <v>387</v>
      </c>
      <c r="C113" s="405">
        <f>C112</f>
        <v>4990</v>
      </c>
      <c r="D113" s="405">
        <f>D112</f>
        <v>0</v>
      </c>
      <c r="E113" s="405">
        <f>E112</f>
        <v>0</v>
      </c>
      <c r="F113" s="405">
        <f>F112</f>
        <v>0</v>
      </c>
      <c r="G113" s="405">
        <f>500</f>
        <v>500</v>
      </c>
      <c r="H113" s="405">
        <f t="shared" si="42"/>
        <v>0</v>
      </c>
      <c r="I113" s="405">
        <f t="shared" si="42"/>
        <v>0</v>
      </c>
      <c r="J113" s="405">
        <f t="shared" si="42"/>
        <v>0</v>
      </c>
      <c r="K113" s="405">
        <f t="shared" si="42"/>
        <v>0</v>
      </c>
      <c r="L113" s="405">
        <f t="shared" si="42"/>
        <v>346</v>
      </c>
      <c r="M113" s="405">
        <f t="shared" si="42"/>
        <v>0</v>
      </c>
      <c r="N113" s="405">
        <f>SUM(C113:M113)-D113</f>
        <v>5836</v>
      </c>
      <c r="O113" s="405">
        <f>O112-1-669</f>
        <v>51260</v>
      </c>
      <c r="P113" s="406">
        <f>P112+2</f>
        <v>13967</v>
      </c>
      <c r="Q113" s="406">
        <f>Q112+669-338+120</f>
        <v>9681</v>
      </c>
      <c r="R113" s="405">
        <f t="shared" si="42"/>
        <v>0</v>
      </c>
      <c r="S113" s="405">
        <f t="shared" si="42"/>
        <v>0</v>
      </c>
      <c r="T113" s="405"/>
      <c r="U113" s="405">
        <f t="shared" si="42"/>
        <v>0</v>
      </c>
      <c r="V113" s="405">
        <v>338</v>
      </c>
      <c r="W113" s="405">
        <f t="shared" si="42"/>
        <v>0</v>
      </c>
      <c r="X113" s="405">
        <f>SUM(O113:W113)-R113</f>
        <v>75246</v>
      </c>
      <c r="Z113" s="408"/>
    </row>
    <row r="114" spans="1:26" s="407" customFormat="1" ht="12.75">
      <c r="A114" s="403"/>
      <c r="B114" s="404" t="s">
        <v>388</v>
      </c>
      <c r="C114" s="405">
        <v>6127</v>
      </c>
      <c r="D114" s="405"/>
      <c r="E114" s="405">
        <v>23</v>
      </c>
      <c r="F114" s="405"/>
      <c r="G114" s="405"/>
      <c r="H114" s="405"/>
      <c r="I114" s="405"/>
      <c r="J114" s="405"/>
      <c r="K114" s="405"/>
      <c r="L114" s="405">
        <v>346</v>
      </c>
      <c r="M114" s="405"/>
      <c r="N114" s="405">
        <f>SUM(C114:M114)-D114</f>
        <v>6496</v>
      </c>
      <c r="O114" s="405">
        <v>49462</v>
      </c>
      <c r="P114" s="406">
        <v>13221</v>
      </c>
      <c r="Q114" s="406">
        <v>9160</v>
      </c>
      <c r="R114" s="405"/>
      <c r="S114" s="405"/>
      <c r="T114" s="405"/>
      <c r="U114" s="405"/>
      <c r="V114" s="405">
        <v>338</v>
      </c>
      <c r="W114" s="405"/>
      <c r="X114" s="405">
        <f>SUM(O114:W114)-R114</f>
        <v>72181</v>
      </c>
      <c r="Z114" s="408"/>
    </row>
    <row r="115" spans="1:26" ht="12.75">
      <c r="A115" s="403">
        <f>'[2]Eredeti Ft'!A61</f>
        <v>0</v>
      </c>
      <c r="B115" s="404">
        <f>'[2]Eredeti Ft'!B61</f>
        <v>0</v>
      </c>
      <c r="C115" s="405">
        <f>ROUND('[2]Eredeti Ft'!C61,-3)/1000</f>
        <v>1230</v>
      </c>
      <c r="D115" s="405">
        <f>ROUND('[2]Eredeti Ft'!D61,-3)/1000</f>
        <v>0</v>
      </c>
      <c r="E115" s="405">
        <f>ROUND('[2]Eredeti Ft'!E61,-3)/1000</f>
        <v>308</v>
      </c>
      <c r="F115" s="405">
        <f>ROUND('[2]Eredeti Ft'!F61,-3)/1000</f>
        <v>22000</v>
      </c>
      <c r="G115" s="405">
        <f>ROUND('[2]Eredeti Ft'!G61,-3)/1000</f>
        <v>5876</v>
      </c>
      <c r="H115" s="405">
        <f>ROUND('[2]Eredeti Ft'!H61,-3)/1000</f>
        <v>0</v>
      </c>
      <c r="I115" s="405">
        <f>ROUND('[2]Eredeti Ft'!I61,-3)/1000</f>
        <v>9000</v>
      </c>
      <c r="J115" s="405">
        <f>ROUND('[2]Eredeti Ft'!J61,-3)/1000</f>
        <v>0</v>
      </c>
      <c r="K115" s="405">
        <f>ROUND('[2]Eredeti Ft'!K61,-3)/1000</f>
        <v>0</v>
      </c>
      <c r="L115" s="405">
        <f>ROUND('[2]Eredeti Ft'!L61,-3)/1000</f>
        <v>0</v>
      </c>
      <c r="M115" s="405">
        <f>ROUND('[2]Eredeti Ft'!M61,-3)/1000</f>
        <v>0</v>
      </c>
      <c r="N115" s="405">
        <f t="shared" si="28"/>
        <v>38414</v>
      </c>
      <c r="O115" s="405">
        <f>ROUND('[2]Eredeti Ft'!O61,-3)/1000</f>
        <v>24661</v>
      </c>
      <c r="P115" s="406">
        <f>ROUND('[2]Eredeti Ft'!P61,-3)/1000</f>
        <v>6581</v>
      </c>
      <c r="Q115" s="406">
        <f>ROUND('[2]Eredeti Ft'!Q61,-3)/1000</f>
        <v>45046</v>
      </c>
      <c r="R115" s="405">
        <f>ROUND('[2]Eredeti Ft'!R61,-3)/1000</f>
        <v>0</v>
      </c>
      <c r="S115" s="405">
        <f>ROUND('[2]Eredeti Ft'!S61,-3)/1000</f>
        <v>0</v>
      </c>
      <c r="T115" s="405"/>
      <c r="U115" s="405">
        <f>ROUND('[2]Eredeti Ft'!T61,-3)/1000</f>
        <v>2313</v>
      </c>
      <c r="V115" s="405">
        <f>ROUND('[2]Eredeti Ft'!U61,-3)/1000</f>
        <v>0</v>
      </c>
      <c r="W115" s="405">
        <f>ROUND('[2]Eredeti Ft'!V61,-3)/1000</f>
        <v>0</v>
      </c>
      <c r="X115" s="405">
        <f t="shared" si="1"/>
        <v>78601</v>
      </c>
      <c r="Z115" s="211">
        <f>SUM(O115:W115)-R115</f>
        <v>78601</v>
      </c>
    </row>
    <row r="116" spans="1:26" ht="12.75">
      <c r="A116" s="403"/>
      <c r="B116" s="404" t="s">
        <v>384</v>
      </c>
      <c r="C116" s="405">
        <f aca="true" t="shared" si="43" ref="C116:E119">C115</f>
        <v>1230</v>
      </c>
      <c r="D116" s="405">
        <f t="shared" si="43"/>
        <v>0</v>
      </c>
      <c r="E116" s="405">
        <f t="shared" si="43"/>
        <v>308</v>
      </c>
      <c r="F116" s="405">
        <v>0</v>
      </c>
      <c r="G116" s="405">
        <f>G115</f>
        <v>5876</v>
      </c>
      <c r="H116" s="405">
        <f>H115</f>
        <v>0</v>
      </c>
      <c r="I116" s="405">
        <f>I115</f>
        <v>9000</v>
      </c>
      <c r="J116" s="405">
        <f>J115</f>
        <v>0</v>
      </c>
      <c r="K116" s="405">
        <f>K115</f>
        <v>0</v>
      </c>
      <c r="L116" s="405">
        <f>L115+6119+12633+1216</f>
        <v>19968</v>
      </c>
      <c r="M116" s="405">
        <f>ROUND('[2]Eredeti Ft'!M62,-3)/1000</f>
        <v>0</v>
      </c>
      <c r="N116" s="405">
        <f t="shared" si="28"/>
        <v>36382</v>
      </c>
      <c r="O116" s="405">
        <f>O115+76+2+1170</f>
        <v>25909</v>
      </c>
      <c r="P116" s="406">
        <f>P115+20+316</f>
        <v>6917</v>
      </c>
      <c r="Q116" s="406">
        <f>Q115+11772+1216</f>
        <v>58034</v>
      </c>
      <c r="R116" s="405">
        <f aca="true" t="shared" si="44" ref="R116:S119">R115</f>
        <v>0</v>
      </c>
      <c r="S116" s="405">
        <f t="shared" si="44"/>
        <v>0</v>
      </c>
      <c r="T116" s="405"/>
      <c r="U116" s="405">
        <v>2313</v>
      </c>
      <c r="V116" s="405">
        <v>3179</v>
      </c>
      <c r="W116" s="405">
        <f>W115</f>
        <v>0</v>
      </c>
      <c r="X116" s="405">
        <f t="shared" si="1"/>
        <v>96352</v>
      </c>
      <c r="Z116" s="211"/>
    </row>
    <row r="117" spans="1:26" ht="12.75">
      <c r="A117" s="403"/>
      <c r="B117" s="404" t="s">
        <v>385</v>
      </c>
      <c r="C117" s="405">
        <f t="shared" si="43"/>
        <v>1230</v>
      </c>
      <c r="D117" s="405">
        <f t="shared" si="43"/>
        <v>0</v>
      </c>
      <c r="E117" s="405">
        <f t="shared" si="43"/>
        <v>308</v>
      </c>
      <c r="F117" s="405">
        <v>0</v>
      </c>
      <c r="G117" s="405">
        <v>0</v>
      </c>
      <c r="H117" s="405">
        <f>H116</f>
        <v>0</v>
      </c>
      <c r="I117" s="405">
        <f>I116+5876</f>
        <v>14876</v>
      </c>
      <c r="J117" s="405">
        <f aca="true" t="shared" si="45" ref="J117:K119">J116</f>
        <v>0</v>
      </c>
      <c r="K117" s="405">
        <f t="shared" si="45"/>
        <v>0</v>
      </c>
      <c r="L117" s="405">
        <f>L116-2313</f>
        <v>17655</v>
      </c>
      <c r="M117" s="405">
        <f>M115</f>
        <v>0</v>
      </c>
      <c r="N117" s="405">
        <f t="shared" si="28"/>
        <v>34069</v>
      </c>
      <c r="O117" s="405">
        <f>O116+132+27</f>
        <v>26068</v>
      </c>
      <c r="P117" s="406">
        <f>P116+36</f>
        <v>6953</v>
      </c>
      <c r="Q117" s="406">
        <f>Q116+90+1117</f>
        <v>59241</v>
      </c>
      <c r="R117" s="405">
        <f t="shared" si="44"/>
        <v>0</v>
      </c>
      <c r="S117" s="405">
        <f t="shared" si="44"/>
        <v>0</v>
      </c>
      <c r="T117" s="405"/>
      <c r="U117" s="405">
        <v>2313</v>
      </c>
      <c r="V117" s="405">
        <v>3179</v>
      </c>
      <c r="W117" s="405">
        <f>W116</f>
        <v>0</v>
      </c>
      <c r="X117" s="405">
        <f t="shared" si="1"/>
        <v>97754</v>
      </c>
      <c r="Z117" s="211"/>
    </row>
    <row r="118" spans="1:26" s="407" customFormat="1" ht="12.75">
      <c r="A118" s="403"/>
      <c r="B118" s="404" t="s">
        <v>386</v>
      </c>
      <c r="C118" s="405">
        <f t="shared" si="43"/>
        <v>1230</v>
      </c>
      <c r="D118" s="405">
        <f t="shared" si="43"/>
        <v>0</v>
      </c>
      <c r="E118" s="405">
        <f t="shared" si="43"/>
        <v>308</v>
      </c>
      <c r="F118" s="405">
        <v>0</v>
      </c>
      <c r="G118" s="405">
        <v>0</v>
      </c>
      <c r="H118" s="405">
        <f>H117</f>
        <v>0</v>
      </c>
      <c r="I118" s="405">
        <f>I117</f>
        <v>14876</v>
      </c>
      <c r="J118" s="405">
        <f t="shared" si="45"/>
        <v>0</v>
      </c>
      <c r="K118" s="405">
        <f t="shared" si="45"/>
        <v>0</v>
      </c>
      <c r="L118" s="405">
        <f>L117</f>
        <v>17655</v>
      </c>
      <c r="M118" s="405">
        <f>M116</f>
        <v>0</v>
      </c>
      <c r="N118" s="405">
        <f t="shared" si="28"/>
        <v>34069</v>
      </c>
      <c r="O118" s="405">
        <f>O117-2528+52</f>
        <v>23592</v>
      </c>
      <c r="P118" s="406">
        <f>P117+14</f>
        <v>6967</v>
      </c>
      <c r="Q118" s="406">
        <f>Q117</f>
        <v>59241</v>
      </c>
      <c r="R118" s="405">
        <f t="shared" si="44"/>
        <v>0</v>
      </c>
      <c r="S118" s="405">
        <f t="shared" si="44"/>
        <v>0</v>
      </c>
      <c r="T118" s="405"/>
      <c r="U118" s="405">
        <v>2313</v>
      </c>
      <c r="V118" s="405">
        <f>3179+2528-2313</f>
        <v>3394</v>
      </c>
      <c r="W118" s="405">
        <f>W117</f>
        <v>0</v>
      </c>
      <c r="X118" s="405">
        <f>SUM(O118:W118)-R118</f>
        <v>95507</v>
      </c>
      <c r="Z118" s="408"/>
    </row>
    <row r="119" spans="1:26" s="407" customFormat="1" ht="12.75">
      <c r="A119" s="403"/>
      <c r="B119" s="404" t="s">
        <v>387</v>
      </c>
      <c r="C119" s="405">
        <f t="shared" si="43"/>
        <v>1230</v>
      </c>
      <c r="D119" s="405">
        <f t="shared" si="43"/>
        <v>0</v>
      </c>
      <c r="E119" s="405">
        <f t="shared" si="43"/>
        <v>308</v>
      </c>
      <c r="F119" s="405">
        <v>0</v>
      </c>
      <c r="G119" s="405">
        <v>0</v>
      </c>
      <c r="H119" s="405">
        <f>H118</f>
        <v>0</v>
      </c>
      <c r="I119" s="405">
        <f>I118+150</f>
        <v>15026</v>
      </c>
      <c r="J119" s="405">
        <f t="shared" si="45"/>
        <v>0</v>
      </c>
      <c r="K119" s="405">
        <f t="shared" si="45"/>
        <v>0</v>
      </c>
      <c r="L119" s="405">
        <f>L118</f>
        <v>17655</v>
      </c>
      <c r="M119" s="405">
        <f>M117</f>
        <v>0</v>
      </c>
      <c r="N119" s="405">
        <f>SUM(C119:M119)-D119</f>
        <v>34219</v>
      </c>
      <c r="O119" s="405">
        <f>O118-4</f>
        <v>23588</v>
      </c>
      <c r="P119" s="406">
        <f>P118+8</f>
        <v>6975</v>
      </c>
      <c r="Q119" s="406">
        <f>Q118+150</f>
        <v>59391</v>
      </c>
      <c r="R119" s="405">
        <f t="shared" si="44"/>
        <v>0</v>
      </c>
      <c r="S119" s="405">
        <f t="shared" si="44"/>
        <v>0</v>
      </c>
      <c r="T119" s="405"/>
      <c r="U119" s="405">
        <v>2313</v>
      </c>
      <c r="V119" s="405">
        <f>3179+2528-2313</f>
        <v>3394</v>
      </c>
      <c r="W119" s="405">
        <f>W118</f>
        <v>0</v>
      </c>
      <c r="X119" s="405">
        <f>SUM(O119:W119)-R119</f>
        <v>95661</v>
      </c>
      <c r="Z119" s="408"/>
    </row>
    <row r="120" spans="1:26" s="407" customFormat="1" ht="12.75">
      <c r="A120" s="403"/>
      <c r="B120" s="404" t="s">
        <v>388</v>
      </c>
      <c r="C120" s="405">
        <v>1276</v>
      </c>
      <c r="D120" s="405"/>
      <c r="E120" s="405">
        <v>284</v>
      </c>
      <c r="F120" s="405"/>
      <c r="G120" s="405"/>
      <c r="H120" s="405"/>
      <c r="I120" s="405">
        <f>9613+150</f>
        <v>9763</v>
      </c>
      <c r="J120" s="405"/>
      <c r="K120" s="405"/>
      <c r="L120" s="405">
        <f>L119</f>
        <v>17655</v>
      </c>
      <c r="M120" s="405"/>
      <c r="N120" s="405">
        <f>SUM(C120:M120)-D120</f>
        <v>28978</v>
      </c>
      <c r="O120" s="405">
        <v>23391</v>
      </c>
      <c r="P120" s="406">
        <v>5563</v>
      </c>
      <c r="Q120" s="406">
        <v>29317</v>
      </c>
      <c r="R120" s="405"/>
      <c r="S120" s="405"/>
      <c r="T120" s="405"/>
      <c r="U120" s="405">
        <v>2313</v>
      </c>
      <c r="V120" s="405">
        <v>2151</v>
      </c>
      <c r="W120" s="405"/>
      <c r="X120" s="405">
        <f>SUM(O120:W120)-R120</f>
        <v>62735</v>
      </c>
      <c r="Z120" s="408"/>
    </row>
    <row r="121" spans="1:26" ht="12.75" customHeight="1">
      <c r="A121" s="403">
        <f>'[2]Eredeti Ft'!A64</f>
        <v>0</v>
      </c>
      <c r="B121" s="404">
        <f>'[2]Eredeti Ft'!B64</f>
        <v>0</v>
      </c>
      <c r="C121" s="405">
        <f>ROUND('[2]Eredeti Ft'!C64,-3)/1000</f>
        <v>480</v>
      </c>
      <c r="D121" s="405">
        <f>ROUND('[2]Eredeti Ft'!D64,-3)/1000</f>
        <v>0</v>
      </c>
      <c r="E121" s="405">
        <f>ROUND('[2]Eredeti Ft'!E64,-3)/1000</f>
        <v>120</v>
      </c>
      <c r="F121" s="405">
        <f>ROUND('[2]Eredeti Ft'!F64,-3)/1000</f>
        <v>0</v>
      </c>
      <c r="G121" s="405">
        <f>ROUND('[2]Eredeti Ft'!G64,-3)/1000</f>
        <v>0</v>
      </c>
      <c r="H121" s="405">
        <f>ROUND('[2]Eredeti Ft'!H64,-3)/1000</f>
        <v>0</v>
      </c>
      <c r="I121" s="405">
        <f>ROUND('[2]Eredeti Ft'!I64,-3)/1000</f>
        <v>0</v>
      </c>
      <c r="J121" s="405">
        <f>ROUND('[2]Eredeti Ft'!J64,-3)/1000</f>
        <v>0</v>
      </c>
      <c r="K121" s="405">
        <f>ROUND('[2]Eredeti Ft'!K64,-3)/1000</f>
        <v>0</v>
      </c>
      <c r="L121" s="405">
        <f>ROUND('[2]Eredeti Ft'!L64,-3)/1000</f>
        <v>0</v>
      </c>
      <c r="M121" s="405">
        <f>ROUND('[2]Eredeti Ft'!M64,-3)/1000</f>
        <v>0</v>
      </c>
      <c r="N121" s="405">
        <f t="shared" si="28"/>
        <v>600</v>
      </c>
      <c r="O121" s="405">
        <f>ROUND('[2]Eredeti Ft'!O64,-3)/1000</f>
        <v>2110</v>
      </c>
      <c r="P121" s="406">
        <f>ROUND('[2]Eredeti Ft'!P64,-3)/1000</f>
        <v>570</v>
      </c>
      <c r="Q121" s="406">
        <f>ROUND('[2]Eredeti Ft'!Q64,-3)/1000</f>
        <v>462</v>
      </c>
      <c r="R121" s="405">
        <f>ROUND('[2]Eredeti Ft'!R64,-3)/1000</f>
        <v>0</v>
      </c>
      <c r="S121" s="405">
        <f>ROUND('[2]Eredeti Ft'!S64,-3)/1000</f>
        <v>0</v>
      </c>
      <c r="T121" s="405"/>
      <c r="U121" s="405">
        <f>ROUND('[2]Eredeti Ft'!T64,-3)/1000</f>
        <v>0</v>
      </c>
      <c r="V121" s="405">
        <f>ROUND('[2]Eredeti Ft'!U64,-3)/1000</f>
        <v>0</v>
      </c>
      <c r="W121" s="405">
        <f>ROUND('[2]Eredeti Ft'!V64,-3)/1000</f>
        <v>0</v>
      </c>
      <c r="X121" s="405">
        <f t="shared" si="1"/>
        <v>3142</v>
      </c>
      <c r="Z121" s="211">
        <f>SUM(O121:W121)-R121</f>
        <v>3142</v>
      </c>
    </row>
    <row r="122" spans="1:26" ht="12.75">
      <c r="A122" s="403"/>
      <c r="B122" s="404" t="s">
        <v>384</v>
      </c>
      <c r="C122" s="405">
        <f>C121</f>
        <v>480</v>
      </c>
      <c r="D122" s="405">
        <f aca="true" t="shared" si="46" ref="D122:W125">D121</f>
        <v>0</v>
      </c>
      <c r="E122" s="405">
        <f t="shared" si="46"/>
        <v>120</v>
      </c>
      <c r="F122" s="405">
        <f t="shared" si="46"/>
        <v>0</v>
      </c>
      <c r="G122" s="405">
        <f t="shared" si="46"/>
        <v>0</v>
      </c>
      <c r="H122" s="405">
        <f t="shared" si="46"/>
        <v>0</v>
      </c>
      <c r="I122" s="405">
        <f t="shared" si="46"/>
        <v>0</v>
      </c>
      <c r="J122" s="405">
        <f t="shared" si="46"/>
        <v>0</v>
      </c>
      <c r="K122" s="405">
        <f t="shared" si="46"/>
        <v>0</v>
      </c>
      <c r="L122" s="405">
        <f t="shared" si="46"/>
        <v>0</v>
      </c>
      <c r="M122" s="405">
        <f t="shared" si="46"/>
        <v>0</v>
      </c>
      <c r="N122" s="405">
        <f t="shared" si="28"/>
        <v>600</v>
      </c>
      <c r="O122" s="405">
        <f t="shared" si="46"/>
        <v>2110</v>
      </c>
      <c r="P122" s="406">
        <f t="shared" si="46"/>
        <v>570</v>
      </c>
      <c r="Q122" s="406">
        <f t="shared" si="46"/>
        <v>462</v>
      </c>
      <c r="R122" s="405">
        <f t="shared" si="46"/>
        <v>0</v>
      </c>
      <c r="S122" s="405">
        <f t="shared" si="46"/>
        <v>0</v>
      </c>
      <c r="T122" s="405"/>
      <c r="U122" s="405">
        <f t="shared" si="46"/>
        <v>0</v>
      </c>
      <c r="V122" s="405">
        <f t="shared" si="46"/>
        <v>0</v>
      </c>
      <c r="W122" s="405">
        <f t="shared" si="46"/>
        <v>0</v>
      </c>
      <c r="X122" s="405">
        <f t="shared" si="1"/>
        <v>3142</v>
      </c>
      <c r="Z122" s="211"/>
    </row>
    <row r="123" spans="1:26" ht="12.75">
      <c r="A123" s="403"/>
      <c r="B123" s="404" t="s">
        <v>385</v>
      </c>
      <c r="C123" s="405">
        <f>C122</f>
        <v>480</v>
      </c>
      <c r="D123" s="405">
        <f t="shared" si="46"/>
        <v>0</v>
      </c>
      <c r="E123" s="405">
        <f t="shared" si="46"/>
        <v>120</v>
      </c>
      <c r="F123" s="405">
        <f t="shared" si="46"/>
        <v>0</v>
      </c>
      <c r="G123" s="405">
        <f t="shared" si="46"/>
        <v>0</v>
      </c>
      <c r="H123" s="405">
        <f t="shared" si="46"/>
        <v>0</v>
      </c>
      <c r="I123" s="405">
        <f t="shared" si="46"/>
        <v>0</v>
      </c>
      <c r="J123" s="405">
        <f t="shared" si="46"/>
        <v>0</v>
      </c>
      <c r="K123" s="405">
        <f t="shared" si="46"/>
        <v>0</v>
      </c>
      <c r="L123" s="405">
        <f t="shared" si="46"/>
        <v>0</v>
      </c>
      <c r="M123" s="405">
        <f t="shared" si="46"/>
        <v>0</v>
      </c>
      <c r="N123" s="405">
        <f t="shared" si="28"/>
        <v>600</v>
      </c>
      <c r="O123" s="405">
        <f t="shared" si="46"/>
        <v>2110</v>
      </c>
      <c r="P123" s="406">
        <f t="shared" si="46"/>
        <v>570</v>
      </c>
      <c r="Q123" s="406">
        <f t="shared" si="46"/>
        <v>462</v>
      </c>
      <c r="R123" s="405">
        <f t="shared" si="46"/>
        <v>0</v>
      </c>
      <c r="S123" s="405">
        <f t="shared" si="46"/>
        <v>0</v>
      </c>
      <c r="T123" s="405"/>
      <c r="U123" s="405">
        <f t="shared" si="46"/>
        <v>0</v>
      </c>
      <c r="V123" s="405">
        <f t="shared" si="46"/>
        <v>0</v>
      </c>
      <c r="W123" s="405">
        <f t="shared" si="46"/>
        <v>0</v>
      </c>
      <c r="X123" s="405">
        <f t="shared" si="1"/>
        <v>3142</v>
      </c>
      <c r="Z123" s="211"/>
    </row>
    <row r="124" spans="1:26" s="407" customFormat="1" ht="13.5" customHeight="1">
      <c r="A124" s="403"/>
      <c r="B124" s="404" t="s">
        <v>386</v>
      </c>
      <c r="C124" s="405">
        <f>C123</f>
        <v>480</v>
      </c>
      <c r="D124" s="405">
        <f t="shared" si="46"/>
        <v>0</v>
      </c>
      <c r="E124" s="405">
        <f t="shared" si="46"/>
        <v>120</v>
      </c>
      <c r="F124" s="405">
        <f t="shared" si="46"/>
        <v>0</v>
      </c>
      <c r="G124" s="405">
        <f t="shared" si="46"/>
        <v>0</v>
      </c>
      <c r="H124" s="405">
        <f t="shared" si="46"/>
        <v>0</v>
      </c>
      <c r="I124" s="405">
        <f t="shared" si="46"/>
        <v>0</v>
      </c>
      <c r="J124" s="405">
        <f t="shared" si="46"/>
        <v>0</v>
      </c>
      <c r="K124" s="405">
        <f t="shared" si="46"/>
        <v>0</v>
      </c>
      <c r="L124" s="405">
        <f t="shared" si="46"/>
        <v>0</v>
      </c>
      <c r="M124" s="405">
        <f t="shared" si="46"/>
        <v>0</v>
      </c>
      <c r="N124" s="405">
        <f t="shared" si="28"/>
        <v>600</v>
      </c>
      <c r="O124" s="405">
        <f t="shared" si="46"/>
        <v>2110</v>
      </c>
      <c r="P124" s="406">
        <f t="shared" si="46"/>
        <v>570</v>
      </c>
      <c r="Q124" s="406">
        <f t="shared" si="46"/>
        <v>462</v>
      </c>
      <c r="R124" s="405">
        <f t="shared" si="46"/>
        <v>0</v>
      </c>
      <c r="S124" s="405">
        <f t="shared" si="46"/>
        <v>0</v>
      </c>
      <c r="T124" s="405"/>
      <c r="U124" s="405">
        <f t="shared" si="46"/>
        <v>0</v>
      </c>
      <c r="V124" s="405">
        <f t="shared" si="46"/>
        <v>0</v>
      </c>
      <c r="W124" s="405">
        <f t="shared" si="46"/>
        <v>0</v>
      </c>
      <c r="X124" s="405">
        <f>SUM(O124:W124)-R124</f>
        <v>3142</v>
      </c>
      <c r="Z124" s="408"/>
    </row>
    <row r="125" spans="1:26" s="407" customFormat="1" ht="12.75">
      <c r="A125" s="403"/>
      <c r="B125" s="404" t="s">
        <v>387</v>
      </c>
      <c r="C125" s="405">
        <f>C124</f>
        <v>480</v>
      </c>
      <c r="D125" s="405">
        <f t="shared" si="46"/>
        <v>0</v>
      </c>
      <c r="E125" s="405">
        <f t="shared" si="46"/>
        <v>120</v>
      </c>
      <c r="F125" s="405">
        <f t="shared" si="46"/>
        <v>0</v>
      </c>
      <c r="G125" s="405">
        <f t="shared" si="46"/>
        <v>0</v>
      </c>
      <c r="H125" s="405">
        <f t="shared" si="46"/>
        <v>0</v>
      </c>
      <c r="I125" s="405">
        <f t="shared" si="46"/>
        <v>0</v>
      </c>
      <c r="J125" s="405">
        <f t="shared" si="46"/>
        <v>0</v>
      </c>
      <c r="K125" s="405">
        <f t="shared" si="46"/>
        <v>0</v>
      </c>
      <c r="L125" s="405">
        <f t="shared" si="46"/>
        <v>0</v>
      </c>
      <c r="M125" s="405">
        <f t="shared" si="46"/>
        <v>0</v>
      </c>
      <c r="N125" s="405">
        <f>SUM(C125:M125)-D125</f>
        <v>600</v>
      </c>
      <c r="O125" s="405">
        <f>O124-600</f>
        <v>1510</v>
      </c>
      <c r="P125" s="406">
        <f>P124-500</f>
        <v>70</v>
      </c>
      <c r="Q125" s="406">
        <f>Q124+600+500</f>
        <v>1562</v>
      </c>
      <c r="R125" s="405">
        <f t="shared" si="46"/>
        <v>0</v>
      </c>
      <c r="S125" s="405">
        <f t="shared" si="46"/>
        <v>0</v>
      </c>
      <c r="T125" s="405"/>
      <c r="U125" s="405">
        <f t="shared" si="46"/>
        <v>0</v>
      </c>
      <c r="V125" s="405">
        <v>494</v>
      </c>
      <c r="W125" s="405">
        <f t="shared" si="46"/>
        <v>0</v>
      </c>
      <c r="X125" s="405">
        <f>SUM(O125:W125)-R125</f>
        <v>3636</v>
      </c>
      <c r="Z125" s="408"/>
    </row>
    <row r="126" spans="1:26" s="407" customFormat="1" ht="12.75">
      <c r="A126" s="403"/>
      <c r="B126" s="404" t="s">
        <v>388</v>
      </c>
      <c r="C126" s="405">
        <v>0</v>
      </c>
      <c r="D126" s="405"/>
      <c r="E126" s="405">
        <v>0</v>
      </c>
      <c r="F126" s="405"/>
      <c r="G126" s="405"/>
      <c r="H126" s="405"/>
      <c r="I126" s="405"/>
      <c r="J126" s="405"/>
      <c r="K126" s="405"/>
      <c r="L126" s="405"/>
      <c r="M126" s="405"/>
      <c r="N126" s="405">
        <v>0</v>
      </c>
      <c r="O126" s="405">
        <v>1379</v>
      </c>
      <c r="P126" s="406">
        <v>24</v>
      </c>
      <c r="Q126" s="406">
        <v>1545</v>
      </c>
      <c r="R126" s="405"/>
      <c r="S126" s="405"/>
      <c r="T126" s="405"/>
      <c r="U126" s="405"/>
      <c r="V126" s="405">
        <v>494</v>
      </c>
      <c r="W126" s="405"/>
      <c r="X126" s="405">
        <f>SUM(O126:W126)-R126</f>
        <v>3442</v>
      </c>
      <c r="Z126" s="408"/>
    </row>
    <row r="127" spans="1:26" ht="12.75">
      <c r="A127" s="403">
        <f>'[2]Eredeti Ft'!A67</f>
        <v>0</v>
      </c>
      <c r="B127" s="404">
        <f>'[2]Eredeti Ft'!B67</f>
        <v>0</v>
      </c>
      <c r="C127" s="405">
        <f>ROUND('[2]Eredeti Ft'!C67,-3)/1000</f>
        <v>0</v>
      </c>
      <c r="D127" s="405">
        <f>ROUND('[2]Eredeti Ft'!D67,-3)/1000</f>
        <v>0</v>
      </c>
      <c r="E127" s="405">
        <f>ROUND('[2]Eredeti Ft'!E67,-3)/1000</f>
        <v>0</v>
      </c>
      <c r="F127" s="405">
        <f>ROUND('[2]Eredeti Ft'!F67,-3)/1000</f>
        <v>0</v>
      </c>
      <c r="G127" s="405">
        <f>ROUND('[2]Eredeti Ft'!G67,-3)/1000</f>
        <v>0</v>
      </c>
      <c r="H127" s="405">
        <f>ROUND('[2]Eredeti Ft'!H67,-3)/1000</f>
        <v>0</v>
      </c>
      <c r="I127" s="405">
        <f>ROUND('[2]Eredeti Ft'!I67,-3)/1000</f>
        <v>0</v>
      </c>
      <c r="J127" s="405">
        <f>ROUND('[2]Eredeti Ft'!J67,-3)/1000</f>
        <v>0</v>
      </c>
      <c r="K127" s="405">
        <f>ROUND('[2]Eredeti Ft'!K67,-3)/1000</f>
        <v>0</v>
      </c>
      <c r="L127" s="405">
        <f>ROUND('[2]Eredeti Ft'!L67,-3)/1000</f>
        <v>0</v>
      </c>
      <c r="M127" s="405">
        <f>ROUND('[2]Eredeti Ft'!M67,-3)/1000</f>
        <v>0</v>
      </c>
      <c r="N127" s="405">
        <f t="shared" si="28"/>
        <v>0</v>
      </c>
      <c r="O127" s="405">
        <f>ROUND('[2]Eredeti Ft'!O67,-3)/1000</f>
        <v>9807</v>
      </c>
      <c r="P127" s="406">
        <f>ROUND('[2]Eredeti Ft'!P67,-3)/1000</f>
        <v>2562</v>
      </c>
      <c r="Q127" s="406">
        <f>ROUND('[2]Eredeti Ft'!Q67,-3)/1000</f>
        <v>4514</v>
      </c>
      <c r="R127" s="405">
        <f>ROUND('[2]Eredeti Ft'!R67,-3)/1000</f>
        <v>0</v>
      </c>
      <c r="S127" s="405">
        <f>ROUND('[2]Eredeti Ft'!S67,-3)/1000</f>
        <v>0</v>
      </c>
      <c r="T127" s="405"/>
      <c r="U127" s="405">
        <f>ROUND('[2]Eredeti Ft'!T67,-3)/1000</f>
        <v>0</v>
      </c>
      <c r="V127" s="405">
        <f>ROUND('[2]Eredeti Ft'!U67,-3)/1000</f>
        <v>0</v>
      </c>
      <c r="W127" s="405">
        <f>ROUND('[2]Eredeti Ft'!V67,-3)/1000</f>
        <v>0</v>
      </c>
      <c r="X127" s="405">
        <f t="shared" si="1"/>
        <v>16883</v>
      </c>
      <c r="Z127" s="211">
        <f>SUM(O127:W127)-R127</f>
        <v>16883</v>
      </c>
    </row>
    <row r="128" spans="1:26" ht="12.75">
      <c r="A128" s="403"/>
      <c r="B128" s="404" t="s">
        <v>384</v>
      </c>
      <c r="C128" s="405">
        <f aca="true" t="shared" si="47" ref="C128:L130">C127</f>
        <v>0</v>
      </c>
      <c r="D128" s="405">
        <f t="shared" si="47"/>
        <v>0</v>
      </c>
      <c r="E128" s="405">
        <f t="shared" si="47"/>
        <v>0</v>
      </c>
      <c r="F128" s="405">
        <f t="shared" si="47"/>
        <v>0</v>
      </c>
      <c r="G128" s="405">
        <f t="shared" si="47"/>
        <v>0</v>
      </c>
      <c r="H128" s="405">
        <f t="shared" si="47"/>
        <v>0</v>
      </c>
      <c r="I128" s="405">
        <f t="shared" si="47"/>
        <v>0</v>
      </c>
      <c r="J128" s="405">
        <f t="shared" si="47"/>
        <v>0</v>
      </c>
      <c r="K128" s="405">
        <f t="shared" si="47"/>
        <v>0</v>
      </c>
      <c r="L128" s="405">
        <f>L127+30</f>
        <v>30</v>
      </c>
      <c r="M128" s="405">
        <f>M127</f>
        <v>0</v>
      </c>
      <c r="N128" s="405">
        <f t="shared" si="28"/>
        <v>30</v>
      </c>
      <c r="O128" s="405">
        <f>O127+17+30</f>
        <v>9854</v>
      </c>
      <c r="P128" s="406">
        <f>P127+4</f>
        <v>2566</v>
      </c>
      <c r="Q128" s="406">
        <f aca="true" t="shared" si="48" ref="Q128:W130">Q127</f>
        <v>4514</v>
      </c>
      <c r="R128" s="405">
        <f t="shared" si="48"/>
        <v>0</v>
      </c>
      <c r="S128" s="405">
        <f t="shared" si="48"/>
        <v>0</v>
      </c>
      <c r="T128" s="405"/>
      <c r="U128" s="405">
        <f t="shared" si="48"/>
        <v>0</v>
      </c>
      <c r="V128" s="405">
        <f t="shared" si="48"/>
        <v>0</v>
      </c>
      <c r="W128" s="405">
        <f t="shared" si="48"/>
        <v>0</v>
      </c>
      <c r="X128" s="405">
        <f aca="true" t="shared" si="49" ref="X128:X156">SUM(O128:W128)-R128</f>
        <v>16934</v>
      </c>
      <c r="Z128" s="211"/>
    </row>
    <row r="129" spans="1:26" ht="12.75">
      <c r="A129" s="403"/>
      <c r="B129" s="404" t="s">
        <v>385</v>
      </c>
      <c r="C129" s="405">
        <f>C128+800+500-500</f>
        <v>800</v>
      </c>
      <c r="D129" s="405">
        <f>D128</f>
        <v>0</v>
      </c>
      <c r="E129" s="405">
        <f>E128+500-500</f>
        <v>0</v>
      </c>
      <c r="F129" s="405">
        <f t="shared" si="47"/>
        <v>0</v>
      </c>
      <c r="G129" s="405">
        <f t="shared" si="47"/>
        <v>0</v>
      </c>
      <c r="H129" s="405">
        <f t="shared" si="47"/>
        <v>0</v>
      </c>
      <c r="I129" s="405">
        <f t="shared" si="47"/>
        <v>0</v>
      </c>
      <c r="J129" s="405">
        <f t="shared" si="47"/>
        <v>0</v>
      </c>
      <c r="K129" s="405">
        <f t="shared" si="47"/>
        <v>0</v>
      </c>
      <c r="L129" s="405">
        <f t="shared" si="47"/>
        <v>30</v>
      </c>
      <c r="M129" s="405">
        <f>M128</f>
        <v>0</v>
      </c>
      <c r="N129" s="405">
        <f t="shared" si="28"/>
        <v>830</v>
      </c>
      <c r="O129" s="405">
        <f>O128+36-1454+7</f>
        <v>8443</v>
      </c>
      <c r="P129" s="406">
        <f>P128+10-350</f>
        <v>2226</v>
      </c>
      <c r="Q129" s="406">
        <f>Q128-500</f>
        <v>4014</v>
      </c>
      <c r="R129" s="405">
        <f t="shared" si="48"/>
        <v>0</v>
      </c>
      <c r="S129" s="405">
        <f t="shared" si="48"/>
        <v>0</v>
      </c>
      <c r="T129" s="405"/>
      <c r="U129" s="405">
        <f t="shared" si="48"/>
        <v>0</v>
      </c>
      <c r="V129" s="405">
        <f>V128+500+500+800+1454+350+500</f>
        <v>4104</v>
      </c>
      <c r="W129" s="405"/>
      <c r="X129" s="405">
        <f t="shared" si="49"/>
        <v>18787</v>
      </c>
      <c r="Z129" s="211"/>
    </row>
    <row r="130" spans="1:26" s="407" customFormat="1" ht="12.75">
      <c r="A130" s="403"/>
      <c r="B130" s="404" t="s">
        <v>386</v>
      </c>
      <c r="C130" s="405">
        <f>C129-800</f>
        <v>0</v>
      </c>
      <c r="D130" s="405">
        <f>D129</f>
        <v>0</v>
      </c>
      <c r="E130" s="405">
        <f>E129+500-500</f>
        <v>0</v>
      </c>
      <c r="F130" s="405">
        <f t="shared" si="47"/>
        <v>0</v>
      </c>
      <c r="G130" s="405">
        <f t="shared" si="47"/>
        <v>0</v>
      </c>
      <c r="H130" s="405">
        <f t="shared" si="47"/>
        <v>0</v>
      </c>
      <c r="I130" s="405">
        <f t="shared" si="47"/>
        <v>0</v>
      </c>
      <c r="J130" s="405">
        <f t="shared" si="47"/>
        <v>0</v>
      </c>
      <c r="K130" s="405">
        <v>800</v>
      </c>
      <c r="L130" s="405">
        <f t="shared" si="47"/>
        <v>30</v>
      </c>
      <c r="M130" s="405">
        <f>M129</f>
        <v>0</v>
      </c>
      <c r="N130" s="405">
        <f t="shared" si="28"/>
        <v>830</v>
      </c>
      <c r="O130" s="405">
        <f>O129+14</f>
        <v>8457</v>
      </c>
      <c r="P130" s="406">
        <f>P129+3</f>
        <v>2229</v>
      </c>
      <c r="Q130" s="406">
        <f>Q129-350</f>
        <v>3664</v>
      </c>
      <c r="R130" s="405">
        <f t="shared" si="48"/>
        <v>0</v>
      </c>
      <c r="S130" s="405">
        <f t="shared" si="48"/>
        <v>0</v>
      </c>
      <c r="T130" s="405"/>
      <c r="U130" s="405">
        <f t="shared" si="48"/>
        <v>0</v>
      </c>
      <c r="V130" s="405">
        <f>V129+350</f>
        <v>4454</v>
      </c>
      <c r="W130" s="405"/>
      <c r="X130" s="405">
        <f>SUM(O130:W130)-R130</f>
        <v>18804</v>
      </c>
      <c r="Z130" s="408"/>
    </row>
    <row r="131" spans="1:26" s="407" customFormat="1" ht="12.75">
      <c r="A131" s="403"/>
      <c r="B131" s="404" t="s">
        <v>387</v>
      </c>
      <c r="C131" s="405">
        <f>C130</f>
        <v>0</v>
      </c>
      <c r="D131" s="405">
        <f>D130</f>
        <v>0</v>
      </c>
      <c r="E131" s="405">
        <f>E130+500-500</f>
        <v>0</v>
      </c>
      <c r="F131" s="405">
        <f>F130</f>
        <v>0</v>
      </c>
      <c r="G131" s="405">
        <f>G130</f>
        <v>0</v>
      </c>
      <c r="H131" s="405">
        <f>H130</f>
        <v>0</v>
      </c>
      <c r="I131" s="405">
        <f>I130</f>
        <v>0</v>
      </c>
      <c r="J131" s="405">
        <f>J130</f>
        <v>0</v>
      </c>
      <c r="K131" s="405">
        <f>800-800</f>
        <v>0</v>
      </c>
      <c r="L131" s="405">
        <f>L130</f>
        <v>30</v>
      </c>
      <c r="M131" s="405">
        <f>M130</f>
        <v>0</v>
      </c>
      <c r="N131" s="405">
        <f aca="true" t="shared" si="50" ref="N131:N154">SUM(C131:M131)-D131</f>
        <v>30</v>
      </c>
      <c r="O131" s="405">
        <f>O130-1+151</f>
        <v>8607</v>
      </c>
      <c r="P131" s="406">
        <f>P130+2+60</f>
        <v>2291</v>
      </c>
      <c r="Q131" s="406">
        <f>Q130-75</f>
        <v>3589</v>
      </c>
      <c r="R131" s="405">
        <f>R130</f>
        <v>0</v>
      </c>
      <c r="S131" s="405">
        <f>S130</f>
        <v>0</v>
      </c>
      <c r="T131" s="405"/>
      <c r="U131" s="405">
        <f>U130</f>
        <v>0</v>
      </c>
      <c r="V131" s="405">
        <f>V130-800+75</f>
        <v>3729</v>
      </c>
      <c r="W131" s="405"/>
      <c r="X131" s="405">
        <f>SUM(O131:W131)-R131</f>
        <v>18216</v>
      </c>
      <c r="Z131" s="408"/>
    </row>
    <row r="132" spans="1:26" s="407" customFormat="1" ht="12.75">
      <c r="A132" s="403"/>
      <c r="B132" s="404" t="s">
        <v>388</v>
      </c>
      <c r="C132" s="405">
        <v>0</v>
      </c>
      <c r="D132" s="405"/>
      <c r="E132" s="405"/>
      <c r="F132" s="405"/>
      <c r="G132" s="405"/>
      <c r="H132" s="405"/>
      <c r="I132" s="405"/>
      <c r="J132" s="405"/>
      <c r="K132" s="405"/>
      <c r="L132" s="405">
        <v>30</v>
      </c>
      <c r="M132" s="405"/>
      <c r="N132" s="405">
        <f t="shared" si="50"/>
        <v>30</v>
      </c>
      <c r="O132" s="405">
        <v>8607</v>
      </c>
      <c r="P132" s="406">
        <v>2287</v>
      </c>
      <c r="Q132" s="406">
        <f>3605-16</f>
        <v>3589</v>
      </c>
      <c r="R132" s="405"/>
      <c r="S132" s="405"/>
      <c r="T132" s="405"/>
      <c r="U132" s="405"/>
      <c r="V132" s="405">
        <v>3729</v>
      </c>
      <c r="W132" s="405"/>
      <c r="X132" s="405">
        <f>SUM(O132:W132)-R132</f>
        <v>18212</v>
      </c>
      <c r="Z132" s="408"/>
    </row>
    <row r="133" spans="1:26" ht="12.75">
      <c r="A133" s="403">
        <f>'[2]Eredeti Ft'!A70</f>
        <v>0</v>
      </c>
      <c r="B133" s="404">
        <f>'[2]Eredeti Ft'!B70</f>
        <v>0</v>
      </c>
      <c r="C133" s="405">
        <f>ROUND('[2]Eredeti Ft'!C70,-3)/1000</f>
        <v>0</v>
      </c>
      <c r="D133" s="405">
        <f>ROUND('[2]Eredeti Ft'!D70,-3)/1000</f>
        <v>0</v>
      </c>
      <c r="E133" s="405">
        <f>ROUND('[2]Eredeti Ft'!E70,-3)/1000</f>
        <v>0</v>
      </c>
      <c r="F133" s="405">
        <f>ROUND('[2]Eredeti Ft'!F70,-3)/1000</f>
        <v>0</v>
      </c>
      <c r="G133" s="405">
        <f>ROUND('[2]Eredeti Ft'!G70,-3)/1000</f>
        <v>0</v>
      </c>
      <c r="H133" s="405">
        <f>ROUND('[2]Eredeti Ft'!H70,-3)/1000</f>
        <v>0</v>
      </c>
      <c r="I133" s="405">
        <f>ROUND('[2]Eredeti Ft'!I70,-3)/1000</f>
        <v>0</v>
      </c>
      <c r="J133" s="405">
        <f>ROUND('[2]Eredeti Ft'!J70,-3)/1000</f>
        <v>0</v>
      </c>
      <c r="K133" s="405">
        <f>ROUND('[2]Eredeti Ft'!K70,-3)/1000</f>
        <v>0</v>
      </c>
      <c r="L133" s="405">
        <f>ROUND('[2]Eredeti Ft'!L70,-3)/1000</f>
        <v>0</v>
      </c>
      <c r="M133" s="405">
        <f>ROUND('[2]Eredeti Ft'!M70,-3)/1000</f>
        <v>0</v>
      </c>
      <c r="N133" s="405">
        <f t="shared" si="50"/>
        <v>0</v>
      </c>
      <c r="O133" s="405">
        <f>ROUND('[2]Eredeti Ft'!O70,-3)/1000</f>
        <v>4957</v>
      </c>
      <c r="P133" s="406">
        <f>ROUND('[2]Eredeti Ft'!P70,-3)/1000</f>
        <v>1311</v>
      </c>
      <c r="Q133" s="406">
        <f>ROUND('[2]Eredeti Ft'!Q70,-3)/1000</f>
        <v>1947</v>
      </c>
      <c r="R133" s="405">
        <f>ROUND('[2]Eredeti Ft'!R70,-3)/1000</f>
        <v>0</v>
      </c>
      <c r="S133" s="405">
        <f>ROUND('[2]Eredeti Ft'!S70,-3)/1000</f>
        <v>0</v>
      </c>
      <c r="T133" s="405"/>
      <c r="U133" s="405">
        <f>ROUND('[2]Eredeti Ft'!T70,-3)/1000</f>
        <v>0</v>
      </c>
      <c r="V133" s="405">
        <f>ROUND('[2]Eredeti Ft'!U70,-3)/1000</f>
        <v>0</v>
      </c>
      <c r="W133" s="405">
        <f>ROUND('[2]Eredeti Ft'!V70,-3)/1000</f>
        <v>0</v>
      </c>
      <c r="X133" s="405">
        <f t="shared" si="49"/>
        <v>8215</v>
      </c>
      <c r="Z133" s="211">
        <f>SUM(O133:W133)-R133</f>
        <v>8215</v>
      </c>
    </row>
    <row r="134" spans="1:26" ht="12.75">
      <c r="A134" s="403"/>
      <c r="B134" s="404" t="s">
        <v>384</v>
      </c>
      <c r="C134" s="405">
        <f aca="true" t="shared" si="51" ref="C134:K137">C133</f>
        <v>0</v>
      </c>
      <c r="D134" s="405">
        <f t="shared" si="51"/>
        <v>0</v>
      </c>
      <c r="E134" s="405">
        <f t="shared" si="51"/>
        <v>0</v>
      </c>
      <c r="F134" s="405">
        <f t="shared" si="51"/>
        <v>0</v>
      </c>
      <c r="G134" s="405">
        <f t="shared" si="51"/>
        <v>0</v>
      </c>
      <c r="H134" s="405">
        <f t="shared" si="51"/>
        <v>0</v>
      </c>
      <c r="I134" s="405">
        <f>I133+332</f>
        <v>332</v>
      </c>
      <c r="J134" s="405">
        <f aca="true" t="shared" si="52" ref="J134:K136">J133</f>
        <v>0</v>
      </c>
      <c r="K134" s="405">
        <f t="shared" si="52"/>
        <v>0</v>
      </c>
      <c r="L134" s="405">
        <f>L133+96</f>
        <v>96</v>
      </c>
      <c r="M134" s="405">
        <f>M133</f>
        <v>0</v>
      </c>
      <c r="N134" s="405">
        <f t="shared" si="50"/>
        <v>428</v>
      </c>
      <c r="O134" s="405">
        <f>O133+261+14+76</f>
        <v>5308</v>
      </c>
      <c r="P134" s="406">
        <f>P133+4+20+71</f>
        <v>1406</v>
      </c>
      <c r="Q134" s="406">
        <f aca="true" t="shared" si="53" ref="Q134:W137">Q133</f>
        <v>1947</v>
      </c>
      <c r="R134" s="405">
        <f t="shared" si="53"/>
        <v>0</v>
      </c>
      <c r="S134" s="405">
        <f t="shared" si="53"/>
        <v>0</v>
      </c>
      <c r="T134" s="405"/>
      <c r="U134" s="405">
        <f t="shared" si="53"/>
        <v>0</v>
      </c>
      <c r="V134" s="405">
        <f t="shared" si="53"/>
        <v>0</v>
      </c>
      <c r="W134" s="405">
        <f t="shared" si="53"/>
        <v>0</v>
      </c>
      <c r="X134" s="405">
        <f t="shared" si="49"/>
        <v>8661</v>
      </c>
      <c r="Z134" s="211"/>
    </row>
    <row r="135" spans="1:26" ht="12.75">
      <c r="A135" s="403"/>
      <c r="B135" s="404" t="s">
        <v>385</v>
      </c>
      <c r="C135" s="405">
        <f t="shared" si="51"/>
        <v>0</v>
      </c>
      <c r="D135" s="405">
        <f t="shared" si="51"/>
        <v>0</v>
      </c>
      <c r="E135" s="405">
        <f t="shared" si="51"/>
        <v>0</v>
      </c>
      <c r="F135" s="405">
        <f t="shared" si="51"/>
        <v>0</v>
      </c>
      <c r="G135" s="405">
        <f t="shared" si="51"/>
        <v>0</v>
      </c>
      <c r="H135" s="405">
        <f t="shared" si="51"/>
        <v>0</v>
      </c>
      <c r="I135" s="405">
        <f>I134-332</f>
        <v>0</v>
      </c>
      <c r="J135" s="405">
        <f t="shared" si="52"/>
        <v>0</v>
      </c>
      <c r="K135" s="405">
        <f t="shared" si="52"/>
        <v>0</v>
      </c>
      <c r="L135" s="405">
        <f>L134</f>
        <v>96</v>
      </c>
      <c r="M135" s="405">
        <f>M134</f>
        <v>0</v>
      </c>
      <c r="N135" s="405">
        <f t="shared" si="50"/>
        <v>96</v>
      </c>
      <c r="O135" s="405">
        <f>O134+32-261+7</f>
        <v>5086</v>
      </c>
      <c r="P135" s="406">
        <f>P134+9-71</f>
        <v>1344</v>
      </c>
      <c r="Q135" s="406">
        <f t="shared" si="53"/>
        <v>1947</v>
      </c>
      <c r="R135" s="405">
        <f t="shared" si="53"/>
        <v>0</v>
      </c>
      <c r="S135" s="405">
        <f t="shared" si="53"/>
        <v>0</v>
      </c>
      <c r="T135" s="405"/>
      <c r="U135" s="405">
        <f t="shared" si="53"/>
        <v>0</v>
      </c>
      <c r="V135" s="405">
        <f t="shared" si="53"/>
        <v>0</v>
      </c>
      <c r="W135" s="405">
        <f t="shared" si="53"/>
        <v>0</v>
      </c>
      <c r="X135" s="405">
        <f t="shared" si="49"/>
        <v>8377</v>
      </c>
      <c r="Z135" s="211"/>
    </row>
    <row r="136" spans="1:26" s="407" customFormat="1" ht="12.75">
      <c r="A136" s="403"/>
      <c r="B136" s="404" t="s">
        <v>386</v>
      </c>
      <c r="C136" s="405">
        <f t="shared" si="51"/>
        <v>0</v>
      </c>
      <c r="D136" s="405">
        <f t="shared" si="51"/>
        <v>0</v>
      </c>
      <c r="E136" s="405">
        <f t="shared" si="51"/>
        <v>0</v>
      </c>
      <c r="F136" s="405">
        <f t="shared" si="51"/>
        <v>0</v>
      </c>
      <c r="G136" s="405">
        <f t="shared" si="51"/>
        <v>0</v>
      </c>
      <c r="H136" s="405">
        <f t="shared" si="51"/>
        <v>0</v>
      </c>
      <c r="I136" s="405">
        <f t="shared" si="51"/>
        <v>0</v>
      </c>
      <c r="J136" s="405">
        <f t="shared" si="52"/>
        <v>0</v>
      </c>
      <c r="K136" s="405">
        <f t="shared" si="52"/>
        <v>0</v>
      </c>
      <c r="L136" s="405">
        <f>L135</f>
        <v>96</v>
      </c>
      <c r="M136" s="405">
        <f>M135</f>
        <v>0</v>
      </c>
      <c r="N136" s="405">
        <f t="shared" si="50"/>
        <v>96</v>
      </c>
      <c r="O136" s="405">
        <f>O135+12</f>
        <v>5098</v>
      </c>
      <c r="P136" s="406">
        <f>P135+3</f>
        <v>1347</v>
      </c>
      <c r="Q136" s="406">
        <f t="shared" si="53"/>
        <v>1947</v>
      </c>
      <c r="R136" s="405">
        <f t="shared" si="53"/>
        <v>0</v>
      </c>
      <c r="S136" s="405">
        <f t="shared" si="53"/>
        <v>0</v>
      </c>
      <c r="T136" s="405"/>
      <c r="U136" s="405">
        <f t="shared" si="53"/>
        <v>0</v>
      </c>
      <c r="V136" s="405">
        <f t="shared" si="53"/>
        <v>0</v>
      </c>
      <c r="W136" s="405">
        <f t="shared" si="53"/>
        <v>0</v>
      </c>
      <c r="X136" s="405">
        <f>SUM(O136:W136)-R136</f>
        <v>8392</v>
      </c>
      <c r="Z136" s="408"/>
    </row>
    <row r="137" spans="1:26" s="407" customFormat="1" ht="12.75">
      <c r="A137" s="403"/>
      <c r="B137" s="404" t="s">
        <v>387</v>
      </c>
      <c r="C137" s="405">
        <f t="shared" si="51"/>
        <v>0</v>
      </c>
      <c r="D137" s="405">
        <f t="shared" si="51"/>
        <v>0</v>
      </c>
      <c r="E137" s="405">
        <f t="shared" si="51"/>
        <v>0</v>
      </c>
      <c r="F137" s="405">
        <f t="shared" si="51"/>
        <v>0</v>
      </c>
      <c r="G137" s="405">
        <f t="shared" si="51"/>
        <v>0</v>
      </c>
      <c r="H137" s="405">
        <f t="shared" si="51"/>
        <v>0</v>
      </c>
      <c r="I137" s="405">
        <f t="shared" si="51"/>
        <v>0</v>
      </c>
      <c r="J137" s="405">
        <f t="shared" si="51"/>
        <v>0</v>
      </c>
      <c r="K137" s="405">
        <f t="shared" si="51"/>
        <v>0</v>
      </c>
      <c r="L137" s="405">
        <f>L136</f>
        <v>96</v>
      </c>
      <c r="M137" s="405">
        <f>M136</f>
        <v>0</v>
      </c>
      <c r="N137" s="405">
        <f t="shared" si="50"/>
        <v>96</v>
      </c>
      <c r="O137" s="405">
        <f>O136-1+960</f>
        <v>6057</v>
      </c>
      <c r="P137" s="406">
        <f>P136+2+260</f>
        <v>1609</v>
      </c>
      <c r="Q137" s="406">
        <f>Q136+135</f>
        <v>2082</v>
      </c>
      <c r="R137" s="405">
        <f t="shared" si="53"/>
        <v>0</v>
      </c>
      <c r="S137" s="405">
        <f t="shared" si="53"/>
        <v>0</v>
      </c>
      <c r="T137" s="405"/>
      <c r="U137" s="405">
        <f t="shared" si="53"/>
        <v>0</v>
      </c>
      <c r="V137" s="405">
        <f t="shared" si="53"/>
        <v>0</v>
      </c>
      <c r="W137" s="405">
        <f t="shared" si="53"/>
        <v>0</v>
      </c>
      <c r="X137" s="405">
        <f>SUM(O137:W137)-R137</f>
        <v>9748</v>
      </c>
      <c r="Z137" s="408"/>
    </row>
    <row r="138" spans="1:26" s="407" customFormat="1" ht="12.75">
      <c r="A138" s="403"/>
      <c r="B138" s="404" t="s">
        <v>388</v>
      </c>
      <c r="C138" s="405"/>
      <c r="D138" s="405"/>
      <c r="E138" s="405"/>
      <c r="F138" s="405"/>
      <c r="G138" s="405"/>
      <c r="H138" s="405"/>
      <c r="I138" s="405"/>
      <c r="J138" s="405"/>
      <c r="K138" s="405"/>
      <c r="L138" s="405">
        <v>96</v>
      </c>
      <c r="M138" s="405"/>
      <c r="N138" s="405">
        <f t="shared" si="50"/>
        <v>96</v>
      </c>
      <c r="O138" s="405">
        <v>6055</v>
      </c>
      <c r="P138" s="406">
        <v>1605</v>
      </c>
      <c r="Q138" s="406">
        <f>2098-16</f>
        <v>2082</v>
      </c>
      <c r="R138" s="405"/>
      <c r="S138" s="405"/>
      <c r="T138" s="405"/>
      <c r="U138" s="405"/>
      <c r="V138" s="405"/>
      <c r="W138" s="405"/>
      <c r="X138" s="405">
        <f>SUM(O138:W138)-R138</f>
        <v>9742</v>
      </c>
      <c r="Z138" s="408"/>
    </row>
    <row r="139" spans="1:26" ht="12.75" customHeight="1">
      <c r="A139" s="403">
        <f>'[2]Eredeti Ft'!A73</f>
        <v>0</v>
      </c>
      <c r="B139" s="404">
        <f>'[2]Eredeti Ft'!B73</f>
        <v>0</v>
      </c>
      <c r="C139" s="405">
        <f>ROUND('[2]Eredeti Ft'!C73,-3)/1000+1</f>
        <v>11473</v>
      </c>
      <c r="D139" s="405">
        <f>ROUND('[2]Eredeti Ft'!D73,-3)/1000</f>
        <v>0</v>
      </c>
      <c r="E139" s="405">
        <f>ROUND('[2]Eredeti Ft'!E73,-3)/1000-1</f>
        <v>81</v>
      </c>
      <c r="F139" s="405">
        <f>ROUND('[2]Eredeti Ft'!F73,-3)/1000</f>
        <v>0</v>
      </c>
      <c r="G139" s="405">
        <f>ROUND('[2]Eredeti Ft'!G73,-3)/1000</f>
        <v>0</v>
      </c>
      <c r="H139" s="405">
        <f>ROUND('[2]Eredeti Ft'!H73,-3)/1000</f>
        <v>0</v>
      </c>
      <c r="I139" s="405">
        <f>ROUND('[2]Eredeti Ft'!I73,-3)/1000</f>
        <v>21996</v>
      </c>
      <c r="J139" s="405">
        <f>ROUND('[2]Eredeti Ft'!J73,-3)/1000</f>
        <v>0</v>
      </c>
      <c r="K139" s="405">
        <f>ROUND('[2]Eredeti Ft'!K73,-3)/1000</f>
        <v>0</v>
      </c>
      <c r="L139" s="405">
        <f>ROUND('[2]Eredeti Ft'!L73,-3)/1000</f>
        <v>0</v>
      </c>
      <c r="M139" s="405">
        <f>ROUND('[2]Eredeti Ft'!M73,-3)/1000</f>
        <v>0</v>
      </c>
      <c r="N139" s="405">
        <f t="shared" si="50"/>
        <v>33550</v>
      </c>
      <c r="O139" s="405">
        <f>ROUND('[2]Eredeti Ft'!O73,-3)/1000</f>
        <v>80758</v>
      </c>
      <c r="P139" s="406">
        <f>ROUND('[2]Eredeti Ft'!P73,-3)/1000</f>
        <v>20852</v>
      </c>
      <c r="Q139" s="406">
        <f>ROUND('[2]Eredeti Ft'!Q73,-3)/1000</f>
        <v>26124</v>
      </c>
      <c r="R139" s="405">
        <f>ROUND('[2]Eredeti Ft'!R73,-3)/1000</f>
        <v>9896</v>
      </c>
      <c r="S139" s="405">
        <f>ROUND('[2]Eredeti Ft'!S73,-3)/1000</f>
        <v>0</v>
      </c>
      <c r="T139" s="405"/>
      <c r="U139" s="405">
        <f>ROUND('[2]Eredeti Ft'!T73,-3)/1000</f>
        <v>0</v>
      </c>
      <c r="V139" s="405">
        <f>ROUND('[2]Eredeti Ft'!U73,-3)/1000</f>
        <v>0</v>
      </c>
      <c r="W139" s="405">
        <f>ROUND('[2]Eredeti Ft'!V73,-3)/1000</f>
        <v>0</v>
      </c>
      <c r="X139" s="405">
        <f t="shared" si="49"/>
        <v>127734</v>
      </c>
      <c r="Z139" s="211">
        <f>SUM(O139:W139)-R139</f>
        <v>127734</v>
      </c>
    </row>
    <row r="140" spans="1:26" ht="12.75">
      <c r="A140" s="403"/>
      <c r="B140" s="404" t="s">
        <v>384</v>
      </c>
      <c r="C140" s="405">
        <f aca="true" t="shared" si="54" ref="C140:F141">C139</f>
        <v>11473</v>
      </c>
      <c r="D140" s="405">
        <f t="shared" si="54"/>
        <v>0</v>
      </c>
      <c r="E140" s="405">
        <f t="shared" si="54"/>
        <v>81</v>
      </c>
      <c r="F140" s="405">
        <f t="shared" si="54"/>
        <v>0</v>
      </c>
      <c r="G140" s="405">
        <f>G139+153+680+693</f>
        <v>1526</v>
      </c>
      <c r="H140" s="405">
        <f>H139</f>
        <v>0</v>
      </c>
      <c r="I140" s="405">
        <f>I139</f>
        <v>21996</v>
      </c>
      <c r="J140" s="405">
        <f>J139</f>
        <v>0</v>
      </c>
      <c r="K140" s="405">
        <f>K139</f>
        <v>0</v>
      </c>
      <c r="L140" s="405">
        <f>L139+1081</f>
        <v>1081</v>
      </c>
      <c r="M140" s="405">
        <f>M139</f>
        <v>0</v>
      </c>
      <c r="N140" s="405">
        <f t="shared" si="50"/>
        <v>36157</v>
      </c>
      <c r="O140" s="405">
        <f>O139+420+271+452</f>
        <v>81901</v>
      </c>
      <c r="P140" s="406">
        <f>P139+113+73</f>
        <v>21038</v>
      </c>
      <c r="Q140" s="406">
        <f>Q139+153+680+160+200+300+100+629</f>
        <v>28346</v>
      </c>
      <c r="R140" s="405">
        <f aca="true" t="shared" si="55" ref="R140:W143">R139</f>
        <v>9896</v>
      </c>
      <c r="S140" s="405">
        <f t="shared" si="55"/>
        <v>0</v>
      </c>
      <c r="T140" s="405"/>
      <c r="U140" s="405">
        <f t="shared" si="55"/>
        <v>0</v>
      </c>
      <c r="V140" s="405">
        <f t="shared" si="55"/>
        <v>0</v>
      </c>
      <c r="W140" s="405">
        <f t="shared" si="55"/>
        <v>0</v>
      </c>
      <c r="X140" s="405">
        <f t="shared" si="49"/>
        <v>131285</v>
      </c>
      <c r="Z140" s="211"/>
    </row>
    <row r="141" spans="1:26" ht="12.75">
      <c r="A141" s="403"/>
      <c r="B141" s="404" t="s">
        <v>385</v>
      </c>
      <c r="C141" s="405">
        <f>C140+500</f>
        <v>11973</v>
      </c>
      <c r="D141" s="405">
        <f t="shared" si="54"/>
        <v>0</v>
      </c>
      <c r="E141" s="405">
        <f>E140+500</f>
        <v>581</v>
      </c>
      <c r="F141" s="405">
        <f t="shared" si="54"/>
        <v>0</v>
      </c>
      <c r="G141" s="405">
        <f>G140+279+180+325</f>
        <v>2310</v>
      </c>
      <c r="H141" s="405">
        <f>H140</f>
        <v>0</v>
      </c>
      <c r="I141" s="405">
        <f>I140+963+332</f>
        <v>23291</v>
      </c>
      <c r="J141" s="405">
        <f aca="true" t="shared" si="56" ref="J141:L142">J140</f>
        <v>0</v>
      </c>
      <c r="K141" s="405">
        <f t="shared" si="56"/>
        <v>0</v>
      </c>
      <c r="L141" s="405">
        <f t="shared" si="56"/>
        <v>1081</v>
      </c>
      <c r="M141" s="405">
        <f>M140</f>
        <v>0</v>
      </c>
      <c r="N141" s="405">
        <f t="shared" si="50"/>
        <v>39236</v>
      </c>
      <c r="O141" s="405">
        <f>O140+256+758+384+261+79</f>
        <v>83639</v>
      </c>
      <c r="P141" s="406">
        <f>P140+69+205+100+71</f>
        <v>21483</v>
      </c>
      <c r="Q141" s="406">
        <f>Q140+459+150</f>
        <v>28955</v>
      </c>
      <c r="R141" s="405">
        <f t="shared" si="55"/>
        <v>9896</v>
      </c>
      <c r="S141" s="405">
        <f t="shared" si="55"/>
        <v>0</v>
      </c>
      <c r="T141" s="405"/>
      <c r="U141" s="405">
        <f t="shared" si="55"/>
        <v>0</v>
      </c>
      <c r="V141" s="405">
        <f t="shared" si="55"/>
        <v>0</v>
      </c>
      <c r="W141" s="405">
        <f t="shared" si="55"/>
        <v>0</v>
      </c>
      <c r="X141" s="405">
        <f t="shared" si="49"/>
        <v>134077</v>
      </c>
      <c r="Z141" s="211"/>
    </row>
    <row r="142" spans="1:26" s="407" customFormat="1" ht="12.75">
      <c r="A142" s="403"/>
      <c r="B142" s="404" t="s">
        <v>386</v>
      </c>
      <c r="C142" s="405">
        <f>C141</f>
        <v>11973</v>
      </c>
      <c r="D142" s="405">
        <f>D141</f>
        <v>0</v>
      </c>
      <c r="E142" s="405">
        <f>E141+750</f>
        <v>1331</v>
      </c>
      <c r="F142" s="405">
        <f>F141</f>
        <v>0</v>
      </c>
      <c r="G142" s="405">
        <f>G141</f>
        <v>2310</v>
      </c>
      <c r="H142" s="405">
        <f>H141</f>
        <v>0</v>
      </c>
      <c r="I142" s="405">
        <f>I141</f>
        <v>23291</v>
      </c>
      <c r="J142" s="405">
        <f t="shared" si="56"/>
        <v>0</v>
      </c>
      <c r="K142" s="405">
        <f t="shared" si="56"/>
        <v>0</v>
      </c>
      <c r="L142" s="405">
        <f t="shared" si="56"/>
        <v>1081</v>
      </c>
      <c r="M142" s="405">
        <f>M141</f>
        <v>0</v>
      </c>
      <c r="N142" s="405">
        <f t="shared" si="50"/>
        <v>39986</v>
      </c>
      <c r="O142" s="405">
        <f>O141+142</f>
        <v>83781</v>
      </c>
      <c r="P142" s="406">
        <f>P141+39</f>
        <v>21522</v>
      </c>
      <c r="Q142" s="406">
        <f>Q141+750</f>
        <v>29705</v>
      </c>
      <c r="R142" s="405">
        <f t="shared" si="55"/>
        <v>9896</v>
      </c>
      <c r="S142" s="405">
        <f t="shared" si="55"/>
        <v>0</v>
      </c>
      <c r="T142" s="405"/>
      <c r="U142" s="405">
        <f t="shared" si="55"/>
        <v>0</v>
      </c>
      <c r="V142" s="405">
        <f t="shared" si="55"/>
        <v>0</v>
      </c>
      <c r="W142" s="405">
        <f t="shared" si="55"/>
        <v>0</v>
      </c>
      <c r="X142" s="405">
        <f>SUM(O142:W142)-R142</f>
        <v>135008</v>
      </c>
      <c r="Z142" s="408"/>
    </row>
    <row r="143" spans="1:26" s="407" customFormat="1" ht="12.75">
      <c r="A143" s="403"/>
      <c r="B143" s="404" t="s">
        <v>387</v>
      </c>
      <c r="C143" s="405">
        <f>C142</f>
        <v>11973</v>
      </c>
      <c r="D143" s="405">
        <f>D142</f>
        <v>0</v>
      </c>
      <c r="E143" s="405">
        <f>E142</f>
        <v>1331</v>
      </c>
      <c r="F143" s="405">
        <f>F142</f>
        <v>0</v>
      </c>
      <c r="G143" s="405">
        <f>G142</f>
        <v>2310</v>
      </c>
      <c r="H143" s="405">
        <f>H142</f>
        <v>0</v>
      </c>
      <c r="I143" s="405">
        <f>I142+118+432+21</f>
        <v>23862</v>
      </c>
      <c r="J143" s="405">
        <f>J142</f>
        <v>0</v>
      </c>
      <c r="K143" s="405">
        <f>K142</f>
        <v>0</v>
      </c>
      <c r="L143" s="405">
        <f>L142</f>
        <v>1081</v>
      </c>
      <c r="M143" s="405">
        <f>M142</f>
        <v>0</v>
      </c>
      <c r="N143" s="405">
        <f t="shared" si="50"/>
        <v>40557</v>
      </c>
      <c r="O143" s="405">
        <f>O142+93+340+21-10-151-960</f>
        <v>83114</v>
      </c>
      <c r="P143" s="406">
        <f>P142+25+92+17-260</f>
        <v>21396</v>
      </c>
      <c r="Q143" s="406">
        <f>Q142-494-135</f>
        <v>29076</v>
      </c>
      <c r="R143" s="405">
        <f t="shared" si="55"/>
        <v>9896</v>
      </c>
      <c r="S143" s="405">
        <f t="shared" si="55"/>
        <v>0</v>
      </c>
      <c r="T143" s="405"/>
      <c r="U143" s="405">
        <f t="shared" si="55"/>
        <v>0</v>
      </c>
      <c r="V143" s="405">
        <f t="shared" si="55"/>
        <v>0</v>
      </c>
      <c r="W143" s="405">
        <f t="shared" si="55"/>
        <v>0</v>
      </c>
      <c r="X143" s="405">
        <f>SUM(O143:W143)-R143</f>
        <v>133586</v>
      </c>
      <c r="Z143" s="408"/>
    </row>
    <row r="144" spans="1:26" s="407" customFormat="1" ht="12.75">
      <c r="A144" s="403"/>
      <c r="B144" s="404" t="s">
        <v>388</v>
      </c>
      <c r="C144" s="405">
        <v>12342</v>
      </c>
      <c r="D144" s="405"/>
      <c r="E144" s="405">
        <v>2118</v>
      </c>
      <c r="F144" s="405"/>
      <c r="G144" s="405">
        <v>2310</v>
      </c>
      <c r="H144" s="405"/>
      <c r="I144" s="405">
        <v>17835</v>
      </c>
      <c r="J144" s="405"/>
      <c r="K144" s="405"/>
      <c r="L144" s="405">
        <v>1081</v>
      </c>
      <c r="M144" s="405"/>
      <c r="N144" s="405">
        <f t="shared" si="50"/>
        <v>35686</v>
      </c>
      <c r="O144" s="405">
        <v>80399</v>
      </c>
      <c r="P144" s="406">
        <v>21348</v>
      </c>
      <c r="Q144" s="406">
        <f>26203+16+16</f>
        <v>26235</v>
      </c>
      <c r="R144" s="405">
        <v>9896</v>
      </c>
      <c r="S144" s="405"/>
      <c r="T144" s="405"/>
      <c r="U144" s="405"/>
      <c r="V144" s="405"/>
      <c r="W144" s="405"/>
      <c r="X144" s="405">
        <f>SUM(O144:W144)-R144</f>
        <v>127982</v>
      </c>
      <c r="Z144" s="408"/>
    </row>
    <row r="145" spans="1:26" s="422" customFormat="1" ht="12.75" customHeight="1">
      <c r="A145" s="418">
        <f>'[2]Eredeti Ft'!A76</f>
        <v>0</v>
      </c>
      <c r="B145" s="404">
        <f>'[2]Eredeti Ft'!B76</f>
        <v>0</v>
      </c>
      <c r="C145" s="420">
        <f aca="true" t="shared" si="57" ref="C145:W150">C121+C127+C133+C139</f>
        <v>11953</v>
      </c>
      <c r="D145" s="420">
        <f t="shared" si="57"/>
        <v>0</v>
      </c>
      <c r="E145" s="420">
        <f t="shared" si="57"/>
        <v>201</v>
      </c>
      <c r="F145" s="420">
        <f t="shared" si="57"/>
        <v>0</v>
      </c>
      <c r="G145" s="420">
        <f t="shared" si="57"/>
        <v>0</v>
      </c>
      <c r="H145" s="420">
        <f t="shared" si="57"/>
        <v>0</v>
      </c>
      <c r="I145" s="420">
        <f t="shared" si="57"/>
        <v>21996</v>
      </c>
      <c r="J145" s="420">
        <f t="shared" si="57"/>
        <v>0</v>
      </c>
      <c r="K145" s="420">
        <f t="shared" si="57"/>
        <v>0</v>
      </c>
      <c r="L145" s="420">
        <f t="shared" si="57"/>
        <v>0</v>
      </c>
      <c r="M145" s="420">
        <f t="shared" si="57"/>
        <v>0</v>
      </c>
      <c r="N145" s="420">
        <f t="shared" si="50"/>
        <v>34150</v>
      </c>
      <c r="O145" s="420">
        <f aca="true" t="shared" si="58" ref="O145:O150">O121+O127+O133+O139</f>
        <v>97632</v>
      </c>
      <c r="P145" s="421">
        <f t="shared" si="57"/>
        <v>25295</v>
      </c>
      <c r="Q145" s="421">
        <f t="shared" si="57"/>
        <v>33047</v>
      </c>
      <c r="R145" s="420">
        <f t="shared" si="57"/>
        <v>9896</v>
      </c>
      <c r="S145" s="420">
        <f t="shared" si="57"/>
        <v>0</v>
      </c>
      <c r="T145" s="420"/>
      <c r="U145" s="420">
        <f t="shared" si="57"/>
        <v>0</v>
      </c>
      <c r="V145" s="420">
        <f t="shared" si="57"/>
        <v>0</v>
      </c>
      <c r="W145" s="420">
        <f t="shared" si="57"/>
        <v>0</v>
      </c>
      <c r="X145" s="420">
        <f t="shared" si="49"/>
        <v>155974</v>
      </c>
      <c r="Z145" s="424">
        <f>SUM(O145:W145)-R145</f>
        <v>155974</v>
      </c>
    </row>
    <row r="146" spans="1:26" s="422" customFormat="1" ht="12.75">
      <c r="A146" s="418"/>
      <c r="B146" s="404" t="s">
        <v>384</v>
      </c>
      <c r="C146" s="420">
        <f t="shared" si="57"/>
        <v>11953</v>
      </c>
      <c r="D146" s="420">
        <f t="shared" si="57"/>
        <v>0</v>
      </c>
      <c r="E146" s="420">
        <f t="shared" si="57"/>
        <v>201</v>
      </c>
      <c r="F146" s="420">
        <f t="shared" si="57"/>
        <v>0</v>
      </c>
      <c r="G146" s="420">
        <f t="shared" si="57"/>
        <v>1526</v>
      </c>
      <c r="H146" s="420">
        <f t="shared" si="57"/>
        <v>0</v>
      </c>
      <c r="I146" s="420">
        <f t="shared" si="57"/>
        <v>22328</v>
      </c>
      <c r="J146" s="420">
        <f t="shared" si="57"/>
        <v>0</v>
      </c>
      <c r="K146" s="420">
        <f t="shared" si="57"/>
        <v>0</v>
      </c>
      <c r="L146" s="420">
        <f t="shared" si="57"/>
        <v>1207</v>
      </c>
      <c r="M146" s="420">
        <f t="shared" si="57"/>
        <v>0</v>
      </c>
      <c r="N146" s="420">
        <f t="shared" si="50"/>
        <v>37215</v>
      </c>
      <c r="O146" s="420">
        <f t="shared" si="58"/>
        <v>99173</v>
      </c>
      <c r="P146" s="421">
        <f t="shared" si="57"/>
        <v>25580</v>
      </c>
      <c r="Q146" s="421">
        <f t="shared" si="57"/>
        <v>35269</v>
      </c>
      <c r="R146" s="420">
        <f t="shared" si="57"/>
        <v>9896</v>
      </c>
      <c r="S146" s="420">
        <f t="shared" si="57"/>
        <v>0</v>
      </c>
      <c r="T146" s="420"/>
      <c r="U146" s="420">
        <f t="shared" si="57"/>
        <v>0</v>
      </c>
      <c r="V146" s="420">
        <f t="shared" si="57"/>
        <v>0</v>
      </c>
      <c r="W146" s="420">
        <f t="shared" si="57"/>
        <v>0</v>
      </c>
      <c r="X146" s="420">
        <f t="shared" si="49"/>
        <v>160022</v>
      </c>
      <c r="Z146" s="424"/>
    </row>
    <row r="147" spans="1:26" s="422" customFormat="1" ht="12.75">
      <c r="A147" s="418"/>
      <c r="B147" s="404" t="s">
        <v>385</v>
      </c>
      <c r="C147" s="420">
        <f t="shared" si="57"/>
        <v>13253</v>
      </c>
      <c r="D147" s="420">
        <f t="shared" si="57"/>
        <v>0</v>
      </c>
      <c r="E147" s="420">
        <f t="shared" si="57"/>
        <v>701</v>
      </c>
      <c r="F147" s="420">
        <f t="shared" si="57"/>
        <v>0</v>
      </c>
      <c r="G147" s="420">
        <f t="shared" si="57"/>
        <v>2310</v>
      </c>
      <c r="H147" s="420">
        <f t="shared" si="57"/>
        <v>0</v>
      </c>
      <c r="I147" s="420">
        <f t="shared" si="57"/>
        <v>23291</v>
      </c>
      <c r="J147" s="420">
        <f t="shared" si="57"/>
        <v>0</v>
      </c>
      <c r="K147" s="420">
        <f t="shared" si="57"/>
        <v>0</v>
      </c>
      <c r="L147" s="420">
        <f t="shared" si="57"/>
        <v>1207</v>
      </c>
      <c r="M147" s="420">
        <f t="shared" si="57"/>
        <v>0</v>
      </c>
      <c r="N147" s="420">
        <f t="shared" si="50"/>
        <v>40762</v>
      </c>
      <c r="O147" s="420">
        <f t="shared" si="58"/>
        <v>99278</v>
      </c>
      <c r="P147" s="421">
        <f t="shared" si="57"/>
        <v>25623</v>
      </c>
      <c r="Q147" s="421">
        <f t="shared" si="57"/>
        <v>35378</v>
      </c>
      <c r="R147" s="420">
        <f t="shared" si="57"/>
        <v>9896</v>
      </c>
      <c r="S147" s="420">
        <f t="shared" si="57"/>
        <v>0</v>
      </c>
      <c r="T147" s="420"/>
      <c r="U147" s="420">
        <f t="shared" si="57"/>
        <v>0</v>
      </c>
      <c r="V147" s="420">
        <f t="shared" si="57"/>
        <v>4104</v>
      </c>
      <c r="W147" s="420">
        <f t="shared" si="57"/>
        <v>0</v>
      </c>
      <c r="X147" s="420">
        <f t="shared" si="49"/>
        <v>164383</v>
      </c>
      <c r="Z147" s="424"/>
    </row>
    <row r="148" spans="1:26" s="423" customFormat="1" ht="12.75">
      <c r="A148" s="418"/>
      <c r="B148" s="404" t="s">
        <v>386</v>
      </c>
      <c r="C148" s="420">
        <f t="shared" si="57"/>
        <v>12453</v>
      </c>
      <c r="D148" s="420">
        <f t="shared" si="57"/>
        <v>0</v>
      </c>
      <c r="E148" s="420">
        <f t="shared" si="57"/>
        <v>1451</v>
      </c>
      <c r="F148" s="420">
        <f t="shared" si="57"/>
        <v>0</v>
      </c>
      <c r="G148" s="420">
        <f t="shared" si="57"/>
        <v>2310</v>
      </c>
      <c r="H148" s="420">
        <f t="shared" si="57"/>
        <v>0</v>
      </c>
      <c r="I148" s="420">
        <f t="shared" si="57"/>
        <v>23291</v>
      </c>
      <c r="J148" s="420">
        <f t="shared" si="57"/>
        <v>0</v>
      </c>
      <c r="K148" s="420">
        <f t="shared" si="57"/>
        <v>800</v>
      </c>
      <c r="L148" s="420">
        <f t="shared" si="57"/>
        <v>1207</v>
      </c>
      <c r="M148" s="420">
        <f t="shared" si="57"/>
        <v>0</v>
      </c>
      <c r="N148" s="420">
        <f t="shared" si="50"/>
        <v>41512</v>
      </c>
      <c r="O148" s="420">
        <f t="shared" si="58"/>
        <v>99446</v>
      </c>
      <c r="P148" s="421">
        <f t="shared" si="57"/>
        <v>25668</v>
      </c>
      <c r="Q148" s="421">
        <f t="shared" si="57"/>
        <v>35778</v>
      </c>
      <c r="R148" s="420">
        <f t="shared" si="57"/>
        <v>9896</v>
      </c>
      <c r="S148" s="420">
        <f t="shared" si="57"/>
        <v>0</v>
      </c>
      <c r="T148" s="420"/>
      <c r="U148" s="420">
        <f t="shared" si="57"/>
        <v>0</v>
      </c>
      <c r="V148" s="420">
        <f t="shared" si="57"/>
        <v>4454</v>
      </c>
      <c r="W148" s="420">
        <f t="shared" si="57"/>
        <v>0</v>
      </c>
      <c r="X148" s="420">
        <f>SUM(O148:W148)-R148</f>
        <v>165346</v>
      </c>
      <c r="Z148" s="425"/>
    </row>
    <row r="149" spans="1:26" s="423" customFormat="1" ht="12.75">
      <c r="A149" s="418"/>
      <c r="B149" s="404" t="s">
        <v>387</v>
      </c>
      <c r="C149" s="420">
        <f t="shared" si="57"/>
        <v>12453</v>
      </c>
      <c r="D149" s="420">
        <f t="shared" si="57"/>
        <v>0</v>
      </c>
      <c r="E149" s="420">
        <f t="shared" si="57"/>
        <v>1451</v>
      </c>
      <c r="F149" s="420">
        <f t="shared" si="57"/>
        <v>0</v>
      </c>
      <c r="G149" s="420">
        <f t="shared" si="57"/>
        <v>2310</v>
      </c>
      <c r="H149" s="420">
        <f t="shared" si="57"/>
        <v>0</v>
      </c>
      <c r="I149" s="420">
        <f t="shared" si="57"/>
        <v>23862</v>
      </c>
      <c r="J149" s="420">
        <f t="shared" si="57"/>
        <v>0</v>
      </c>
      <c r="K149" s="420">
        <f t="shared" si="57"/>
        <v>0</v>
      </c>
      <c r="L149" s="420">
        <f t="shared" si="57"/>
        <v>1207</v>
      </c>
      <c r="M149" s="420">
        <f t="shared" si="57"/>
        <v>0</v>
      </c>
      <c r="N149" s="420">
        <f t="shared" si="50"/>
        <v>41283</v>
      </c>
      <c r="O149" s="420">
        <f t="shared" si="58"/>
        <v>99288</v>
      </c>
      <c r="P149" s="421">
        <f t="shared" si="57"/>
        <v>25366</v>
      </c>
      <c r="Q149" s="421">
        <f t="shared" si="57"/>
        <v>36309</v>
      </c>
      <c r="R149" s="420">
        <f t="shared" si="57"/>
        <v>9896</v>
      </c>
      <c r="S149" s="420">
        <f t="shared" si="57"/>
        <v>0</v>
      </c>
      <c r="T149" s="420"/>
      <c r="U149" s="420">
        <f t="shared" si="57"/>
        <v>0</v>
      </c>
      <c r="V149" s="420">
        <f t="shared" si="57"/>
        <v>4223</v>
      </c>
      <c r="W149" s="420">
        <f t="shared" si="57"/>
        <v>0</v>
      </c>
      <c r="X149" s="420">
        <f>SUM(O149:W149)-R149</f>
        <v>165186</v>
      </c>
      <c r="Z149" s="425"/>
    </row>
    <row r="150" spans="1:26" s="423" customFormat="1" ht="12.75">
      <c r="A150" s="418"/>
      <c r="B150" s="404" t="s">
        <v>388</v>
      </c>
      <c r="C150" s="420">
        <f t="shared" si="57"/>
        <v>12342</v>
      </c>
      <c r="D150" s="420"/>
      <c r="E150" s="420">
        <f t="shared" si="57"/>
        <v>2118</v>
      </c>
      <c r="F150" s="420"/>
      <c r="G150" s="420">
        <f t="shared" si="57"/>
        <v>2310</v>
      </c>
      <c r="H150" s="420"/>
      <c r="I150" s="420">
        <f t="shared" si="57"/>
        <v>17835</v>
      </c>
      <c r="J150" s="420"/>
      <c r="K150" s="420"/>
      <c r="L150" s="420">
        <f t="shared" si="57"/>
        <v>1207</v>
      </c>
      <c r="M150" s="420"/>
      <c r="N150" s="420">
        <f t="shared" si="50"/>
        <v>35812</v>
      </c>
      <c r="O150" s="420">
        <f t="shared" si="58"/>
        <v>96440</v>
      </c>
      <c r="P150" s="421">
        <f>P126+P132+P138+P144</f>
        <v>25264</v>
      </c>
      <c r="Q150" s="421">
        <f>Q126+Q132+Q138+Q144</f>
        <v>33451</v>
      </c>
      <c r="R150" s="420">
        <f t="shared" si="57"/>
        <v>9896</v>
      </c>
      <c r="S150" s="420"/>
      <c r="T150" s="420"/>
      <c r="U150" s="420"/>
      <c r="V150" s="420">
        <f>V126+V132+V138+V144</f>
        <v>4223</v>
      </c>
      <c r="W150" s="420"/>
      <c r="X150" s="420">
        <f>SUM(O150:W150)-R150</f>
        <v>159378</v>
      </c>
      <c r="Z150" s="425"/>
    </row>
    <row r="151" spans="1:26" ht="12.75" customHeight="1">
      <c r="A151" s="403">
        <f>'[2]Eredeti Ft'!A79</f>
        <v>0</v>
      </c>
      <c r="B151" s="404">
        <f>'[2]Eredeti Ft'!B79</f>
        <v>0</v>
      </c>
      <c r="C151" s="405">
        <f>ROUND('[2]Eredeti Ft'!C79,-3)/1000</f>
        <v>666</v>
      </c>
      <c r="D151" s="405">
        <f>ROUND('[2]Eredeti Ft'!D79,-3)/1000</f>
        <v>0</v>
      </c>
      <c r="E151" s="405">
        <f>ROUND('[2]Eredeti Ft'!E79,-3)/1000</f>
        <v>5731</v>
      </c>
      <c r="F151" s="405">
        <f>ROUND('[2]Eredeti Ft'!F79,-3)/1000</f>
        <v>0</v>
      </c>
      <c r="G151" s="405">
        <f>ROUND('[2]Eredeti Ft'!G79,-3)/1000</f>
        <v>0</v>
      </c>
      <c r="H151" s="405">
        <f>ROUND('[2]Eredeti Ft'!H79,-3)/1000</f>
        <v>0</v>
      </c>
      <c r="I151" s="405">
        <f>ROUND('[2]Eredeti Ft'!I79,-3)/1000</f>
        <v>0</v>
      </c>
      <c r="J151" s="405">
        <f>ROUND('[2]Eredeti Ft'!J79,-3)/1000</f>
        <v>0</v>
      </c>
      <c r="K151" s="405">
        <f>ROUND('[2]Eredeti Ft'!K79,-3)/1000</f>
        <v>0</v>
      </c>
      <c r="L151" s="405">
        <f>ROUND('[2]Eredeti Ft'!L79,-3)/1000</f>
        <v>0</v>
      </c>
      <c r="M151" s="405">
        <f>ROUND('[2]Eredeti Ft'!M79,-3)/1000</f>
        <v>0</v>
      </c>
      <c r="N151" s="405">
        <f t="shared" si="50"/>
        <v>6397</v>
      </c>
      <c r="O151" s="405">
        <f>ROUND('[2]Eredeti Ft'!O79,-3)/1000</f>
        <v>17857</v>
      </c>
      <c r="P151" s="406">
        <f>ROUND('[2]Eredeti Ft'!P79,-3)/1000</f>
        <v>4760</v>
      </c>
      <c r="Q151" s="406">
        <f>ROUND('[2]Eredeti Ft'!Q79,-3)/1000</f>
        <v>7863</v>
      </c>
      <c r="R151" s="405">
        <f>ROUND('[2]Eredeti Ft'!R79,-3)/1000</f>
        <v>0</v>
      </c>
      <c r="S151" s="405">
        <f>ROUND('[2]Eredeti Ft'!S79,-3)/1000</f>
        <v>0</v>
      </c>
      <c r="T151" s="405"/>
      <c r="U151" s="405">
        <f>ROUND('[2]Eredeti Ft'!T79,-3)/1000</f>
        <v>0</v>
      </c>
      <c r="V151" s="405">
        <f>ROUND('[2]Eredeti Ft'!U79,-3)/1000</f>
        <v>0</v>
      </c>
      <c r="W151" s="405">
        <f>ROUND('[2]Eredeti Ft'!V79,-3)/1000</f>
        <v>0</v>
      </c>
      <c r="X151" s="405">
        <f t="shared" si="49"/>
        <v>30480</v>
      </c>
      <c r="Z151" s="211">
        <f>SUM(O151:W151)-R151</f>
        <v>30480</v>
      </c>
    </row>
    <row r="152" spans="1:26" ht="12.75">
      <c r="A152" s="403"/>
      <c r="B152" s="404" t="s">
        <v>384</v>
      </c>
      <c r="C152" s="405">
        <f aca="true" t="shared" si="59" ref="C152:L155">C151</f>
        <v>666</v>
      </c>
      <c r="D152" s="405">
        <f t="shared" si="59"/>
        <v>0</v>
      </c>
      <c r="E152" s="405">
        <f t="shared" si="59"/>
        <v>5731</v>
      </c>
      <c r="F152" s="405">
        <f t="shared" si="59"/>
        <v>0</v>
      </c>
      <c r="G152" s="405">
        <f t="shared" si="59"/>
        <v>0</v>
      </c>
      <c r="H152" s="405">
        <f t="shared" si="59"/>
        <v>0</v>
      </c>
      <c r="I152" s="405">
        <f t="shared" si="59"/>
        <v>0</v>
      </c>
      <c r="J152" s="405">
        <f t="shared" si="59"/>
        <v>0</v>
      </c>
      <c r="K152" s="405">
        <f t="shared" si="59"/>
        <v>0</v>
      </c>
      <c r="L152" s="405">
        <f>L151+384</f>
        <v>384</v>
      </c>
      <c r="M152" s="405">
        <f>M151</f>
        <v>0</v>
      </c>
      <c r="N152" s="405">
        <f t="shared" si="50"/>
        <v>6781</v>
      </c>
      <c r="O152" s="405">
        <f>O151+97+15</f>
        <v>17969</v>
      </c>
      <c r="P152" s="406">
        <f>P151+26</f>
        <v>4786</v>
      </c>
      <c r="Q152" s="406">
        <f>Q151+369+508</f>
        <v>8740</v>
      </c>
      <c r="R152" s="405">
        <f aca="true" t="shared" si="60" ref="R152:Z155">R151</f>
        <v>0</v>
      </c>
      <c r="S152" s="405">
        <f t="shared" si="60"/>
        <v>0</v>
      </c>
      <c r="T152" s="405"/>
      <c r="U152" s="405">
        <f t="shared" si="60"/>
        <v>0</v>
      </c>
      <c r="V152" s="405">
        <f t="shared" si="60"/>
        <v>0</v>
      </c>
      <c r="W152" s="405">
        <f t="shared" si="60"/>
        <v>0</v>
      </c>
      <c r="X152" s="405">
        <f t="shared" si="49"/>
        <v>31495</v>
      </c>
      <c r="Z152" s="211"/>
    </row>
    <row r="153" spans="1:26" ht="12.75">
      <c r="A153" s="403"/>
      <c r="B153" s="404" t="s">
        <v>385</v>
      </c>
      <c r="C153" s="405">
        <f t="shared" si="59"/>
        <v>666</v>
      </c>
      <c r="D153" s="405">
        <f t="shared" si="59"/>
        <v>0</v>
      </c>
      <c r="E153" s="405">
        <f t="shared" si="59"/>
        <v>5731</v>
      </c>
      <c r="F153" s="405">
        <f t="shared" si="59"/>
        <v>0</v>
      </c>
      <c r="G153" s="405">
        <f t="shared" si="59"/>
        <v>0</v>
      </c>
      <c r="H153" s="405">
        <f t="shared" si="59"/>
        <v>0</v>
      </c>
      <c r="I153" s="405">
        <f t="shared" si="59"/>
        <v>0</v>
      </c>
      <c r="J153" s="405">
        <f t="shared" si="59"/>
        <v>0</v>
      </c>
      <c r="K153" s="405">
        <f t="shared" si="59"/>
        <v>0</v>
      </c>
      <c r="L153" s="405">
        <f>L152+508</f>
        <v>892</v>
      </c>
      <c r="M153" s="405">
        <f>M152</f>
        <v>0</v>
      </c>
      <c r="N153" s="405">
        <f t="shared" si="50"/>
        <v>7289</v>
      </c>
      <c r="O153" s="405">
        <f>O152+259+54+2</f>
        <v>18284</v>
      </c>
      <c r="P153" s="406">
        <f>P152+72</f>
        <v>4858</v>
      </c>
      <c r="Q153" s="406">
        <f>Q152</f>
        <v>8740</v>
      </c>
      <c r="R153" s="405">
        <f t="shared" si="60"/>
        <v>0</v>
      </c>
      <c r="S153" s="405">
        <f t="shared" si="60"/>
        <v>0</v>
      </c>
      <c r="T153" s="405"/>
      <c r="U153" s="405">
        <f t="shared" si="60"/>
        <v>0</v>
      </c>
      <c r="V153" s="405">
        <f t="shared" si="60"/>
        <v>0</v>
      </c>
      <c r="W153" s="405">
        <f t="shared" si="60"/>
        <v>0</v>
      </c>
      <c r="X153" s="405">
        <f t="shared" si="49"/>
        <v>31882</v>
      </c>
      <c r="Z153" s="211"/>
    </row>
    <row r="154" spans="1:26" s="407" customFormat="1" ht="12.75">
      <c r="A154" s="403"/>
      <c r="B154" s="404" t="s">
        <v>386</v>
      </c>
      <c r="C154" s="405">
        <f t="shared" si="59"/>
        <v>666</v>
      </c>
      <c r="D154" s="405">
        <f t="shared" si="59"/>
        <v>0</v>
      </c>
      <c r="E154" s="405">
        <f>E153+4694</f>
        <v>10425</v>
      </c>
      <c r="F154" s="405">
        <f t="shared" si="59"/>
        <v>0</v>
      </c>
      <c r="G154" s="405">
        <f t="shared" si="59"/>
        <v>0</v>
      </c>
      <c r="H154" s="405">
        <f t="shared" si="59"/>
        <v>0</v>
      </c>
      <c r="I154" s="405">
        <f t="shared" si="59"/>
        <v>0</v>
      </c>
      <c r="J154" s="405">
        <f t="shared" si="59"/>
        <v>0</v>
      </c>
      <c r="K154" s="405">
        <f t="shared" si="59"/>
        <v>0</v>
      </c>
      <c r="L154" s="405">
        <f t="shared" si="59"/>
        <v>892</v>
      </c>
      <c r="M154" s="405">
        <f>M153</f>
        <v>0</v>
      </c>
      <c r="N154" s="405">
        <f t="shared" si="50"/>
        <v>11983</v>
      </c>
      <c r="O154" s="405">
        <v>18322</v>
      </c>
      <c r="P154" s="406">
        <v>4869</v>
      </c>
      <c r="Q154" s="406">
        <v>13297</v>
      </c>
      <c r="R154" s="405">
        <f t="shared" si="60"/>
        <v>0</v>
      </c>
      <c r="S154" s="405">
        <f t="shared" si="60"/>
        <v>0</v>
      </c>
      <c r="T154" s="405"/>
      <c r="U154" s="405">
        <f t="shared" si="60"/>
        <v>0</v>
      </c>
      <c r="V154" s="405">
        <f t="shared" si="60"/>
        <v>0</v>
      </c>
      <c r="W154" s="405">
        <f t="shared" si="60"/>
        <v>0</v>
      </c>
      <c r="X154" s="405">
        <f t="shared" si="49"/>
        <v>36488</v>
      </c>
      <c r="Y154" s="405">
        <f t="shared" si="60"/>
        <v>0</v>
      </c>
      <c r="Z154" s="405">
        <f t="shared" si="60"/>
        <v>0</v>
      </c>
    </row>
    <row r="155" spans="1:26" s="407" customFormat="1" ht="12.75">
      <c r="A155" s="403"/>
      <c r="B155" s="404" t="s">
        <v>387</v>
      </c>
      <c r="C155" s="405">
        <f t="shared" si="59"/>
        <v>666</v>
      </c>
      <c r="D155" s="405">
        <f t="shared" si="59"/>
        <v>0</v>
      </c>
      <c r="E155" s="405">
        <f t="shared" si="59"/>
        <v>10425</v>
      </c>
      <c r="F155" s="405">
        <f t="shared" si="59"/>
        <v>0</v>
      </c>
      <c r="G155" s="405">
        <f t="shared" si="59"/>
        <v>0</v>
      </c>
      <c r="H155" s="405">
        <f t="shared" si="59"/>
        <v>0</v>
      </c>
      <c r="I155" s="405">
        <f t="shared" si="59"/>
        <v>0</v>
      </c>
      <c r="J155" s="405">
        <f t="shared" si="59"/>
        <v>0</v>
      </c>
      <c r="K155" s="405">
        <f t="shared" si="59"/>
        <v>0</v>
      </c>
      <c r="L155" s="405">
        <f t="shared" si="59"/>
        <v>892</v>
      </c>
      <c r="M155" s="405">
        <f>M154</f>
        <v>0</v>
      </c>
      <c r="N155" s="405">
        <f>N154</f>
        <v>11983</v>
      </c>
      <c r="O155" s="405">
        <f>O154-5</f>
        <v>18317</v>
      </c>
      <c r="P155" s="406">
        <f>P154+14</f>
        <v>4883</v>
      </c>
      <c r="Q155" s="406">
        <f>Q154-1281-4100</f>
        <v>7916</v>
      </c>
      <c r="R155" s="405">
        <f t="shared" si="60"/>
        <v>0</v>
      </c>
      <c r="S155" s="405">
        <f t="shared" si="60"/>
        <v>0</v>
      </c>
      <c r="T155" s="405"/>
      <c r="U155" s="405">
        <f t="shared" si="60"/>
        <v>0</v>
      </c>
      <c r="V155" s="405">
        <f t="shared" si="60"/>
        <v>0</v>
      </c>
      <c r="W155" s="405">
        <f t="shared" si="60"/>
        <v>0</v>
      </c>
      <c r="X155" s="405">
        <f t="shared" si="49"/>
        <v>31116</v>
      </c>
      <c r="Y155" s="405">
        <f t="shared" si="60"/>
        <v>0</v>
      </c>
      <c r="Z155" s="405">
        <f t="shared" si="60"/>
        <v>0</v>
      </c>
    </row>
    <row r="156" spans="1:26" s="407" customFormat="1" ht="12.75">
      <c r="A156" s="403"/>
      <c r="B156" s="404" t="s">
        <v>388</v>
      </c>
      <c r="C156" s="405">
        <v>1728</v>
      </c>
      <c r="D156" s="405"/>
      <c r="E156" s="405">
        <v>12030</v>
      </c>
      <c r="F156" s="405"/>
      <c r="G156" s="405"/>
      <c r="H156" s="405"/>
      <c r="I156" s="405"/>
      <c r="J156" s="405"/>
      <c r="K156" s="405"/>
      <c r="L156" s="405">
        <v>892</v>
      </c>
      <c r="M156" s="405">
        <v>8105</v>
      </c>
      <c r="N156" s="405">
        <v>14650</v>
      </c>
      <c r="O156" s="405">
        <v>18184</v>
      </c>
      <c r="P156" s="406">
        <v>4858</v>
      </c>
      <c r="Q156" s="406">
        <v>7914</v>
      </c>
      <c r="R156" s="405"/>
      <c r="S156" s="405"/>
      <c r="T156" s="405"/>
      <c r="U156" s="405"/>
      <c r="V156" s="405"/>
      <c r="W156" s="405"/>
      <c r="X156" s="405">
        <f t="shared" si="49"/>
        <v>30956</v>
      </c>
      <c r="Y156" s="410"/>
      <c r="Z156" s="410"/>
    </row>
    <row r="157" spans="1:26" s="422" customFormat="1" ht="17.25" customHeight="1">
      <c r="A157" s="418">
        <f>'[2]Eredeti Ft'!A82</f>
        <v>0</v>
      </c>
      <c r="B157" s="426">
        <f>'[2]Eredeti Ft'!B82</f>
        <v>0</v>
      </c>
      <c r="C157" s="420">
        <f aca="true" t="shared" si="61" ref="C157:M158">C4+C10+C16+C19+C25+C31+C37+C43+C49+C55+C61+C67+C73+C79+C91+C97+C109+C115+C121+C127+C133+C139+C151</f>
        <v>111304</v>
      </c>
      <c r="D157" s="420">
        <f t="shared" si="61"/>
        <v>70835</v>
      </c>
      <c r="E157" s="420">
        <f t="shared" si="61"/>
        <v>28515</v>
      </c>
      <c r="F157" s="420">
        <f t="shared" si="61"/>
        <v>34100</v>
      </c>
      <c r="G157" s="420">
        <f t="shared" si="61"/>
        <v>9055</v>
      </c>
      <c r="H157" s="420">
        <f t="shared" si="61"/>
        <v>0</v>
      </c>
      <c r="I157" s="420">
        <f t="shared" si="61"/>
        <v>36490</v>
      </c>
      <c r="J157" s="420">
        <f t="shared" si="61"/>
        <v>0</v>
      </c>
      <c r="K157" s="420">
        <f t="shared" si="61"/>
        <v>0</v>
      </c>
      <c r="L157" s="420">
        <f t="shared" si="61"/>
        <v>0</v>
      </c>
      <c r="M157" s="420">
        <f t="shared" si="61"/>
        <v>0</v>
      </c>
      <c r="N157" s="405">
        <f>SUM(C157:M157)-D157</f>
        <v>219464</v>
      </c>
      <c r="O157" s="420">
        <f aca="true" t="shared" si="62" ref="O157:X158">O4+O10+O16+O19+O25+O31+O37+O43+O49+O55+O61+O67+O73+O79+O91+O97+O109+O115+O121+O127+O133+O139+O151</f>
        <v>891576</v>
      </c>
      <c r="P157" s="421">
        <f t="shared" si="62"/>
        <v>237043</v>
      </c>
      <c r="Q157" s="421">
        <f t="shared" si="62"/>
        <v>447353</v>
      </c>
      <c r="R157" s="420">
        <f t="shared" si="62"/>
        <v>153423</v>
      </c>
      <c r="S157" s="420">
        <f t="shared" si="62"/>
        <v>10200</v>
      </c>
      <c r="T157" s="420"/>
      <c r="U157" s="420">
        <f t="shared" si="62"/>
        <v>14433</v>
      </c>
      <c r="V157" s="420">
        <f t="shared" si="62"/>
        <v>0</v>
      </c>
      <c r="W157" s="420">
        <f t="shared" si="62"/>
        <v>15800</v>
      </c>
      <c r="X157" s="420">
        <f t="shared" si="62"/>
        <v>1616405</v>
      </c>
      <c r="Z157" s="211">
        <f aca="true" t="shared" si="63" ref="Z157:Z163">SUM(O157:W157)-R157</f>
        <v>1616405</v>
      </c>
    </row>
    <row r="158" spans="1:26" s="180" customFormat="1" ht="12.75">
      <c r="A158" s="418"/>
      <c r="B158" s="426" t="s">
        <v>384</v>
      </c>
      <c r="C158" s="420">
        <f t="shared" si="61"/>
        <v>111881</v>
      </c>
      <c r="D158" s="420">
        <f t="shared" si="61"/>
        <v>70835</v>
      </c>
      <c r="E158" s="420">
        <f t="shared" si="61"/>
        <v>28588</v>
      </c>
      <c r="F158" s="420">
        <f t="shared" si="61"/>
        <v>0</v>
      </c>
      <c r="G158" s="420">
        <f t="shared" si="61"/>
        <v>11307</v>
      </c>
      <c r="H158" s="420">
        <f t="shared" si="61"/>
        <v>0</v>
      </c>
      <c r="I158" s="420">
        <f t="shared" si="61"/>
        <v>36879</v>
      </c>
      <c r="J158" s="420">
        <f t="shared" si="61"/>
        <v>0</v>
      </c>
      <c r="K158" s="420">
        <f t="shared" si="61"/>
        <v>0</v>
      </c>
      <c r="L158" s="420">
        <f t="shared" si="61"/>
        <v>35799</v>
      </c>
      <c r="M158" s="420">
        <f>M5+M11+M17+M20+M26+M32+M38+M44+M50+M56+M62+M68+M74+M80+M92+M98+M110+M117+M122+M128+M134+M140+M152</f>
        <v>0</v>
      </c>
      <c r="N158" s="420">
        <f>N5+N11+N17+N20+N26+N32+N38+N44+N50+N56+N62+N68+N74+N80+N92+N98+N110+N116+N122+N128+N134+N140+N152</f>
        <v>224454</v>
      </c>
      <c r="O158" s="420">
        <f t="shared" si="62"/>
        <v>905479</v>
      </c>
      <c r="P158" s="421">
        <f t="shared" si="62"/>
        <v>239878</v>
      </c>
      <c r="Q158" s="421">
        <f t="shared" si="62"/>
        <v>480453</v>
      </c>
      <c r="R158" s="420">
        <f t="shared" si="62"/>
        <v>153423</v>
      </c>
      <c r="S158" s="420">
        <f t="shared" si="62"/>
        <v>10200</v>
      </c>
      <c r="T158" s="420"/>
      <c r="U158" s="420">
        <f t="shared" si="62"/>
        <v>4433</v>
      </c>
      <c r="V158" s="420">
        <f t="shared" si="62"/>
        <v>3179</v>
      </c>
      <c r="W158" s="420">
        <f t="shared" si="62"/>
        <v>15800</v>
      </c>
      <c r="X158" s="420">
        <f t="shared" si="62"/>
        <v>1659422</v>
      </c>
      <c r="Y158" s="427"/>
      <c r="Z158" s="428">
        <f t="shared" si="63"/>
        <v>1659422</v>
      </c>
    </row>
    <row r="159" spans="1:26" s="180" customFormat="1" ht="12.75" customHeight="1" hidden="1">
      <c r="A159" s="418"/>
      <c r="B159" s="429"/>
      <c r="C159" s="420">
        <f>C6+C12+C18+C21+C27+C33+C39+C45+C51+C57+C63+C69+C75+C81+C93+C99+C111+C117+C123+C129+C135+C141+C153</f>
        <v>115140</v>
      </c>
      <c r="D159" s="420">
        <f>D6+D12+D18+D21+D27+D33+D39+D45+D51+D57+D63+D69+D75+D81+D93+D99+D111+D117+D123+D129+D135+D141+D153</f>
        <v>70835</v>
      </c>
      <c r="E159" s="430">
        <f aca="true" t="shared" si="64" ref="E159:K159">SUM(E4:E151)-E85-E103-E145</f>
        <v>221927</v>
      </c>
      <c r="F159" s="430">
        <f t="shared" si="64"/>
        <v>34100</v>
      </c>
      <c r="G159" s="430">
        <f t="shared" si="64"/>
        <v>108577</v>
      </c>
      <c r="H159" s="430">
        <f t="shared" si="64"/>
        <v>1216</v>
      </c>
      <c r="I159" s="430">
        <f t="shared" si="64"/>
        <v>404982</v>
      </c>
      <c r="J159" s="430">
        <f t="shared" si="64"/>
        <v>0</v>
      </c>
      <c r="K159" s="430">
        <f t="shared" si="64"/>
        <v>1600</v>
      </c>
      <c r="L159" s="420">
        <f>L6+L12+L18+L21+L27+L33+L39+L45+L51+L57+L63+L69+L75+L81+L93+L99+L111+L117+L123+L129+L135+L141+L153</f>
        <v>35799</v>
      </c>
      <c r="M159" s="430">
        <f aca="true" t="shared" si="65" ref="M159:X159">SUM(M4:M151)-M85-M103-M145</f>
        <v>0</v>
      </c>
      <c r="N159" s="430">
        <f t="shared" si="65"/>
        <v>2065239</v>
      </c>
      <c r="O159" s="430">
        <f t="shared" si="65"/>
        <v>8141984</v>
      </c>
      <c r="P159" s="431">
        <f t="shared" si="65"/>
        <v>2162823</v>
      </c>
      <c r="Q159" s="431">
        <f t="shared" si="65"/>
        <v>4420224</v>
      </c>
      <c r="R159" s="430">
        <f t="shared" si="65"/>
        <v>1503458</v>
      </c>
      <c r="S159" s="430">
        <f t="shared" si="65"/>
        <v>103560</v>
      </c>
      <c r="T159" s="430"/>
      <c r="U159" s="430">
        <f t="shared" si="65"/>
        <v>47198</v>
      </c>
      <c r="V159" s="430">
        <f t="shared" si="65"/>
        <v>53795</v>
      </c>
      <c r="W159" s="430">
        <f t="shared" si="65"/>
        <v>93869</v>
      </c>
      <c r="X159" s="430">
        <f t="shared" si="65"/>
        <v>15025257</v>
      </c>
      <c r="Y159"/>
      <c r="Z159" s="211">
        <f t="shared" si="63"/>
        <v>15023453</v>
      </c>
    </row>
    <row r="160" spans="1:26" s="180" customFormat="1" ht="12.75" customHeight="1" hidden="1">
      <c r="A160" s="418"/>
      <c r="B160" s="429"/>
      <c r="C160" s="420">
        <f aca="true" t="shared" si="66" ref="C160:D162">C10+C16+C19+C25+C31+C37+C43+C49+C55+C61+C67+C73+C79+C85+C97+C103+C115+C121+C127+C133+C139+C145+C157</f>
        <v>254375</v>
      </c>
      <c r="D160" s="420">
        <f t="shared" si="66"/>
        <v>163352</v>
      </c>
      <c r="E160" s="432"/>
      <c r="F160" s="432"/>
      <c r="G160" s="432"/>
      <c r="H160" s="432"/>
      <c r="I160" s="432"/>
      <c r="J160" s="432"/>
      <c r="K160" s="432"/>
      <c r="L160" s="420">
        <f>L10+L16+L19+L25+L31+L37+L43+L49+L55+L61+L67+L73+L79+L85+L97+L103+L115+L121+L127+L133+L139+L145+L157</f>
        <v>0</v>
      </c>
      <c r="M160" s="432"/>
      <c r="N160" s="432"/>
      <c r="O160" s="432"/>
      <c r="P160" s="433"/>
      <c r="Q160" s="433"/>
      <c r="R160" s="432"/>
      <c r="S160" s="432"/>
      <c r="T160" s="432"/>
      <c r="U160" s="432"/>
      <c r="V160" s="432"/>
      <c r="W160" s="432"/>
      <c r="X160" s="432"/>
      <c r="Y160"/>
      <c r="Z160" s="211">
        <f t="shared" si="63"/>
        <v>0</v>
      </c>
    </row>
    <row r="161" spans="1:26" s="180" customFormat="1" ht="12.75" customHeight="1" hidden="1">
      <c r="A161" s="418"/>
      <c r="B161" s="429"/>
      <c r="C161" s="420">
        <f t="shared" si="66"/>
        <v>255823</v>
      </c>
      <c r="D161" s="420">
        <f t="shared" si="66"/>
        <v>163352</v>
      </c>
      <c r="E161" s="432"/>
      <c r="F161" s="432"/>
      <c r="G161" s="432"/>
      <c r="H161" s="432"/>
      <c r="I161" s="432"/>
      <c r="J161" s="432"/>
      <c r="K161" s="432"/>
      <c r="L161" s="420">
        <f>L11+L17+L20+L26+L32+L38+L44+L50+L56+L62+L68+L74+L80+L86+L98+L104+L116+L122+L128+L134+L140+L146+L158</f>
        <v>76972</v>
      </c>
      <c r="M161" s="432"/>
      <c r="N161" s="432"/>
      <c r="O161" s="432">
        <v>0</v>
      </c>
      <c r="P161" s="433">
        <v>0</v>
      </c>
      <c r="Q161" s="433">
        <v>460341</v>
      </c>
      <c r="R161" s="432"/>
      <c r="S161" s="432"/>
      <c r="T161" s="432"/>
      <c r="U161" s="432"/>
      <c r="V161" s="432"/>
      <c r="W161" s="432"/>
      <c r="X161" s="432">
        <v>0</v>
      </c>
      <c r="Y161"/>
      <c r="Z161" s="211">
        <f t="shared" si="63"/>
        <v>460341</v>
      </c>
    </row>
    <row r="162" spans="1:26" s="180" customFormat="1" ht="12.75" customHeight="1" hidden="1">
      <c r="A162" s="418"/>
      <c r="B162" s="429"/>
      <c r="C162" s="420">
        <f t="shared" si="66"/>
        <v>264007</v>
      </c>
      <c r="D162" s="420">
        <f t="shared" si="66"/>
        <v>163352</v>
      </c>
      <c r="E162" s="432"/>
      <c r="F162" s="432"/>
      <c r="G162" s="432"/>
      <c r="H162" s="432"/>
      <c r="I162" s="432"/>
      <c r="J162" s="432"/>
      <c r="K162" s="432"/>
      <c r="L162" s="420">
        <f>L12+L18+L21+L27+L33+L39+L45+L51+L57+L63+L69+L75+L81+L87+L99+L105+L117+L123+L129+L135+L141+L147+L159</f>
        <v>78269</v>
      </c>
      <c r="M162" s="432"/>
      <c r="N162" s="432"/>
      <c r="O162" s="432"/>
      <c r="P162" s="433"/>
      <c r="Q162" s="433"/>
      <c r="R162" s="432"/>
      <c r="S162" s="432"/>
      <c r="T162" s="432"/>
      <c r="U162" s="432"/>
      <c r="V162" s="432"/>
      <c r="W162" s="432"/>
      <c r="X162" s="432"/>
      <c r="Y162"/>
      <c r="Z162" s="211">
        <f t="shared" si="63"/>
        <v>0</v>
      </c>
    </row>
    <row r="163" spans="1:26" s="180" customFormat="1" ht="12.75" customHeight="1" hidden="1">
      <c r="A163" s="418"/>
      <c r="B163" s="429"/>
      <c r="C163" s="420">
        <f aca="true" t="shared" si="67" ref="C163:D165">C16+C19+C25+C31+C37+C43+C49+C55+C61+C67+C73+C79+C85+C91+C103+C109+C121+C127+C133+C139+C145+C151+C160</f>
        <v>418326</v>
      </c>
      <c r="D163" s="420">
        <f t="shared" si="67"/>
        <v>266804</v>
      </c>
      <c r="E163" s="432">
        <v>28349</v>
      </c>
      <c r="F163" s="432"/>
      <c r="G163" s="432">
        <v>53839</v>
      </c>
      <c r="H163" s="432"/>
      <c r="I163" s="432"/>
      <c r="J163" s="432"/>
      <c r="K163" s="432"/>
      <c r="L163" s="420">
        <f>L16+L19+L25+L31+L37+L43+L49+L55+L61+L67+L73+L79+L85+L91+L103+L109+L121+L127+L133+L139+L145+L151+L160</f>
        <v>0</v>
      </c>
      <c r="M163" s="432"/>
      <c r="N163" s="432">
        <v>194928</v>
      </c>
      <c r="O163" s="432">
        <v>913969</v>
      </c>
      <c r="P163" s="433">
        <v>237285</v>
      </c>
      <c r="Q163" s="433">
        <v>482813</v>
      </c>
      <c r="R163" s="432"/>
      <c r="S163" s="432">
        <v>10200</v>
      </c>
      <c r="T163" s="432"/>
      <c r="U163" s="432">
        <v>4433</v>
      </c>
      <c r="V163" s="432">
        <v>1300</v>
      </c>
      <c r="W163" s="432">
        <v>46500</v>
      </c>
      <c r="X163" s="432">
        <v>1696500</v>
      </c>
      <c r="Y163"/>
      <c r="Z163" s="211">
        <f t="shared" si="63"/>
        <v>1696500</v>
      </c>
    </row>
    <row r="164" spans="1:26" s="180" customFormat="1" ht="12.75" customHeight="1" hidden="1">
      <c r="A164" s="418"/>
      <c r="B164" s="429"/>
      <c r="C164" s="420">
        <f t="shared" si="67"/>
        <v>420928</v>
      </c>
      <c r="D164" s="420">
        <f t="shared" si="67"/>
        <v>266804</v>
      </c>
      <c r="E164" s="432"/>
      <c r="F164" s="432"/>
      <c r="G164" s="432"/>
      <c r="H164" s="432"/>
      <c r="I164" s="432"/>
      <c r="J164" s="432"/>
      <c r="K164" s="432"/>
      <c r="L164" s="420">
        <f>L17+L20+L26+L32+L38+L44+L50+L56+L62+L68+L74+L80+L86+L92+L104+L110+L122+L128+L134+L140+L146+L152+L161</f>
        <v>104455</v>
      </c>
      <c r="M164" s="432"/>
      <c r="N164" s="432"/>
      <c r="O164" s="430">
        <f>O163-O157</f>
        <v>22393</v>
      </c>
      <c r="P164" s="431">
        <f aca="true" t="shared" si="68" ref="P164:X164">P163-P157</f>
        <v>242</v>
      </c>
      <c r="Q164" s="431">
        <f t="shared" si="68"/>
        <v>35460</v>
      </c>
      <c r="R164" s="430"/>
      <c r="S164" s="430">
        <f t="shared" si="68"/>
        <v>0</v>
      </c>
      <c r="T164" s="430"/>
      <c r="U164" s="430">
        <f t="shared" si="68"/>
        <v>-10000</v>
      </c>
      <c r="V164" s="430">
        <f t="shared" si="68"/>
        <v>1300</v>
      </c>
      <c r="W164" s="430">
        <f t="shared" si="68"/>
        <v>30700</v>
      </c>
      <c r="X164" s="430">
        <f t="shared" si="68"/>
        <v>80095</v>
      </c>
      <c r="Y164"/>
      <c r="Z164"/>
    </row>
    <row r="165" spans="1:26" s="180" customFormat="1" ht="12.75" customHeight="1" hidden="1">
      <c r="A165" s="418"/>
      <c r="B165" s="429"/>
      <c r="C165" s="420">
        <f t="shared" si="67"/>
        <v>434918</v>
      </c>
      <c r="D165" s="420">
        <f t="shared" si="67"/>
        <v>266804</v>
      </c>
      <c r="E165" s="432"/>
      <c r="F165" s="432"/>
      <c r="G165" s="432"/>
      <c r="H165" s="432"/>
      <c r="I165" s="432"/>
      <c r="J165" s="432"/>
      <c r="K165" s="432"/>
      <c r="L165" s="420">
        <f>L18+L21+L27+L33+L39+L45+L51+L57+L63+L69+L75+L81+L87+L93+L105+L111+L123+L129+L135+L141+L147+L153+L162</f>
        <v>109870</v>
      </c>
      <c r="M165" s="432"/>
      <c r="N165" s="432"/>
      <c r="O165" s="432"/>
      <c r="P165" s="433"/>
      <c r="Q165" s="433"/>
      <c r="R165" s="432"/>
      <c r="S165" s="432"/>
      <c r="T165" s="432"/>
      <c r="U165" s="432"/>
      <c r="V165" s="432"/>
      <c r="W165" s="432"/>
      <c r="X165" s="432"/>
      <c r="Y165"/>
      <c r="Z165"/>
    </row>
    <row r="166" spans="1:26" s="180" customFormat="1" ht="12.75">
      <c r="A166" s="418"/>
      <c r="B166" s="426" t="s">
        <v>385</v>
      </c>
      <c r="C166" s="420">
        <f aca="true" t="shared" si="69" ref="C166:X166">C6+C12+C18+C27+C33+C39+C45+C51+C57+C63+C69+C75+C81+C93+C99+C111+C117+C123+C129+C135+C141+C153</f>
        <v>115140</v>
      </c>
      <c r="D166" s="420">
        <f t="shared" si="69"/>
        <v>70835</v>
      </c>
      <c r="E166" s="420">
        <f t="shared" si="69"/>
        <v>29357</v>
      </c>
      <c r="F166" s="420">
        <f t="shared" si="69"/>
        <v>0</v>
      </c>
      <c r="G166" s="420">
        <f t="shared" si="69"/>
        <v>7476</v>
      </c>
      <c r="H166" s="420">
        <f t="shared" si="69"/>
        <v>304</v>
      </c>
      <c r="I166" s="420">
        <f t="shared" si="69"/>
        <v>46897</v>
      </c>
      <c r="J166" s="420">
        <f t="shared" si="69"/>
        <v>0</v>
      </c>
      <c r="K166" s="420">
        <f t="shared" si="69"/>
        <v>0</v>
      </c>
      <c r="L166" s="420">
        <f t="shared" si="69"/>
        <v>35799</v>
      </c>
      <c r="M166" s="420">
        <f t="shared" si="69"/>
        <v>0</v>
      </c>
      <c r="N166" s="420">
        <f t="shared" si="69"/>
        <v>234973</v>
      </c>
      <c r="O166" s="420">
        <f t="shared" si="69"/>
        <v>904382</v>
      </c>
      <c r="P166" s="421">
        <f t="shared" si="69"/>
        <v>240267</v>
      </c>
      <c r="Q166" s="421">
        <f t="shared" si="69"/>
        <v>487334</v>
      </c>
      <c r="R166" s="420">
        <f t="shared" si="69"/>
        <v>153423</v>
      </c>
      <c r="S166" s="420">
        <f t="shared" si="69"/>
        <v>10200</v>
      </c>
      <c r="T166" s="420"/>
      <c r="U166" s="420">
        <f t="shared" si="69"/>
        <v>4433</v>
      </c>
      <c r="V166" s="420">
        <f t="shared" si="69"/>
        <v>8087</v>
      </c>
      <c r="W166" s="420">
        <f t="shared" si="69"/>
        <v>7590</v>
      </c>
      <c r="X166" s="420">
        <f t="shared" si="69"/>
        <v>1662293</v>
      </c>
      <c r="Y166" s="427"/>
      <c r="Z166" s="428"/>
    </row>
    <row r="167" spans="1:26" s="436" customFormat="1" ht="15" customHeight="1">
      <c r="A167" s="418"/>
      <c r="B167" s="426" t="s">
        <v>386</v>
      </c>
      <c r="C167" s="420">
        <f aca="true" t="shared" si="70" ref="C167:X168">C7+C13+C22+C28+C34+C40+C46+C52+C58+C64+C70+C76+C82+C94+C100+C112+C118+C124+C130+C136+C142+C154</f>
        <v>117309</v>
      </c>
      <c r="D167" s="420">
        <f t="shared" si="70"/>
        <v>70835</v>
      </c>
      <c r="E167" s="420">
        <f t="shared" si="70"/>
        <v>34957</v>
      </c>
      <c r="F167" s="420">
        <f t="shared" si="70"/>
        <v>0</v>
      </c>
      <c r="G167" s="420">
        <f t="shared" si="70"/>
        <v>10391</v>
      </c>
      <c r="H167" s="420">
        <f t="shared" si="70"/>
        <v>304</v>
      </c>
      <c r="I167" s="420">
        <f t="shared" si="70"/>
        <v>47249</v>
      </c>
      <c r="J167" s="420">
        <f t="shared" si="70"/>
        <v>0</v>
      </c>
      <c r="K167" s="420">
        <f t="shared" si="70"/>
        <v>800</v>
      </c>
      <c r="L167" s="420">
        <f t="shared" si="70"/>
        <v>35799</v>
      </c>
      <c r="M167" s="420">
        <f t="shared" si="70"/>
        <v>0</v>
      </c>
      <c r="N167" s="420">
        <f t="shared" si="70"/>
        <v>246809</v>
      </c>
      <c r="O167" s="420">
        <f t="shared" si="70"/>
        <v>906337</v>
      </c>
      <c r="P167" s="421">
        <f t="shared" si="70"/>
        <v>240973</v>
      </c>
      <c r="Q167" s="421">
        <f t="shared" si="70"/>
        <v>501518</v>
      </c>
      <c r="R167" s="420">
        <f t="shared" si="70"/>
        <v>153423</v>
      </c>
      <c r="S167" s="420">
        <f t="shared" si="70"/>
        <v>10200</v>
      </c>
      <c r="T167" s="420"/>
      <c r="U167" s="420">
        <f t="shared" si="70"/>
        <v>4433</v>
      </c>
      <c r="V167" s="420">
        <f t="shared" si="70"/>
        <v>8652</v>
      </c>
      <c r="W167" s="420">
        <f t="shared" si="70"/>
        <v>7599</v>
      </c>
      <c r="X167" s="420">
        <f t="shared" si="70"/>
        <v>1679712</v>
      </c>
      <c r="Y167" s="434"/>
      <c r="Z167" s="435"/>
    </row>
    <row r="168" spans="1:24" ht="12.75" customHeight="1" hidden="1">
      <c r="A168" s="418"/>
      <c r="C168" s="420">
        <f t="shared" si="70"/>
        <v>120682</v>
      </c>
      <c r="D168" s="420">
        <f t="shared" si="70"/>
        <v>70835</v>
      </c>
      <c r="E168" s="420">
        <f t="shared" si="70"/>
        <v>35726</v>
      </c>
      <c r="F168" s="420">
        <f t="shared" si="70"/>
        <v>0</v>
      </c>
      <c r="G168" s="420">
        <f t="shared" si="70"/>
        <v>12856</v>
      </c>
      <c r="H168" s="420">
        <f t="shared" si="70"/>
        <v>304</v>
      </c>
      <c r="I168" s="420">
        <f t="shared" si="70"/>
        <v>48448</v>
      </c>
      <c r="J168" s="420">
        <f t="shared" si="70"/>
        <v>0</v>
      </c>
      <c r="K168" s="420">
        <f t="shared" si="70"/>
        <v>0</v>
      </c>
      <c r="L168" s="420">
        <f t="shared" si="70"/>
        <v>35799</v>
      </c>
      <c r="M168" s="420">
        <f t="shared" si="70"/>
        <v>0</v>
      </c>
      <c r="N168" s="420">
        <f t="shared" si="70"/>
        <v>253815</v>
      </c>
      <c r="O168" s="420">
        <f t="shared" si="70"/>
        <v>903861</v>
      </c>
      <c r="P168" s="421">
        <f t="shared" si="70"/>
        <v>241707</v>
      </c>
      <c r="Q168" s="421">
        <f t="shared" si="70"/>
        <v>511830</v>
      </c>
      <c r="R168" s="420">
        <f t="shared" si="70"/>
        <v>153423</v>
      </c>
      <c r="S168" s="420">
        <f t="shared" si="70"/>
        <v>8040</v>
      </c>
      <c r="T168" s="420"/>
      <c r="U168" s="420">
        <f t="shared" si="70"/>
        <v>4433</v>
      </c>
      <c r="V168" s="420">
        <f t="shared" si="70"/>
        <v>9058</v>
      </c>
      <c r="W168" s="420">
        <f t="shared" si="70"/>
        <v>7599</v>
      </c>
      <c r="X168" s="420">
        <f t="shared" si="70"/>
        <v>1686979</v>
      </c>
    </row>
    <row r="169" spans="1:24" ht="12.75" customHeight="1" hidden="1">
      <c r="A169" s="418"/>
      <c r="C169" s="420">
        <f aca="true" t="shared" si="71" ref="C169:X170">C10+C16+C25+C31+C37+C43+C49+C55+C61+C67+C73+C79+C85+C97+C103+C115+C121+C127+C133+C139+C145+C157</f>
        <v>254375</v>
      </c>
      <c r="D169" s="420">
        <f t="shared" si="71"/>
        <v>163352</v>
      </c>
      <c r="E169" s="420">
        <f t="shared" si="71"/>
        <v>57069</v>
      </c>
      <c r="F169" s="420">
        <f t="shared" si="71"/>
        <v>72400</v>
      </c>
      <c r="G169" s="420">
        <f t="shared" si="71"/>
        <v>19610</v>
      </c>
      <c r="H169" s="420">
        <f t="shared" si="71"/>
        <v>0</v>
      </c>
      <c r="I169" s="420">
        <f t="shared" si="71"/>
        <v>100470</v>
      </c>
      <c r="J169" s="420">
        <f t="shared" si="71"/>
        <v>0</v>
      </c>
      <c r="K169" s="420">
        <f t="shared" si="71"/>
        <v>0</v>
      </c>
      <c r="L169" s="420">
        <f t="shared" si="71"/>
        <v>0</v>
      </c>
      <c r="M169" s="420">
        <f t="shared" si="71"/>
        <v>0</v>
      </c>
      <c r="N169" s="420">
        <f t="shared" si="71"/>
        <v>503924</v>
      </c>
      <c r="O169" s="420">
        <f t="shared" si="71"/>
        <v>2083017</v>
      </c>
      <c r="P169" s="421">
        <f t="shared" si="71"/>
        <v>553613</v>
      </c>
      <c r="Q169" s="421">
        <f t="shared" si="71"/>
        <v>1039146</v>
      </c>
      <c r="R169" s="420">
        <f t="shared" si="71"/>
        <v>379281</v>
      </c>
      <c r="S169" s="420">
        <f t="shared" si="71"/>
        <v>27600</v>
      </c>
      <c r="T169" s="420"/>
      <c r="U169" s="420">
        <f t="shared" si="71"/>
        <v>33066</v>
      </c>
      <c r="V169" s="420">
        <f t="shared" si="71"/>
        <v>0</v>
      </c>
      <c r="W169" s="420">
        <f t="shared" si="71"/>
        <v>33900</v>
      </c>
      <c r="X169" s="420">
        <f t="shared" si="71"/>
        <v>3770342</v>
      </c>
    </row>
    <row r="170" spans="1:24" ht="0.75" customHeight="1">
      <c r="A170" s="418"/>
      <c r="C170" s="420">
        <f t="shared" si="71"/>
        <v>255823</v>
      </c>
      <c r="D170" s="420">
        <f t="shared" si="71"/>
        <v>163352</v>
      </c>
      <c r="E170" s="420">
        <f t="shared" si="71"/>
        <v>57288</v>
      </c>
      <c r="F170" s="420">
        <f t="shared" si="71"/>
        <v>0</v>
      </c>
      <c r="G170" s="420">
        <f t="shared" si="71"/>
        <v>26366</v>
      </c>
      <c r="H170" s="420">
        <f t="shared" si="71"/>
        <v>0</v>
      </c>
      <c r="I170" s="420">
        <f t="shared" si="71"/>
        <v>101580</v>
      </c>
      <c r="J170" s="420">
        <f t="shared" si="71"/>
        <v>0</v>
      </c>
      <c r="K170" s="420">
        <f t="shared" si="71"/>
        <v>0</v>
      </c>
      <c r="L170" s="420">
        <f t="shared" si="71"/>
        <v>76972</v>
      </c>
      <c r="M170" s="420">
        <f t="shared" si="71"/>
        <v>0</v>
      </c>
      <c r="N170" s="420">
        <f t="shared" si="71"/>
        <v>518029</v>
      </c>
      <c r="O170" s="420">
        <f t="shared" si="71"/>
        <v>2114421</v>
      </c>
      <c r="P170" s="421">
        <f t="shared" si="71"/>
        <v>559851</v>
      </c>
      <c r="Q170" s="421">
        <f t="shared" si="71"/>
        <v>1112829</v>
      </c>
      <c r="R170" s="420">
        <f t="shared" si="71"/>
        <v>379281</v>
      </c>
      <c r="S170" s="420">
        <f>S11+S17+S26+S32+S38+S44+S50+S56+S62+S68+S74+S80+S86+S98+S104+S116+S122+S128+S134+S140+S146+S158</f>
        <v>27600</v>
      </c>
      <c r="T170" s="420"/>
      <c r="U170" s="420">
        <f>U11+U17+U26+U32+U38+U44+U50+U56+U62+U68+U74+U80+U86+U98+U104+U116+U122+U128+U134+U140+U146+U158</f>
        <v>8866</v>
      </c>
      <c r="V170" s="420">
        <f>V11+V17+V26+V32+V38+V44+V50+V56+V62+V68+V74+V80+V86+V98+V104+V116+V122+V128+V134+V140+V146+V158</f>
        <v>6358</v>
      </c>
      <c r="W170" s="420">
        <f>W11+W17+W26+W32+W38+W44+W50+W56+W62+W68+W74+W80+W86+W98+W104+W116+W122+W128+W134+W140+W146+W158</f>
        <v>33900</v>
      </c>
      <c r="X170" s="420">
        <f>X11+X17+X26+X32+X38+X44+X50+X56+X62+X68+X74+X80+X86+X98+X104+X116+X122+X128+X134+X140+X146+X158</f>
        <v>3863825</v>
      </c>
    </row>
    <row r="171" spans="1:26" ht="12" customHeight="1">
      <c r="A171" s="418"/>
      <c r="B171" s="426" t="s">
        <v>387</v>
      </c>
      <c r="C171" s="420">
        <f aca="true" t="shared" si="72" ref="C171:Z171">C8+C14+C23+C29+C35+C41+C47+C53+C59+C65+C71+C77+C83+C95+C101+C113+C119+C125+C131+C137+C143+C155</f>
        <v>120682</v>
      </c>
      <c r="D171" s="420">
        <f t="shared" si="72"/>
        <v>70835</v>
      </c>
      <c r="E171" s="420">
        <f t="shared" si="72"/>
        <v>35726</v>
      </c>
      <c r="F171" s="420">
        <f t="shared" si="72"/>
        <v>0</v>
      </c>
      <c r="G171" s="420">
        <f t="shared" si="72"/>
        <v>12856</v>
      </c>
      <c r="H171" s="420">
        <f t="shared" si="72"/>
        <v>304</v>
      </c>
      <c r="I171" s="420">
        <f t="shared" si="72"/>
        <v>48448</v>
      </c>
      <c r="J171" s="420">
        <f t="shared" si="72"/>
        <v>0</v>
      </c>
      <c r="K171" s="420">
        <f t="shared" si="72"/>
        <v>0</v>
      </c>
      <c r="L171" s="420">
        <f t="shared" si="72"/>
        <v>35799</v>
      </c>
      <c r="M171" s="420">
        <f t="shared" si="72"/>
        <v>0</v>
      </c>
      <c r="N171" s="420">
        <f t="shared" si="72"/>
        <v>253815</v>
      </c>
      <c r="O171" s="420">
        <f t="shared" si="72"/>
        <v>903861</v>
      </c>
      <c r="P171" s="421">
        <f t="shared" si="72"/>
        <v>241707</v>
      </c>
      <c r="Q171" s="421">
        <f t="shared" si="72"/>
        <v>511830</v>
      </c>
      <c r="R171" s="420">
        <f t="shared" si="72"/>
        <v>153423</v>
      </c>
      <c r="S171" s="420">
        <f t="shared" si="72"/>
        <v>8040</v>
      </c>
      <c r="T171" s="420">
        <f t="shared" si="72"/>
        <v>451</v>
      </c>
      <c r="U171" s="420">
        <f t="shared" si="72"/>
        <v>4433</v>
      </c>
      <c r="V171" s="420">
        <f t="shared" si="72"/>
        <v>9058</v>
      </c>
      <c r="W171" s="420">
        <f t="shared" si="72"/>
        <v>7599</v>
      </c>
      <c r="X171" s="420">
        <f t="shared" si="72"/>
        <v>1686979</v>
      </c>
      <c r="Y171" s="420">
        <f t="shared" si="72"/>
        <v>0</v>
      </c>
      <c r="Z171" s="420">
        <f t="shared" si="72"/>
        <v>0</v>
      </c>
    </row>
    <row r="172" spans="1:24" ht="15" customHeight="1" hidden="1">
      <c r="A172" s="418"/>
      <c r="C172" s="420">
        <f aca="true" t="shared" si="73" ref="C172:C177">C9+C15+C24+C30+C36+C42+C48+C54+C60+C66+C72+C78+C84+C96+C102+C114+C120+C126+C132+C138+C144+C156</f>
        <v>119626</v>
      </c>
      <c r="D172" s="437">
        <f aca="true" t="shared" si="74" ref="D172:X172">D171-D167</f>
        <v>0</v>
      </c>
      <c r="E172" s="420">
        <f aca="true" t="shared" si="75" ref="E172:E177">E9+E15+E24+E30+E36+E42+E48+E54+E60+E66+E72+E78+E84+E96+E102+E114+E120+E126+E132+E138+E144+E156</f>
        <v>37140</v>
      </c>
      <c r="F172" s="437">
        <f t="shared" si="74"/>
        <v>0</v>
      </c>
      <c r="G172" s="437">
        <f t="shared" si="74"/>
        <v>2465</v>
      </c>
      <c r="H172" s="437">
        <f t="shared" si="74"/>
        <v>0</v>
      </c>
      <c r="I172" s="437">
        <f t="shared" si="74"/>
        <v>1199</v>
      </c>
      <c r="J172" s="437">
        <f t="shared" si="74"/>
        <v>0</v>
      </c>
      <c r="K172" s="437">
        <f t="shared" si="74"/>
        <v>-800</v>
      </c>
      <c r="L172" s="437">
        <f t="shared" si="74"/>
        <v>0</v>
      </c>
      <c r="M172" s="437">
        <f t="shared" si="74"/>
        <v>0</v>
      </c>
      <c r="N172" s="437">
        <f t="shared" si="74"/>
        <v>7006</v>
      </c>
      <c r="O172" s="420">
        <f aca="true" t="shared" si="76" ref="O172:P177">O9+O15+O24+O30+O36+O42+O48+O54+O60+O66+O72+O78+O84+O96+O102+O114+O120+O126+O132+O138+O144+O156</f>
        <v>895291</v>
      </c>
      <c r="P172" s="421">
        <f t="shared" si="76"/>
        <v>237574</v>
      </c>
      <c r="Q172" s="438">
        <f t="shared" si="74"/>
        <v>10312</v>
      </c>
      <c r="R172" s="437">
        <f t="shared" si="74"/>
        <v>0</v>
      </c>
      <c r="S172" s="437">
        <f t="shared" si="74"/>
        <v>-2160</v>
      </c>
      <c r="T172" s="437">
        <f t="shared" si="74"/>
        <v>451</v>
      </c>
      <c r="U172" s="437">
        <f t="shared" si="74"/>
        <v>0</v>
      </c>
      <c r="V172" s="437">
        <f t="shared" si="74"/>
        <v>406</v>
      </c>
      <c r="W172" s="437">
        <f t="shared" si="74"/>
        <v>0</v>
      </c>
      <c r="X172" s="437">
        <f t="shared" si="74"/>
        <v>7267</v>
      </c>
    </row>
    <row r="173" spans="1:24" ht="12.75" customHeight="1" hidden="1">
      <c r="A173" s="418"/>
      <c r="C173" s="420">
        <f t="shared" si="73"/>
        <v>254375</v>
      </c>
      <c r="D173" s="439"/>
      <c r="E173" s="420">
        <f t="shared" si="75"/>
        <v>57069</v>
      </c>
      <c r="F173" s="439"/>
      <c r="G173" s="439"/>
      <c r="H173" s="439"/>
      <c r="I173" s="439"/>
      <c r="J173" s="439"/>
      <c r="K173" s="439"/>
      <c r="L173" s="439"/>
      <c r="M173" s="439"/>
      <c r="N173" s="439"/>
      <c r="O173" s="420">
        <f t="shared" si="76"/>
        <v>2083017</v>
      </c>
      <c r="P173" s="421">
        <f t="shared" si="76"/>
        <v>553613</v>
      </c>
      <c r="Q173" s="440"/>
      <c r="R173" s="439"/>
      <c r="S173" s="439"/>
      <c r="T173" s="439"/>
      <c r="U173" s="439"/>
      <c r="V173" s="439"/>
      <c r="W173" s="439"/>
      <c r="X173" s="439"/>
    </row>
    <row r="174" spans="1:24" ht="15.75" customHeight="1" hidden="1">
      <c r="A174" s="418"/>
      <c r="C174" s="420">
        <f t="shared" si="73"/>
        <v>255823</v>
      </c>
      <c r="D174" s="439"/>
      <c r="E174" s="420">
        <f t="shared" si="75"/>
        <v>57288</v>
      </c>
      <c r="F174" s="439"/>
      <c r="G174" s="439"/>
      <c r="H174" s="439"/>
      <c r="I174" s="439"/>
      <c r="J174" s="439"/>
      <c r="K174" s="439"/>
      <c r="L174" s="439"/>
      <c r="M174" s="439"/>
      <c r="N174" s="439"/>
      <c r="O174" s="420">
        <f t="shared" si="76"/>
        <v>2114421</v>
      </c>
      <c r="P174" s="421">
        <f t="shared" si="76"/>
        <v>559851</v>
      </c>
      <c r="Q174" s="440">
        <v>9544</v>
      </c>
      <c r="R174" s="439"/>
      <c r="S174" s="439">
        <v>-2160</v>
      </c>
      <c r="T174" s="439">
        <v>451</v>
      </c>
      <c r="U174" s="439">
        <v>0</v>
      </c>
      <c r="V174" s="439">
        <v>406</v>
      </c>
      <c r="W174" s="439">
        <v>0</v>
      </c>
      <c r="X174" s="439">
        <f>SUM(O174:W174)</f>
        <v>2682513</v>
      </c>
    </row>
    <row r="175" spans="1:24" ht="12.75" customHeight="1" hidden="1">
      <c r="A175" s="418"/>
      <c r="C175" s="420">
        <f t="shared" si="73"/>
        <v>264007</v>
      </c>
      <c r="D175" s="439"/>
      <c r="E175" s="420">
        <f t="shared" si="75"/>
        <v>251987</v>
      </c>
      <c r="F175" s="439"/>
      <c r="G175" s="439"/>
      <c r="H175" s="439"/>
      <c r="I175" s="439"/>
      <c r="J175" s="439"/>
      <c r="K175" s="439"/>
      <c r="L175" s="439"/>
      <c r="M175" s="439"/>
      <c r="N175" s="439"/>
      <c r="O175" s="420">
        <f t="shared" si="76"/>
        <v>9353433</v>
      </c>
      <c r="P175" s="421">
        <f t="shared" si="76"/>
        <v>2483748</v>
      </c>
      <c r="Q175" s="438">
        <v>768</v>
      </c>
      <c r="R175" s="439"/>
      <c r="S175" s="439"/>
      <c r="T175" s="439"/>
      <c r="U175" s="439"/>
      <c r="V175" s="439"/>
      <c r="W175" s="439"/>
      <c r="X175" s="439"/>
    </row>
    <row r="176" spans="1:24" s="407" customFormat="1" ht="12.75" customHeight="1" hidden="1">
      <c r="A176" s="418"/>
      <c r="C176" s="420">
        <f t="shared" si="73"/>
        <v>404666</v>
      </c>
      <c r="D176" s="439"/>
      <c r="E176" s="420">
        <f t="shared" si="75"/>
        <v>31320</v>
      </c>
      <c r="F176" s="439"/>
      <c r="G176" s="439"/>
      <c r="H176" s="439"/>
      <c r="I176" s="439"/>
      <c r="J176" s="439"/>
      <c r="K176" s="439"/>
      <c r="L176" s="439"/>
      <c r="M176" s="439"/>
      <c r="N176" s="439"/>
      <c r="O176" s="420">
        <f t="shared" si="76"/>
        <v>1201563</v>
      </c>
      <c r="P176" s="421">
        <f t="shared" si="76"/>
        <v>318512</v>
      </c>
      <c r="Q176" s="437">
        <f aca="true" t="shared" si="77" ref="Q176:W176">Q174+Q175</f>
        <v>10312</v>
      </c>
      <c r="R176" s="437">
        <f t="shared" si="77"/>
        <v>0</v>
      </c>
      <c r="S176" s="437">
        <f t="shared" si="77"/>
        <v>-2160</v>
      </c>
      <c r="T176" s="437">
        <f t="shared" si="77"/>
        <v>451</v>
      </c>
      <c r="U176" s="437">
        <f t="shared" si="77"/>
        <v>0</v>
      </c>
      <c r="V176" s="437">
        <f t="shared" si="77"/>
        <v>406</v>
      </c>
      <c r="W176" s="437">
        <f t="shared" si="77"/>
        <v>0</v>
      </c>
      <c r="X176" s="437">
        <f>SUM(O176:W176)</f>
        <v>1529084</v>
      </c>
    </row>
    <row r="177" spans="1:24" ht="12.75" customHeight="1" hidden="1">
      <c r="A177" s="418"/>
      <c r="C177" s="420">
        <f t="shared" si="73"/>
        <v>408673</v>
      </c>
      <c r="D177" s="439"/>
      <c r="E177" s="420">
        <f t="shared" si="75"/>
        <v>31813</v>
      </c>
      <c r="F177" s="439"/>
      <c r="G177" s="439"/>
      <c r="H177" s="439"/>
      <c r="I177" s="439"/>
      <c r="J177" s="439"/>
      <c r="K177" s="439"/>
      <c r="L177" s="439"/>
      <c r="M177" s="439"/>
      <c r="N177" s="439"/>
      <c r="O177" s="420">
        <f t="shared" si="76"/>
        <v>1197986</v>
      </c>
      <c r="P177" s="421">
        <f t="shared" si="76"/>
        <v>319082</v>
      </c>
      <c r="Q177" s="437">
        <f aca="true" t="shared" si="78" ref="Q177:X177">Q174-Q172</f>
        <v>-768</v>
      </c>
      <c r="R177" s="437">
        <f t="shared" si="78"/>
        <v>0</v>
      </c>
      <c r="S177" s="437">
        <f t="shared" si="78"/>
        <v>0</v>
      </c>
      <c r="T177" s="437">
        <f t="shared" si="78"/>
        <v>0</v>
      </c>
      <c r="U177" s="437">
        <f t="shared" si="78"/>
        <v>0</v>
      </c>
      <c r="V177" s="437">
        <f t="shared" si="78"/>
        <v>0</v>
      </c>
      <c r="W177" s="437">
        <f t="shared" si="78"/>
        <v>0</v>
      </c>
      <c r="X177" s="437">
        <f t="shared" si="78"/>
        <v>2675246</v>
      </c>
    </row>
    <row r="178" spans="1:24" ht="12.75" customHeight="1">
      <c r="A178" s="418"/>
      <c r="B178" s="404" t="s">
        <v>388</v>
      </c>
      <c r="C178" s="420">
        <f>SUM(C9+C15+C24+C30+C36+C42+C48+C54+C60+C90+C108+C114+C120+C150+C156)</f>
        <v>119626</v>
      </c>
      <c r="D178" s="420">
        <f aca="true" t="shared" si="79" ref="D178:M178">SUM(D9+D15+D24+D30+D36+D42+D48+D54+D60+D90+D108+D114+D120+D150+D156)</f>
        <v>69399</v>
      </c>
      <c r="E178" s="420">
        <f t="shared" si="79"/>
        <v>37140</v>
      </c>
      <c r="F178" s="420">
        <f t="shared" si="79"/>
        <v>0</v>
      </c>
      <c r="G178" s="420">
        <f t="shared" si="79"/>
        <v>12355</v>
      </c>
      <c r="H178" s="420">
        <f t="shared" si="79"/>
        <v>304</v>
      </c>
      <c r="I178" s="420">
        <f t="shared" si="79"/>
        <v>36782</v>
      </c>
      <c r="J178" s="420">
        <f t="shared" si="79"/>
        <v>0</v>
      </c>
      <c r="K178" s="420">
        <f t="shared" si="79"/>
        <v>0</v>
      </c>
      <c r="L178" s="420">
        <f t="shared" si="79"/>
        <v>35799</v>
      </c>
      <c r="M178" s="420">
        <f t="shared" si="79"/>
        <v>8105</v>
      </c>
      <c r="N178" s="420">
        <v>250111</v>
      </c>
      <c r="O178" s="420">
        <f aca="true" t="shared" si="80" ref="O178:X178">SUM(O9+O15+O24+O30+O36+O42+O48+O54+O60+O66+O72+O78+O84+O96+O102+O114+O120+O126+O132+O138+O144+O156)</f>
        <v>895291</v>
      </c>
      <c r="P178" s="420">
        <f t="shared" si="80"/>
        <v>237574</v>
      </c>
      <c r="Q178" s="420">
        <f t="shared" si="80"/>
        <v>466044</v>
      </c>
      <c r="R178" s="420">
        <f t="shared" si="80"/>
        <v>151331</v>
      </c>
      <c r="S178" s="420">
        <f t="shared" si="80"/>
        <v>8040</v>
      </c>
      <c r="T178" s="420">
        <f t="shared" si="80"/>
        <v>451</v>
      </c>
      <c r="U178" s="420">
        <f t="shared" si="80"/>
        <v>4433</v>
      </c>
      <c r="V178" s="420">
        <f t="shared" si="80"/>
        <v>7815</v>
      </c>
      <c r="W178" s="420">
        <f t="shared" si="80"/>
        <v>7590</v>
      </c>
      <c r="X178" s="420">
        <f t="shared" si="80"/>
        <v>1627238</v>
      </c>
    </row>
  </sheetData>
  <sheetProtection selectLockedCells="1" selectUnlockedCells="1"/>
  <mergeCells count="41">
    <mergeCell ref="C1:N1"/>
    <mergeCell ref="O1:X1"/>
    <mergeCell ref="A2:B3"/>
    <mergeCell ref="C2:C3"/>
    <mergeCell ref="D2:D3"/>
    <mergeCell ref="E2:E3"/>
    <mergeCell ref="F2:F3"/>
    <mergeCell ref="G2:H2"/>
    <mergeCell ref="I2:J2"/>
    <mergeCell ref="K2:K3"/>
    <mergeCell ref="L2:M2"/>
    <mergeCell ref="N2:N3"/>
    <mergeCell ref="O2:S2"/>
    <mergeCell ref="V2:W2"/>
    <mergeCell ref="X2:X3"/>
    <mergeCell ref="A4:A9"/>
    <mergeCell ref="A10:A15"/>
    <mergeCell ref="A16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A97:A102"/>
    <mergeCell ref="A103:A108"/>
    <mergeCell ref="A109:A114"/>
    <mergeCell ref="A115:A120"/>
    <mergeCell ref="A121:A126"/>
    <mergeCell ref="A127:A132"/>
    <mergeCell ref="A133:A138"/>
    <mergeCell ref="A139:A144"/>
    <mergeCell ref="A145:A150"/>
    <mergeCell ref="A151:A156"/>
    <mergeCell ref="A157:A178"/>
  </mergeCells>
  <printOptions horizontalCentered="1"/>
  <pageMargins left="0.2361111111111111" right="0.19652777777777777" top="0.6298611111111111" bottom="0.19652777777777777" header="0.39375" footer="0.5118055555555555"/>
  <pageSetup horizontalDpi="300" verticalDpi="300" orientation="landscape" paperSize="9"/>
  <headerFooter alignWithMargins="0">
    <oddHeader>&amp;L6. melléklet a 15/2012.(IV.27.) önkormányzati rendelethez</oddHeader>
  </headerFooter>
  <rowBreaks count="3" manualBreakCount="3">
    <brk id="42" max="255" man="1"/>
    <brk id="78" max="255" man="1"/>
    <brk id="114" max="255" man="1"/>
  </rowBreaks>
  <colBreaks count="2" manualBreakCount="2">
    <brk id="14" max="65535" man="1"/>
    <brk id="2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zoomScaleSheetLayoutView="100" workbookViewId="0" topLeftCell="A19">
      <selection activeCell="A48" sqref="A48"/>
    </sheetView>
  </sheetViews>
  <sheetFormatPr defaultColWidth="9.00390625" defaultRowHeight="12.75"/>
  <cols>
    <col min="1" max="1" width="87.875" style="441" customWidth="1"/>
    <col min="2" max="2" width="13.75390625" style="442" customWidth="1"/>
    <col min="3" max="3" width="13.75390625" style="441" customWidth="1"/>
    <col min="4" max="4" width="13.125" style="441" customWidth="1"/>
    <col min="5" max="5" width="13.875" style="441" customWidth="1"/>
    <col min="6" max="6" width="13.875" style="443" customWidth="1"/>
    <col min="7" max="16384" width="9.125" style="441" customWidth="1"/>
  </cols>
  <sheetData>
    <row r="1" spans="1:2" ht="12.75">
      <c r="A1" s="444"/>
      <c r="B1" s="445"/>
    </row>
    <row r="2" spans="1:2" ht="12.75">
      <c r="A2" s="444"/>
      <c r="B2" s="445"/>
    </row>
    <row r="3" spans="1:6" ht="15.75" customHeight="1">
      <c r="A3" s="446" t="s">
        <v>389</v>
      </c>
      <c r="B3" s="446"/>
      <c r="C3" s="446"/>
      <c r="D3" s="446"/>
      <c r="E3" s="446"/>
      <c r="F3" s="446"/>
    </row>
    <row r="4" spans="1:6" ht="15.75" customHeight="1">
      <c r="A4" s="447" t="s">
        <v>390</v>
      </c>
      <c r="B4" s="447"/>
      <c r="C4" s="447"/>
      <c r="D4" s="447"/>
      <c r="E4" s="447"/>
      <c r="F4" s="447"/>
    </row>
    <row r="6" spans="1:6" s="453" customFormat="1" ht="13.5">
      <c r="A6" s="448" t="s">
        <v>3</v>
      </c>
      <c r="B6" s="449" t="s">
        <v>4</v>
      </c>
      <c r="C6" s="450" t="s">
        <v>391</v>
      </c>
      <c r="D6" s="451" t="s">
        <v>5</v>
      </c>
      <c r="E6" s="450" t="s">
        <v>392</v>
      </c>
      <c r="F6" s="452" t="s">
        <v>6</v>
      </c>
    </row>
    <row r="7" spans="1:6" ht="12.75">
      <c r="A7" s="454"/>
      <c r="B7" s="455"/>
      <c r="C7" s="455"/>
      <c r="D7" s="456"/>
      <c r="E7" s="457"/>
      <c r="F7" s="458"/>
    </row>
    <row r="8" spans="1:6" ht="12.75">
      <c r="A8" s="459" t="s">
        <v>11</v>
      </c>
      <c r="B8" s="460">
        <f>SUM(B40,B10,B14,B21)</f>
        <v>99646</v>
      </c>
      <c r="C8" s="460">
        <f>SUM(C40,C10,C14,C21)</f>
        <v>66331</v>
      </c>
      <c r="D8" s="461">
        <f>SUM(D10,D14,D21,D40)</f>
        <v>94116</v>
      </c>
      <c r="E8" s="460">
        <f>SUM(E10,E14,E21,E40)</f>
        <v>0</v>
      </c>
      <c r="F8" s="462">
        <f>SUM(F10,F14,F21,F40)</f>
        <v>55321</v>
      </c>
    </row>
    <row r="9" spans="1:6" ht="12.75">
      <c r="A9" s="454"/>
      <c r="B9" s="455"/>
      <c r="C9" s="455"/>
      <c r="D9" s="456"/>
      <c r="E9" s="457"/>
      <c r="F9" s="458"/>
    </row>
    <row r="10" spans="1:6" ht="13.5">
      <c r="A10" s="463" t="s">
        <v>393</v>
      </c>
      <c r="B10" s="464">
        <f>SUM(B11:B12)</f>
        <v>14055</v>
      </c>
      <c r="C10" s="464">
        <f>SUM(C11:C12)</f>
        <v>0</v>
      </c>
      <c r="D10" s="465">
        <f>SUM(D11:D12)</f>
        <v>14055</v>
      </c>
      <c r="E10" s="464">
        <f>SUM(E11:E12)</f>
        <v>0</v>
      </c>
      <c r="F10" s="466">
        <f>SUM(F11:F12)</f>
        <v>14092</v>
      </c>
    </row>
    <row r="11" spans="1:6" ht="25.5">
      <c r="A11" s="467" t="s">
        <v>394</v>
      </c>
      <c r="B11" s="455">
        <v>11855</v>
      </c>
      <c r="C11" s="455"/>
      <c r="D11" s="456">
        <v>11855</v>
      </c>
      <c r="E11" s="455"/>
      <c r="F11" s="458">
        <f>11856-1</f>
        <v>11855</v>
      </c>
    </row>
    <row r="12" spans="1:6" ht="12.75">
      <c r="A12" s="454" t="s">
        <v>395</v>
      </c>
      <c r="B12" s="455">
        <v>2200</v>
      </c>
      <c r="C12" s="455"/>
      <c r="D12" s="456">
        <v>2200</v>
      </c>
      <c r="E12" s="455"/>
      <c r="F12" s="458">
        <f>1984+253</f>
        <v>2237</v>
      </c>
    </row>
    <row r="13" spans="1:6" ht="12.75">
      <c r="A13" s="454"/>
      <c r="B13" s="455"/>
      <c r="C13" s="455"/>
      <c r="D13" s="456"/>
      <c r="E13" s="455"/>
      <c r="F13" s="458"/>
    </row>
    <row r="14" spans="1:6" ht="13.5">
      <c r="A14" s="463" t="s">
        <v>396</v>
      </c>
      <c r="B14" s="464">
        <f>SUM(B15:B19)</f>
        <v>37841</v>
      </c>
      <c r="C14" s="464">
        <f>SUM(C15:C19)</f>
        <v>20581</v>
      </c>
      <c r="D14" s="465">
        <f>SUM(D15:D19)</f>
        <v>37841</v>
      </c>
      <c r="E14" s="464">
        <f>SUM(E15:E19)</f>
        <v>0</v>
      </c>
      <c r="F14" s="466">
        <f>SUM(F15:F19)</f>
        <v>20443</v>
      </c>
    </row>
    <row r="15" spans="1:6" ht="12.75">
      <c r="A15" s="454" t="s">
        <v>397</v>
      </c>
      <c r="B15" s="455">
        <v>3500</v>
      </c>
      <c r="C15" s="455"/>
      <c r="D15" s="456">
        <v>3500</v>
      </c>
      <c r="E15" s="455"/>
      <c r="F15" s="458">
        <v>3400</v>
      </c>
    </row>
    <row r="16" spans="1:6" ht="12.75">
      <c r="A16" s="454" t="s">
        <v>398</v>
      </c>
      <c r="B16" s="455">
        <v>7000</v>
      </c>
      <c r="C16" s="455">
        <v>7000</v>
      </c>
      <c r="D16" s="456">
        <v>7000</v>
      </c>
      <c r="E16" s="455"/>
      <c r="F16" s="458">
        <v>223</v>
      </c>
    </row>
    <row r="17" spans="1:6" ht="12.75">
      <c r="A17" s="454" t="s">
        <v>399</v>
      </c>
      <c r="B17" s="455">
        <v>3581</v>
      </c>
      <c r="C17" s="455">
        <v>3581</v>
      </c>
      <c r="D17" s="456">
        <v>3581</v>
      </c>
      <c r="E17" s="455"/>
      <c r="F17" s="458"/>
    </row>
    <row r="18" spans="1:6" ht="12.75">
      <c r="A18" s="454" t="s">
        <v>400</v>
      </c>
      <c r="B18" s="455">
        <v>13760</v>
      </c>
      <c r="C18" s="455"/>
      <c r="D18" s="456">
        <v>13760</v>
      </c>
      <c r="E18" s="455"/>
      <c r="F18" s="458">
        <f>10543+196-1</f>
        <v>10738</v>
      </c>
    </row>
    <row r="19" spans="1:6" ht="12.75">
      <c r="A19" s="454" t="s">
        <v>401</v>
      </c>
      <c r="B19" s="455">
        <v>10000</v>
      </c>
      <c r="C19" s="455">
        <v>10000</v>
      </c>
      <c r="D19" s="456">
        <v>10000</v>
      </c>
      <c r="E19" s="455"/>
      <c r="F19" s="458">
        <v>6082</v>
      </c>
    </row>
    <row r="20" spans="1:6" ht="12.75">
      <c r="A20" s="467"/>
      <c r="B20" s="455"/>
      <c r="C20" s="455"/>
      <c r="D20" s="456"/>
      <c r="E20" s="455"/>
      <c r="F20" s="458"/>
    </row>
    <row r="21" spans="1:6" ht="13.5">
      <c r="A21" s="463" t="s">
        <v>402</v>
      </c>
      <c r="B21" s="464">
        <f>SUM(B22:B23)</f>
        <v>14500</v>
      </c>
      <c r="C21" s="464">
        <f>SUM(C22:C23)</f>
        <v>12500</v>
      </c>
      <c r="D21" s="465">
        <f>SUM(D22:D38)</f>
        <v>38168</v>
      </c>
      <c r="E21" s="464">
        <f>SUM(E22:E38)</f>
        <v>0</v>
      </c>
      <c r="F21" s="466">
        <f>SUM(F22:F38)</f>
        <v>18734</v>
      </c>
    </row>
    <row r="22" spans="1:6" ht="12.75">
      <c r="A22" s="454" t="s">
        <v>403</v>
      </c>
      <c r="B22" s="455">
        <v>12000</v>
      </c>
      <c r="C22" s="455">
        <v>10000</v>
      </c>
      <c r="D22" s="456">
        <f>2000+20</f>
        <v>2020</v>
      </c>
      <c r="E22" s="455"/>
      <c r="F22" s="458">
        <f>1280+5+61+28+47+13+216+208+79+83</f>
        <v>2020</v>
      </c>
    </row>
    <row r="23" spans="1:6" ht="12.75">
      <c r="A23" s="454" t="s">
        <v>404</v>
      </c>
      <c r="B23" s="455">
        <v>2500</v>
      </c>
      <c r="C23" s="455">
        <v>2500</v>
      </c>
      <c r="D23" s="456">
        <v>0</v>
      </c>
      <c r="E23" s="455"/>
      <c r="F23" s="458"/>
    </row>
    <row r="24" spans="1:6" ht="25.5">
      <c r="A24" s="468" t="s">
        <v>405</v>
      </c>
      <c r="B24" s="455"/>
      <c r="C24" s="455"/>
      <c r="D24" s="456">
        <v>10000</v>
      </c>
      <c r="E24" s="455"/>
      <c r="F24" s="458"/>
    </row>
    <row r="25" spans="1:6" ht="12.75">
      <c r="A25" s="468" t="s">
        <v>406</v>
      </c>
      <c r="B25" s="455"/>
      <c r="C25" s="455"/>
      <c r="D25" s="456">
        <v>8000</v>
      </c>
      <c r="E25" s="455"/>
      <c r="F25" s="458"/>
    </row>
    <row r="26" spans="1:6" ht="12.75">
      <c r="A26" s="468" t="s">
        <v>407</v>
      </c>
      <c r="B26" s="455"/>
      <c r="C26" s="455"/>
      <c r="D26" s="456">
        <v>2975</v>
      </c>
      <c r="E26" s="455"/>
      <c r="F26" s="458">
        <v>2975</v>
      </c>
    </row>
    <row r="27" spans="1:6" ht="12.75">
      <c r="A27" s="468" t="s">
        <v>408</v>
      </c>
      <c r="B27" s="455"/>
      <c r="C27" s="455"/>
      <c r="D27" s="456">
        <v>3275</v>
      </c>
      <c r="E27" s="455"/>
      <c r="F27" s="458">
        <v>3161</v>
      </c>
    </row>
    <row r="28" spans="1:6" ht="12.75">
      <c r="A28" s="468" t="s">
        <v>409</v>
      </c>
      <c r="B28" s="455"/>
      <c r="C28" s="455"/>
      <c r="D28" s="456">
        <v>250</v>
      </c>
      <c r="E28" s="455"/>
      <c r="F28" s="458">
        <v>250</v>
      </c>
    </row>
    <row r="29" spans="1:6" ht="12.75">
      <c r="A29" s="469" t="s">
        <v>410</v>
      </c>
      <c r="B29" s="455"/>
      <c r="C29" s="455"/>
      <c r="D29" s="470">
        <v>0</v>
      </c>
      <c r="E29" s="455"/>
      <c r="F29" s="458"/>
    </row>
    <row r="30" spans="1:6" ht="25.5">
      <c r="A30" s="469" t="s">
        <v>411</v>
      </c>
      <c r="B30" s="455"/>
      <c r="C30" s="455"/>
      <c r="D30" s="470">
        <v>1650</v>
      </c>
      <c r="E30" s="455"/>
      <c r="F30" s="458">
        <v>1650</v>
      </c>
    </row>
    <row r="31" spans="1:6" ht="12.75">
      <c r="A31" s="469" t="s">
        <v>412</v>
      </c>
      <c r="B31" s="455"/>
      <c r="C31" s="455"/>
      <c r="D31" s="470">
        <v>650</v>
      </c>
      <c r="E31" s="455"/>
      <c r="F31" s="458">
        <v>650</v>
      </c>
    </row>
    <row r="32" spans="1:6" ht="12.75">
      <c r="A32" s="469" t="s">
        <v>413</v>
      </c>
      <c r="B32" s="455"/>
      <c r="C32" s="455"/>
      <c r="D32" s="470">
        <v>738</v>
      </c>
      <c r="E32" s="455"/>
      <c r="F32" s="458">
        <v>444</v>
      </c>
    </row>
    <row r="33" spans="1:6" ht="12.75">
      <c r="A33" s="469" t="s">
        <v>414</v>
      </c>
      <c r="B33" s="455"/>
      <c r="C33" s="455"/>
      <c r="D33" s="470">
        <v>2396</v>
      </c>
      <c r="E33" s="455"/>
      <c r="F33" s="458">
        <v>2396</v>
      </c>
    </row>
    <row r="34" spans="1:6" ht="25.5">
      <c r="A34" s="469" t="s">
        <v>415</v>
      </c>
      <c r="B34" s="455"/>
      <c r="C34" s="455"/>
      <c r="D34" s="470">
        <f>1000-20</f>
        <v>980</v>
      </c>
      <c r="E34" s="455"/>
      <c r="F34" s="458"/>
    </row>
    <row r="35" spans="1:6" ht="12.75">
      <c r="A35" s="469" t="s">
        <v>416</v>
      </c>
      <c r="B35" s="455"/>
      <c r="C35" s="455"/>
      <c r="D35" s="470">
        <v>583</v>
      </c>
      <c r="E35" s="455"/>
      <c r="F35" s="458">
        <v>583</v>
      </c>
    </row>
    <row r="36" spans="1:6" ht="12.75">
      <c r="A36" s="469" t="s">
        <v>417</v>
      </c>
      <c r="B36" s="455"/>
      <c r="C36" s="455"/>
      <c r="D36" s="470">
        <v>483</v>
      </c>
      <c r="E36" s="455"/>
      <c r="F36" s="458">
        <f>438-1</f>
        <v>437</v>
      </c>
    </row>
    <row r="37" spans="1:6" ht="12.75">
      <c r="A37" s="469" t="s">
        <v>418</v>
      </c>
      <c r="B37" s="455"/>
      <c r="C37" s="455"/>
      <c r="D37" s="470">
        <v>2854</v>
      </c>
      <c r="E37" s="455"/>
      <c r="F37" s="458">
        <v>2854</v>
      </c>
    </row>
    <row r="38" spans="1:6" ht="12.75">
      <c r="A38" s="469" t="s">
        <v>419</v>
      </c>
      <c r="B38" s="455"/>
      <c r="C38" s="455"/>
      <c r="D38" s="470">
        <v>1314</v>
      </c>
      <c r="E38" s="455"/>
      <c r="F38" s="458">
        <v>1314</v>
      </c>
    </row>
    <row r="39" spans="1:6" ht="12.75">
      <c r="A39" s="454"/>
      <c r="B39" s="455"/>
      <c r="C39" s="455"/>
      <c r="D39" s="456"/>
      <c r="E39" s="455"/>
      <c r="F39" s="458"/>
    </row>
    <row r="40" spans="1:6" ht="13.5">
      <c r="A40" s="471" t="s">
        <v>420</v>
      </c>
      <c r="B40" s="472">
        <f>SUM(B41:B45)</f>
        <v>33250</v>
      </c>
      <c r="C40" s="472">
        <f>SUM(C41:C45)</f>
        <v>33250</v>
      </c>
      <c r="D40" s="473">
        <f>SUM(D41:D46)</f>
        <v>4052</v>
      </c>
      <c r="E40" s="472">
        <f>SUM(E41:E46)</f>
        <v>0</v>
      </c>
      <c r="F40" s="474">
        <f>SUM(F41:F46)</f>
        <v>2052</v>
      </c>
    </row>
    <row r="41" spans="1:6" ht="12.75">
      <c r="A41" s="454" t="s">
        <v>421</v>
      </c>
      <c r="B41" s="455">
        <v>1000</v>
      </c>
      <c r="C41" s="455">
        <v>1000</v>
      </c>
      <c r="D41" s="456">
        <v>1000</v>
      </c>
      <c r="E41" s="455"/>
      <c r="F41" s="458"/>
    </row>
    <row r="42" spans="1:6" ht="12.75">
      <c r="A42" s="454" t="s">
        <v>422</v>
      </c>
      <c r="B42" s="455">
        <v>1000</v>
      </c>
      <c r="C42" s="455">
        <v>1000</v>
      </c>
      <c r="D42" s="456">
        <v>1000</v>
      </c>
      <c r="E42" s="455"/>
      <c r="F42" s="458"/>
    </row>
    <row r="43" spans="1:6" ht="12.75">
      <c r="A43" s="454" t="s">
        <v>423</v>
      </c>
      <c r="B43" s="455">
        <v>5000</v>
      </c>
      <c r="C43" s="455">
        <v>5000</v>
      </c>
      <c r="D43" s="456">
        <v>0</v>
      </c>
      <c r="E43" s="455"/>
      <c r="F43" s="458"/>
    </row>
    <row r="44" spans="1:6" ht="12.75">
      <c r="A44" s="454" t="s">
        <v>424</v>
      </c>
      <c r="B44" s="455">
        <v>20000</v>
      </c>
      <c r="C44" s="455">
        <v>20000</v>
      </c>
      <c r="D44" s="456">
        <v>0</v>
      </c>
      <c r="E44" s="455"/>
      <c r="F44" s="458"/>
    </row>
    <row r="45" spans="1:6" ht="12.75">
      <c r="A45" s="454" t="s">
        <v>425</v>
      </c>
      <c r="B45" s="455">
        <v>6250</v>
      </c>
      <c r="C45" s="455">
        <v>6250</v>
      </c>
      <c r="D45" s="456">
        <v>0</v>
      </c>
      <c r="E45" s="455"/>
      <c r="F45" s="458"/>
    </row>
    <row r="46" spans="1:7" ht="13.5">
      <c r="A46" s="475" t="s">
        <v>403</v>
      </c>
      <c r="B46" s="476"/>
      <c r="C46" s="476"/>
      <c r="D46" s="477">
        <v>2052</v>
      </c>
      <c r="E46" s="476"/>
      <c r="F46" s="478">
        <f>922+570+282+278</f>
        <v>2052</v>
      </c>
      <c r="G46" s="442"/>
    </row>
    <row r="47" spans="1:7" ht="13.5">
      <c r="A47" s="479"/>
      <c r="B47" s="480"/>
      <c r="C47" s="480"/>
      <c r="D47" s="481"/>
      <c r="E47" s="480"/>
      <c r="F47" s="482"/>
      <c r="G47" s="442"/>
    </row>
    <row r="48" spans="1:6" ht="12.75">
      <c r="A48" s="459" t="s">
        <v>14</v>
      </c>
      <c r="B48" s="460">
        <f>SUM(B49)</f>
        <v>2350</v>
      </c>
      <c r="C48" s="460">
        <f>SUM(C49)</f>
        <v>0</v>
      </c>
      <c r="D48" s="461">
        <f>SUM(D49)</f>
        <v>6571</v>
      </c>
      <c r="E48" s="460">
        <f>SUM(E49)</f>
        <v>0</v>
      </c>
      <c r="F48" s="462">
        <f>SUM(F49)</f>
        <v>0</v>
      </c>
    </row>
    <row r="49" spans="1:6" ht="25.5">
      <c r="A49" s="467" t="s">
        <v>426</v>
      </c>
      <c r="B49" s="455">
        <v>2350</v>
      </c>
      <c r="C49" s="455"/>
      <c r="D49" s="456">
        <v>6571</v>
      </c>
      <c r="E49" s="455"/>
      <c r="F49" s="458"/>
    </row>
    <row r="50" spans="1:6" ht="12.75">
      <c r="A50" s="454"/>
      <c r="B50" s="455"/>
      <c r="C50" s="455"/>
      <c r="D50" s="456"/>
      <c r="E50" s="455"/>
      <c r="F50" s="458"/>
    </row>
    <row r="51" spans="1:6" s="483" customFormat="1" ht="12.75">
      <c r="A51" s="459" t="s">
        <v>12</v>
      </c>
      <c r="B51" s="460">
        <f>SUM(B52:B55)</f>
        <v>15800</v>
      </c>
      <c r="C51" s="460">
        <f>SUM(C52:C55)</f>
        <v>15800</v>
      </c>
      <c r="D51" s="461">
        <f>SUM(D52:D57)</f>
        <v>7599</v>
      </c>
      <c r="E51" s="460">
        <f>SUM(E52:E57)</f>
        <v>0</v>
      </c>
      <c r="F51" s="462">
        <f>SUM(F52:F57)</f>
        <v>7590</v>
      </c>
    </row>
    <row r="52" spans="1:6" ht="12.75">
      <c r="A52" s="454" t="s">
        <v>427</v>
      </c>
      <c r="B52" s="455">
        <v>4500</v>
      </c>
      <c r="C52" s="455">
        <v>4500</v>
      </c>
      <c r="D52" s="456">
        <v>0</v>
      </c>
      <c r="E52" s="455"/>
      <c r="F52" s="458"/>
    </row>
    <row r="53" spans="1:6" ht="12.75">
      <c r="A53" s="454" t="s">
        <v>428</v>
      </c>
      <c r="B53" s="455">
        <v>5000</v>
      </c>
      <c r="C53" s="455">
        <v>5000</v>
      </c>
      <c r="D53" s="456">
        <v>0</v>
      </c>
      <c r="E53" s="455"/>
      <c r="F53" s="458"/>
    </row>
    <row r="54" spans="1:6" ht="12.75">
      <c r="A54" s="467" t="s">
        <v>429</v>
      </c>
      <c r="B54" s="455">
        <v>2300</v>
      </c>
      <c r="C54" s="455">
        <v>2300</v>
      </c>
      <c r="D54" s="456">
        <v>0</v>
      </c>
      <c r="E54" s="455"/>
      <c r="F54" s="458"/>
    </row>
    <row r="55" spans="1:6" ht="12.75">
      <c r="A55" s="454" t="s">
        <v>430</v>
      </c>
      <c r="B55" s="455">
        <v>4000</v>
      </c>
      <c r="C55" s="455">
        <v>4000</v>
      </c>
      <c r="D55" s="456">
        <v>0</v>
      </c>
      <c r="E55" s="455"/>
      <c r="F55" s="458"/>
    </row>
    <row r="56" spans="1:6" ht="12.75">
      <c r="A56" s="454" t="s">
        <v>431</v>
      </c>
      <c r="B56" s="455"/>
      <c r="C56" s="455"/>
      <c r="D56" s="456">
        <v>1199</v>
      </c>
      <c r="E56" s="455"/>
      <c r="F56" s="458">
        <v>1199</v>
      </c>
    </row>
    <row r="57" spans="1:6" ht="12.75">
      <c r="A57" s="454" t="s">
        <v>432</v>
      </c>
      <c r="B57" s="455"/>
      <c r="C57" s="455"/>
      <c r="D57" s="456">
        <v>6400</v>
      </c>
      <c r="E57" s="455"/>
      <c r="F57" s="458">
        <v>6391</v>
      </c>
    </row>
    <row r="58" spans="1:6" ht="12.75">
      <c r="A58" s="454"/>
      <c r="B58" s="455"/>
      <c r="C58" s="455"/>
      <c r="D58" s="456"/>
      <c r="E58" s="455"/>
      <c r="F58" s="458"/>
    </row>
    <row r="59" spans="1:6" s="488" customFormat="1" ht="13.5">
      <c r="A59" s="484" t="s">
        <v>433</v>
      </c>
      <c r="B59" s="485">
        <f>SUM(B8,B48,B51)</f>
        <v>117796</v>
      </c>
      <c r="C59" s="485">
        <f>SUM(C8,C48,C51)</f>
        <v>82131</v>
      </c>
      <c r="D59" s="486">
        <f>SUM(D8,D48,D51)</f>
        <v>108286</v>
      </c>
      <c r="E59" s="485">
        <f>SUM(E8,E48,E51)</f>
        <v>0</v>
      </c>
      <c r="F59" s="487">
        <f>SUM(F8,F48,F51)</f>
        <v>62911</v>
      </c>
    </row>
  </sheetData>
  <sheetProtection selectLockedCells="1" selectUnlockedCells="1"/>
  <mergeCells count="2">
    <mergeCell ref="A3:F3"/>
    <mergeCell ref="A4:F4"/>
  </mergeCells>
  <printOptions horizontalCentered="1"/>
  <pageMargins left="0.4722222222222222" right="0.2361111111111111" top="0.66875" bottom="0.43333333333333335" header="0.4722222222222222" footer="0.5118055555555555"/>
  <pageSetup horizontalDpi="300" verticalDpi="300" orientation="landscape" paperSize="9" scale="79"/>
  <headerFooter alignWithMargins="0">
    <oddHeader>&amp;L&amp;8 7. melléklet a 15/2012.(IV.27.)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9"/>
  <sheetViews>
    <sheetView zoomScaleSheetLayoutView="100" workbookViewId="0" topLeftCell="A1">
      <selection activeCell="A5" sqref="A5"/>
    </sheetView>
  </sheetViews>
  <sheetFormatPr defaultColWidth="9.00390625" defaultRowHeight="12.75"/>
  <cols>
    <col min="1" max="1" width="84.625" style="441" customWidth="1"/>
    <col min="2" max="2" width="13.75390625" style="442" customWidth="1"/>
    <col min="3" max="3" width="13.75390625" style="441" customWidth="1"/>
    <col min="4" max="4" width="12.00390625" style="441" customWidth="1"/>
    <col min="5" max="5" width="13.625" style="441" customWidth="1"/>
    <col min="6" max="6" width="13.625" style="443" customWidth="1"/>
    <col min="7" max="16384" width="9.125" style="441" customWidth="1"/>
  </cols>
  <sheetData>
    <row r="1" spans="1:6" ht="15.75">
      <c r="A1" s="446" t="s">
        <v>434</v>
      </c>
      <c r="B1" s="446"/>
      <c r="C1" s="446"/>
      <c r="D1" s="446"/>
      <c r="E1" s="446"/>
      <c r="F1" s="446"/>
    </row>
    <row r="2" spans="1:6" ht="15.75">
      <c r="A2" s="447" t="s">
        <v>435</v>
      </c>
      <c r="B2" s="447"/>
      <c r="C2" s="447"/>
      <c r="D2" s="447"/>
      <c r="E2" s="447"/>
      <c r="F2" s="447"/>
    </row>
    <row r="4" spans="1:6" s="483" customFormat="1" ht="13.5">
      <c r="A4" s="448" t="s">
        <v>3</v>
      </c>
      <c r="B4" s="449" t="s">
        <v>4</v>
      </c>
      <c r="C4" s="450" t="s">
        <v>391</v>
      </c>
      <c r="D4" s="489" t="s">
        <v>5</v>
      </c>
      <c r="E4" s="489" t="s">
        <v>392</v>
      </c>
      <c r="F4" s="490" t="s">
        <v>6</v>
      </c>
    </row>
    <row r="5" spans="1:6" ht="12.75">
      <c r="A5" s="454"/>
      <c r="B5" s="455"/>
      <c r="C5" s="457"/>
      <c r="D5" s="457"/>
      <c r="E5" s="457"/>
      <c r="F5" s="458"/>
    </row>
    <row r="6" spans="1:6" ht="12.75">
      <c r="A6" s="459" t="s">
        <v>11</v>
      </c>
      <c r="B6" s="460">
        <f>SUM(B8,B14,B31,B74)</f>
        <v>2517144</v>
      </c>
      <c r="C6" s="460">
        <f>SUM(C14,C8,C31,C74)</f>
        <v>2125655</v>
      </c>
      <c r="D6" s="460">
        <f>SUM(D8,D14,D31,D74)</f>
        <v>891692</v>
      </c>
      <c r="E6" s="460">
        <f>SUM(E8,E14,E31,E74)</f>
        <v>0</v>
      </c>
      <c r="F6" s="462">
        <f>SUM(F8,F14,F31,F74)</f>
        <v>558485</v>
      </c>
    </row>
    <row r="7" spans="1:6" ht="12.75">
      <c r="A7" s="454"/>
      <c r="B7" s="455"/>
      <c r="C7" s="455"/>
      <c r="D7" s="457"/>
      <c r="E7" s="457"/>
      <c r="F7" s="458"/>
    </row>
    <row r="8" spans="1:6" ht="13.5">
      <c r="A8" s="463" t="s">
        <v>393</v>
      </c>
      <c r="B8" s="464">
        <f>SUM(B9:B12)</f>
        <v>11081</v>
      </c>
      <c r="C8" s="464">
        <f>SUM(C9:C12)</f>
        <v>0</v>
      </c>
      <c r="D8" s="464">
        <f>SUM(D9:D12)</f>
        <v>9550</v>
      </c>
      <c r="E8" s="464">
        <f>SUM(E9:E12)</f>
        <v>0</v>
      </c>
      <c r="F8" s="466">
        <f>SUM(F9:F12)</f>
        <v>9500</v>
      </c>
    </row>
    <row r="9" spans="1:6" ht="12.75">
      <c r="A9" s="454" t="s">
        <v>436</v>
      </c>
      <c r="B9" s="455">
        <v>4431</v>
      </c>
      <c r="C9" s="455"/>
      <c r="D9" s="455">
        <v>3900</v>
      </c>
      <c r="E9" s="455"/>
      <c r="F9" s="458">
        <v>3900</v>
      </c>
    </row>
    <row r="10" spans="1:6" ht="12.75">
      <c r="A10" s="454" t="s">
        <v>437</v>
      </c>
      <c r="B10" s="455">
        <v>100</v>
      </c>
      <c r="C10" s="455"/>
      <c r="D10" s="455">
        <v>100</v>
      </c>
      <c r="E10" s="455"/>
      <c r="F10" s="458">
        <v>50</v>
      </c>
    </row>
    <row r="11" spans="1:6" ht="12.75">
      <c r="A11" s="454" t="s">
        <v>438</v>
      </c>
      <c r="B11" s="455">
        <v>2500</v>
      </c>
      <c r="C11" s="455"/>
      <c r="D11" s="455">
        <v>1500</v>
      </c>
      <c r="E11" s="455"/>
      <c r="F11" s="458">
        <v>1500</v>
      </c>
    </row>
    <row r="12" spans="1:6" ht="12.75">
      <c r="A12" s="454" t="s">
        <v>439</v>
      </c>
      <c r="B12" s="455">
        <v>4050</v>
      </c>
      <c r="C12" s="455"/>
      <c r="D12" s="455">
        <v>4050</v>
      </c>
      <c r="E12" s="455"/>
      <c r="F12" s="458">
        <v>4050</v>
      </c>
    </row>
    <row r="13" spans="1:6" ht="12.75">
      <c r="A13" s="454"/>
      <c r="B13" s="455"/>
      <c r="C13" s="455"/>
      <c r="D13" s="455"/>
      <c r="E13" s="455"/>
      <c r="F13" s="458"/>
    </row>
    <row r="14" spans="1:6" s="491" customFormat="1" ht="13.5">
      <c r="A14" s="463" t="s">
        <v>396</v>
      </c>
      <c r="B14" s="464">
        <f>SUM(B15:B27)</f>
        <v>2428563</v>
      </c>
      <c r="C14" s="464">
        <f>SUM(C15:C27)</f>
        <v>2098855</v>
      </c>
      <c r="D14" s="464">
        <f>SUM(D15:D29)</f>
        <v>530054</v>
      </c>
      <c r="E14" s="464">
        <f>SUM(E15:E29)</f>
        <v>0</v>
      </c>
      <c r="F14" s="466">
        <f>SUM(F15:F29)</f>
        <v>345691</v>
      </c>
    </row>
    <row r="15" spans="1:6" ht="12.75">
      <c r="A15" s="454" t="s">
        <v>440</v>
      </c>
      <c r="B15" s="455">
        <v>20000</v>
      </c>
      <c r="C15" s="455"/>
      <c r="D15" s="455">
        <v>20000</v>
      </c>
      <c r="E15" s="455"/>
      <c r="F15" s="458">
        <f>19000+1000</f>
        <v>20000</v>
      </c>
    </row>
    <row r="16" spans="1:6" ht="12.75">
      <c r="A16" s="454" t="s">
        <v>441</v>
      </c>
      <c r="B16" s="455">
        <v>718000</v>
      </c>
      <c r="C16" s="455">
        <v>714669</v>
      </c>
      <c r="D16" s="455">
        <v>178268</v>
      </c>
      <c r="E16" s="455"/>
      <c r="F16" s="458">
        <v>3521</v>
      </c>
    </row>
    <row r="17" spans="1:6" ht="12.75">
      <c r="A17" s="454" t="s">
        <v>442</v>
      </c>
      <c r="B17" s="455">
        <v>1250000</v>
      </c>
      <c r="C17" s="455">
        <v>1248631</v>
      </c>
      <c r="D17" s="455">
        <v>1369</v>
      </c>
      <c r="E17" s="455"/>
      <c r="F17" s="458">
        <v>1369</v>
      </c>
    </row>
    <row r="18" spans="1:6" ht="12.75">
      <c r="A18" s="454" t="s">
        <v>443</v>
      </c>
      <c r="B18" s="455">
        <v>10500</v>
      </c>
      <c r="C18" s="455"/>
      <c r="D18" s="455">
        <v>10500</v>
      </c>
      <c r="E18" s="455"/>
      <c r="F18" s="458">
        <v>10348</v>
      </c>
    </row>
    <row r="19" spans="1:6" ht="12.75">
      <c r="A19" s="454" t="s">
        <v>444</v>
      </c>
      <c r="B19" s="455">
        <v>80000</v>
      </c>
      <c r="C19" s="455"/>
      <c r="D19" s="455">
        <v>65000</v>
      </c>
      <c r="E19" s="455"/>
      <c r="F19" s="458">
        <f>64706+223</f>
        <v>64929</v>
      </c>
    </row>
    <row r="20" spans="1:6" ht="12.75">
      <c r="A20" s="454" t="s">
        <v>445</v>
      </c>
      <c r="B20" s="455">
        <v>146343</v>
      </c>
      <c r="C20" s="455"/>
      <c r="D20" s="455">
        <f>143534-47500</f>
        <v>96034</v>
      </c>
      <c r="E20" s="455"/>
      <c r="F20" s="458">
        <f>8231+87653-9238-1</f>
        <v>86645</v>
      </c>
    </row>
    <row r="21" spans="1:6" ht="13.5" customHeight="1">
      <c r="A21" s="467" t="s">
        <v>446</v>
      </c>
      <c r="B21" s="455">
        <v>59352</v>
      </c>
      <c r="C21" s="455"/>
      <c r="D21" s="455">
        <f>58386-10035</f>
        <v>48351</v>
      </c>
      <c r="E21" s="455"/>
      <c r="F21" s="458">
        <f>58386-10035-1</f>
        <v>48350</v>
      </c>
    </row>
    <row r="22" spans="1:6" ht="13.5" customHeight="1">
      <c r="A22" s="467" t="s">
        <v>447</v>
      </c>
      <c r="B22" s="455">
        <v>130000</v>
      </c>
      <c r="C22" s="455">
        <v>130000</v>
      </c>
      <c r="D22" s="455">
        <v>0</v>
      </c>
      <c r="E22" s="455"/>
      <c r="F22" s="458">
        <v>0</v>
      </c>
    </row>
    <row r="23" spans="1:6" ht="12.75">
      <c r="A23" s="454" t="s">
        <v>448</v>
      </c>
      <c r="B23" s="455">
        <v>1240</v>
      </c>
      <c r="C23" s="455">
        <v>1240</v>
      </c>
      <c r="D23" s="455">
        <v>1240</v>
      </c>
      <c r="E23" s="455"/>
      <c r="F23" s="458">
        <f>1238-1</f>
        <v>1237</v>
      </c>
    </row>
    <row r="24" spans="1:6" ht="12.75">
      <c r="A24" s="454" t="s">
        <v>449</v>
      </c>
      <c r="B24" s="455">
        <v>450</v>
      </c>
      <c r="C24" s="455">
        <v>450</v>
      </c>
      <c r="D24" s="455">
        <v>0</v>
      </c>
      <c r="E24" s="455"/>
      <c r="F24" s="458"/>
    </row>
    <row r="25" spans="1:6" ht="12.75">
      <c r="A25" s="454" t="s">
        <v>450</v>
      </c>
      <c r="B25" s="455">
        <v>3000</v>
      </c>
      <c r="C25" s="455"/>
      <c r="D25" s="455">
        <v>3000</v>
      </c>
      <c r="E25" s="455"/>
      <c r="F25" s="458">
        <v>3000</v>
      </c>
    </row>
    <row r="26" spans="1:6" ht="12.75">
      <c r="A26" s="454" t="s">
        <v>451</v>
      </c>
      <c r="B26" s="455">
        <v>3865</v>
      </c>
      <c r="C26" s="455">
        <v>3865</v>
      </c>
      <c r="D26" s="455">
        <v>3865</v>
      </c>
      <c r="E26" s="455"/>
      <c r="F26" s="458">
        <v>3865</v>
      </c>
    </row>
    <row r="27" spans="1:6" ht="12.75">
      <c r="A27" s="454" t="s">
        <v>452</v>
      </c>
      <c r="B27" s="455">
        <v>5813</v>
      </c>
      <c r="C27" s="455"/>
      <c r="D27" s="455">
        <v>5813</v>
      </c>
      <c r="E27" s="455"/>
      <c r="F27" s="458">
        <v>5813</v>
      </c>
    </row>
    <row r="28" spans="1:6" ht="12.75">
      <c r="A28" s="454" t="s">
        <v>453</v>
      </c>
      <c r="B28" s="455"/>
      <c r="C28" s="455"/>
      <c r="D28" s="455">
        <v>46933</v>
      </c>
      <c r="E28" s="455"/>
      <c r="F28" s="458">
        <v>46933</v>
      </c>
    </row>
    <row r="29" spans="1:6" ht="12.75">
      <c r="A29" s="454" t="s">
        <v>454</v>
      </c>
      <c r="B29" s="455"/>
      <c r="C29" s="455"/>
      <c r="D29" s="455">
        <v>49681</v>
      </c>
      <c r="E29" s="455"/>
      <c r="F29" s="458">
        <v>49681</v>
      </c>
    </row>
    <row r="30" spans="1:6" ht="12.75">
      <c r="A30" s="454"/>
      <c r="B30" s="455"/>
      <c r="C30" s="455"/>
      <c r="D30" s="455"/>
      <c r="E30" s="455"/>
      <c r="F30" s="458"/>
    </row>
    <row r="31" spans="1:6" ht="13.5">
      <c r="A31" s="463" t="s">
        <v>402</v>
      </c>
      <c r="B31" s="464">
        <f>SUM(B32:B33)</f>
        <v>20950</v>
      </c>
      <c r="C31" s="464">
        <f>SUM(C32:C33)</f>
        <v>0</v>
      </c>
      <c r="D31" s="464">
        <f>SUM(D32:D72)</f>
        <v>288471</v>
      </c>
      <c r="E31" s="464">
        <f>SUM(E32:E72)</f>
        <v>0</v>
      </c>
      <c r="F31" s="466">
        <f>SUM(F32:F72)</f>
        <v>147022</v>
      </c>
    </row>
    <row r="32" spans="1:6" ht="12.75">
      <c r="A32" s="454" t="s">
        <v>455</v>
      </c>
      <c r="B32" s="455">
        <v>5000</v>
      </c>
      <c r="C32" s="455"/>
      <c r="D32" s="455">
        <v>0</v>
      </c>
      <c r="E32" s="455"/>
      <c r="F32" s="458"/>
    </row>
    <row r="33" spans="1:6" ht="12.75">
      <c r="A33" s="454" t="s">
        <v>456</v>
      </c>
      <c r="B33" s="455">
        <f>20000-4050</f>
        <v>15950</v>
      </c>
      <c r="C33" s="455"/>
      <c r="D33" s="455">
        <v>15950</v>
      </c>
      <c r="E33" s="455"/>
      <c r="F33" s="458">
        <f>798+370+275+263-1</f>
        <v>1705</v>
      </c>
    </row>
    <row r="34" spans="1:6" ht="12.75">
      <c r="A34" s="454" t="s">
        <v>457</v>
      </c>
      <c r="B34" s="455"/>
      <c r="C34" s="455"/>
      <c r="D34" s="455">
        <v>39927</v>
      </c>
      <c r="E34" s="455"/>
      <c r="F34" s="458">
        <f>4231+5023+40+144+713+450+1875+70</f>
        <v>12546</v>
      </c>
    </row>
    <row r="35" spans="1:6" ht="12.75">
      <c r="A35" s="454" t="s">
        <v>458</v>
      </c>
      <c r="B35" s="455"/>
      <c r="C35" s="455"/>
      <c r="D35" s="455">
        <v>1100</v>
      </c>
      <c r="E35" s="455"/>
      <c r="F35" s="458">
        <v>945</v>
      </c>
    </row>
    <row r="36" spans="1:6" ht="12.75">
      <c r="A36" s="454" t="s">
        <v>459</v>
      </c>
      <c r="B36" s="455"/>
      <c r="C36" s="455"/>
      <c r="D36" s="455">
        <v>3750</v>
      </c>
      <c r="E36" s="455"/>
      <c r="F36" s="458">
        <f>3218+100</f>
        <v>3318</v>
      </c>
    </row>
    <row r="37" spans="1:6" ht="12.75">
      <c r="A37" s="454" t="s">
        <v>460</v>
      </c>
      <c r="B37" s="455"/>
      <c r="C37" s="455"/>
      <c r="D37" s="455">
        <v>8350</v>
      </c>
      <c r="E37" s="455"/>
      <c r="F37" s="458">
        <v>1325</v>
      </c>
    </row>
    <row r="38" spans="1:6" ht="12.75">
      <c r="A38" s="454" t="s">
        <v>461</v>
      </c>
      <c r="B38" s="455"/>
      <c r="C38" s="455"/>
      <c r="D38" s="455">
        <v>1580</v>
      </c>
      <c r="E38" s="455"/>
      <c r="F38" s="458">
        <v>1580</v>
      </c>
    </row>
    <row r="39" spans="1:6" ht="12.75">
      <c r="A39" s="454" t="s">
        <v>462</v>
      </c>
      <c r="B39" s="455"/>
      <c r="C39" s="455"/>
      <c r="D39" s="455">
        <v>5000</v>
      </c>
      <c r="E39" s="455"/>
      <c r="F39" s="458">
        <f>88+4024-1</f>
        <v>4111</v>
      </c>
    </row>
    <row r="40" spans="1:6" ht="25.5">
      <c r="A40" s="467" t="s">
        <v>463</v>
      </c>
      <c r="B40" s="455"/>
      <c r="C40" s="455"/>
      <c r="D40" s="455">
        <v>811</v>
      </c>
      <c r="E40" s="455"/>
      <c r="F40" s="458">
        <v>810</v>
      </c>
    </row>
    <row r="41" spans="1:6" ht="12.75">
      <c r="A41" s="492" t="s">
        <v>464</v>
      </c>
      <c r="B41" s="455"/>
      <c r="C41" s="455"/>
      <c r="D41" s="455">
        <v>65</v>
      </c>
      <c r="E41" s="455"/>
      <c r="F41" s="458">
        <v>65</v>
      </c>
    </row>
    <row r="42" spans="1:6" s="496" customFormat="1" ht="25.5">
      <c r="A42" s="493" t="s">
        <v>465</v>
      </c>
      <c r="B42" s="494"/>
      <c r="C42" s="494"/>
      <c r="D42" s="494">
        <v>2529</v>
      </c>
      <c r="E42" s="494"/>
      <c r="F42" s="495">
        <v>2529</v>
      </c>
    </row>
    <row r="43" spans="1:6" ht="12.75">
      <c r="A43" s="454" t="s">
        <v>416</v>
      </c>
      <c r="B43" s="455"/>
      <c r="C43" s="455"/>
      <c r="D43" s="455">
        <f>15000-583</f>
        <v>14417</v>
      </c>
      <c r="E43" s="455"/>
      <c r="F43" s="458">
        <f>195+550+12243-1</f>
        <v>12987</v>
      </c>
    </row>
    <row r="44" spans="1:6" ht="25.5">
      <c r="A44" s="469" t="s">
        <v>466</v>
      </c>
      <c r="B44" s="455"/>
      <c r="C44" s="455"/>
      <c r="D44" s="455">
        <v>4875</v>
      </c>
      <c r="E44" s="455"/>
      <c r="F44" s="458">
        <v>938</v>
      </c>
    </row>
    <row r="45" spans="1:6" ht="12.75">
      <c r="A45" s="469" t="s">
        <v>467</v>
      </c>
      <c r="B45" s="455"/>
      <c r="C45" s="455"/>
      <c r="D45" s="455">
        <v>3742</v>
      </c>
      <c r="E45" s="455"/>
      <c r="F45" s="458"/>
    </row>
    <row r="46" spans="1:6" ht="12.75">
      <c r="A46" s="469" t="s">
        <v>468</v>
      </c>
      <c r="B46" s="455"/>
      <c r="C46" s="455"/>
      <c r="D46" s="455">
        <v>18046</v>
      </c>
      <c r="E46" s="455"/>
      <c r="F46" s="458"/>
    </row>
    <row r="47" spans="1:6" ht="12.75">
      <c r="A47" s="469" t="s">
        <v>469</v>
      </c>
      <c r="B47" s="455"/>
      <c r="C47" s="455"/>
      <c r="D47" s="455">
        <v>24000</v>
      </c>
      <c r="E47" s="455"/>
      <c r="F47" s="458"/>
    </row>
    <row r="48" spans="1:6" ht="12.75">
      <c r="A48" s="469" t="s">
        <v>470</v>
      </c>
      <c r="B48" s="455"/>
      <c r="C48" s="455"/>
      <c r="D48" s="455">
        <v>63</v>
      </c>
      <c r="E48" s="455"/>
      <c r="F48" s="458"/>
    </row>
    <row r="49" spans="1:6" ht="12.75">
      <c r="A49" s="469" t="s">
        <v>471</v>
      </c>
      <c r="B49" s="455"/>
      <c r="C49" s="455"/>
      <c r="D49" s="455">
        <v>330</v>
      </c>
      <c r="E49" s="455"/>
      <c r="F49" s="458">
        <v>329</v>
      </c>
    </row>
    <row r="50" spans="1:6" ht="27" customHeight="1">
      <c r="A50" s="469" t="s">
        <v>472</v>
      </c>
      <c r="B50" s="455"/>
      <c r="C50" s="455"/>
      <c r="D50" s="455">
        <v>200</v>
      </c>
      <c r="E50" s="455"/>
      <c r="F50" s="458">
        <v>75</v>
      </c>
    </row>
    <row r="51" spans="1:6" ht="14.25" customHeight="1">
      <c r="A51" s="497" t="s">
        <v>473</v>
      </c>
      <c r="B51" s="476"/>
      <c r="C51" s="476"/>
      <c r="D51" s="476">
        <v>10000</v>
      </c>
      <c r="E51" s="476"/>
      <c r="F51" s="478"/>
    </row>
    <row r="52" spans="1:10" ht="14.25" customHeight="1">
      <c r="A52" s="498"/>
      <c r="B52" s="499"/>
      <c r="C52" s="499"/>
      <c r="D52" s="499"/>
      <c r="E52" s="499"/>
      <c r="F52" s="500"/>
      <c r="G52" s="501"/>
      <c r="H52" s="501"/>
      <c r="I52" s="501"/>
      <c r="J52" s="501"/>
    </row>
    <row r="53" spans="1:6" ht="14.25" customHeight="1">
      <c r="A53" s="469" t="s">
        <v>474</v>
      </c>
      <c r="B53" s="455"/>
      <c r="C53" s="455"/>
      <c r="D53" s="455">
        <v>22900</v>
      </c>
      <c r="E53" s="455"/>
      <c r="F53" s="458"/>
    </row>
    <row r="54" spans="1:6" ht="14.25" customHeight="1">
      <c r="A54" s="469" t="s">
        <v>475</v>
      </c>
      <c r="B54" s="455"/>
      <c r="C54" s="455"/>
      <c r="D54" s="455">
        <v>12600</v>
      </c>
      <c r="E54" s="455"/>
      <c r="F54" s="458">
        <v>10000</v>
      </c>
    </row>
    <row r="55" spans="1:6" ht="14.25" customHeight="1">
      <c r="A55" s="469" t="s">
        <v>476</v>
      </c>
      <c r="B55" s="455"/>
      <c r="C55" s="455"/>
      <c r="D55" s="455">
        <v>450</v>
      </c>
      <c r="E55" s="455"/>
      <c r="F55" s="458">
        <v>447</v>
      </c>
    </row>
    <row r="56" spans="1:6" ht="14.25" customHeight="1">
      <c r="A56" s="469" t="s">
        <v>477</v>
      </c>
      <c r="B56" s="455"/>
      <c r="C56" s="455"/>
      <c r="D56" s="455">
        <v>2100</v>
      </c>
      <c r="E56" s="455"/>
      <c r="F56" s="458"/>
    </row>
    <row r="57" spans="1:6" ht="14.25" customHeight="1">
      <c r="A57" s="469" t="s">
        <v>478</v>
      </c>
      <c r="B57" s="455"/>
      <c r="C57" s="455"/>
      <c r="D57" s="455">
        <v>15000</v>
      </c>
      <c r="E57" s="455"/>
      <c r="F57" s="458">
        <v>15000</v>
      </c>
    </row>
    <row r="58" spans="1:6" ht="14.25" customHeight="1">
      <c r="A58" s="469" t="s">
        <v>479</v>
      </c>
      <c r="B58" s="455"/>
      <c r="C58" s="455"/>
      <c r="D58" s="455">
        <v>1000</v>
      </c>
      <c r="E58" s="455"/>
      <c r="F58" s="458">
        <f>7+12+388+100</f>
        <v>507</v>
      </c>
    </row>
    <row r="59" spans="1:6" ht="12.75">
      <c r="A59" s="469" t="s">
        <v>480</v>
      </c>
      <c r="B59" s="455"/>
      <c r="C59" s="455"/>
      <c r="D59" s="455">
        <v>25</v>
      </c>
      <c r="E59" s="455"/>
      <c r="F59" s="458">
        <v>25</v>
      </c>
    </row>
    <row r="60" spans="1:6" ht="12.75">
      <c r="A60" s="469" t="s">
        <v>481</v>
      </c>
      <c r="B60" s="455"/>
      <c r="C60" s="455"/>
      <c r="D60" s="455">
        <v>2604</v>
      </c>
      <c r="E60" s="455"/>
      <c r="F60" s="458">
        <v>2604</v>
      </c>
    </row>
    <row r="61" spans="1:6" ht="12.75">
      <c r="A61" s="469" t="s">
        <v>482</v>
      </c>
      <c r="B61" s="455"/>
      <c r="C61" s="455"/>
      <c r="D61" s="455">
        <v>8760</v>
      </c>
      <c r="E61" s="455"/>
      <c r="F61" s="458">
        <v>8760</v>
      </c>
    </row>
    <row r="62" spans="1:6" s="496" customFormat="1" ht="12.75">
      <c r="A62" s="493" t="s">
        <v>483</v>
      </c>
      <c r="B62" s="494"/>
      <c r="C62" s="494"/>
      <c r="D62" s="494">
        <v>61569</v>
      </c>
      <c r="E62" s="494"/>
      <c r="F62" s="495">
        <v>59688</v>
      </c>
    </row>
    <row r="63" spans="1:6" ht="12.75">
      <c r="A63" s="469" t="s">
        <v>484</v>
      </c>
      <c r="B63" s="455"/>
      <c r="C63" s="455"/>
      <c r="D63" s="455">
        <v>56</v>
      </c>
      <c r="E63" s="455"/>
      <c r="F63" s="458">
        <v>56</v>
      </c>
    </row>
    <row r="64" spans="1:6" ht="12.75">
      <c r="A64" s="469" t="s">
        <v>485</v>
      </c>
      <c r="B64" s="455"/>
      <c r="C64" s="455"/>
      <c r="D64" s="455">
        <v>369</v>
      </c>
      <c r="E64" s="455"/>
      <c r="F64" s="458">
        <v>369</v>
      </c>
    </row>
    <row r="65" spans="1:6" ht="12.75">
      <c r="A65" s="469" t="s">
        <v>486</v>
      </c>
      <c r="B65" s="455"/>
      <c r="C65" s="455"/>
      <c r="D65" s="455">
        <v>127</v>
      </c>
      <c r="E65" s="455"/>
      <c r="F65" s="458">
        <v>127</v>
      </c>
    </row>
    <row r="66" spans="1:6" ht="12.75">
      <c r="A66" s="469" t="s">
        <v>487</v>
      </c>
      <c r="B66" s="455"/>
      <c r="C66" s="455"/>
      <c r="D66" s="455">
        <v>1213</v>
      </c>
      <c r="E66" s="455"/>
      <c r="F66" s="458">
        <v>1213</v>
      </c>
    </row>
    <row r="67" spans="1:6" s="496" customFormat="1" ht="12.75">
      <c r="A67" s="502" t="s">
        <v>488</v>
      </c>
      <c r="B67" s="494"/>
      <c r="C67" s="494"/>
      <c r="D67" s="494">
        <v>150</v>
      </c>
      <c r="E67" s="494"/>
      <c r="F67" s="495">
        <v>150</v>
      </c>
    </row>
    <row r="68" spans="1:6" s="496" customFormat="1" ht="12.75">
      <c r="A68" s="502" t="s">
        <v>489</v>
      </c>
      <c r="B68" s="494"/>
      <c r="C68" s="494"/>
      <c r="D68" s="494">
        <v>388</v>
      </c>
      <c r="E68" s="494"/>
      <c r="F68" s="495">
        <v>388</v>
      </c>
    </row>
    <row r="69" spans="1:6" s="496" customFormat="1" ht="12.75">
      <c r="A69" s="503" t="s">
        <v>490</v>
      </c>
      <c r="B69" s="494"/>
      <c r="C69" s="494"/>
      <c r="D69" s="494">
        <v>2358</v>
      </c>
      <c r="E69" s="494"/>
      <c r="F69" s="495">
        <v>2358</v>
      </c>
    </row>
    <row r="70" spans="1:6" s="496" customFormat="1" ht="12.75">
      <c r="A70" s="503" t="s">
        <v>491</v>
      </c>
      <c r="B70" s="494"/>
      <c r="C70" s="494"/>
      <c r="D70" s="494">
        <v>150</v>
      </c>
      <c r="E70" s="494"/>
      <c r="F70" s="495">
        <v>150</v>
      </c>
    </row>
    <row r="71" spans="1:6" s="496" customFormat="1" ht="12.75">
      <c r="A71" s="503" t="s">
        <v>492</v>
      </c>
      <c r="B71" s="494"/>
      <c r="C71" s="494"/>
      <c r="D71" s="494">
        <v>1085</v>
      </c>
      <c r="E71" s="494"/>
      <c r="F71" s="495">
        <v>1085</v>
      </c>
    </row>
    <row r="72" spans="1:6" s="496" customFormat="1" ht="12.75">
      <c r="A72" s="503" t="s">
        <v>493</v>
      </c>
      <c r="B72" s="494"/>
      <c r="C72" s="494"/>
      <c r="D72" s="494">
        <v>832</v>
      </c>
      <c r="E72" s="494"/>
      <c r="F72" s="495">
        <v>832</v>
      </c>
    </row>
    <row r="73" spans="1:6" ht="12.75">
      <c r="A73" s="454"/>
      <c r="B73" s="455"/>
      <c r="C73" s="455"/>
      <c r="D73" s="455"/>
      <c r="E73" s="455"/>
      <c r="F73" s="458"/>
    </row>
    <row r="74" spans="1:6" s="491" customFormat="1" ht="13.5">
      <c r="A74" s="463" t="s">
        <v>420</v>
      </c>
      <c r="B74" s="464">
        <f>SUM(B75:B83)</f>
        <v>56550</v>
      </c>
      <c r="C74" s="464">
        <f>SUM(C75:C83)</f>
        <v>26800</v>
      </c>
      <c r="D74" s="464">
        <f>SUM(D75:D85)</f>
        <v>63617</v>
      </c>
      <c r="E74" s="464">
        <f>SUM(E75:E85)</f>
        <v>0</v>
      </c>
      <c r="F74" s="466">
        <f>SUM(F75:F85)</f>
        <v>56272</v>
      </c>
    </row>
    <row r="75" spans="1:6" ht="12.75">
      <c r="A75" s="454" t="s">
        <v>494</v>
      </c>
      <c r="B75" s="455">
        <v>4000</v>
      </c>
      <c r="C75" s="455">
        <v>4000</v>
      </c>
      <c r="D75" s="455">
        <v>0</v>
      </c>
      <c r="E75" s="455"/>
      <c r="F75" s="458"/>
    </row>
    <row r="76" spans="1:6" ht="12.75">
      <c r="A76" s="454" t="s">
        <v>495</v>
      </c>
      <c r="B76" s="455">
        <v>800</v>
      </c>
      <c r="C76" s="455">
        <v>800</v>
      </c>
      <c r="D76" s="455">
        <v>0</v>
      </c>
      <c r="E76" s="455"/>
      <c r="F76" s="458"/>
    </row>
    <row r="77" spans="1:6" ht="12.75">
      <c r="A77" s="454" t="s">
        <v>459</v>
      </c>
      <c r="B77" s="455">
        <v>1250</v>
      </c>
      <c r="C77" s="455"/>
      <c r="D77" s="455">
        <v>1250</v>
      </c>
      <c r="E77" s="455"/>
      <c r="F77" s="458"/>
    </row>
    <row r="78" spans="1:6" ht="12.75">
      <c r="A78" s="454" t="s">
        <v>496</v>
      </c>
      <c r="B78" s="455">
        <v>18750</v>
      </c>
      <c r="C78" s="455"/>
      <c r="D78" s="455">
        <f>18750-2052</f>
        <v>16698</v>
      </c>
      <c r="E78" s="455"/>
      <c r="F78" s="458">
        <f>320+195+16183</f>
        <v>16698</v>
      </c>
    </row>
    <row r="79" spans="1:6" ht="12.75">
      <c r="A79" s="454" t="s">
        <v>497</v>
      </c>
      <c r="B79" s="455"/>
      <c r="C79" s="455"/>
      <c r="D79" s="455"/>
      <c r="E79" s="455"/>
      <c r="F79" s="458"/>
    </row>
    <row r="80" spans="1:6" ht="12.75">
      <c r="A80" s="454" t="s">
        <v>498</v>
      </c>
      <c r="B80" s="455">
        <v>8000</v>
      </c>
      <c r="C80" s="455">
        <v>8000</v>
      </c>
      <c r="D80" s="455">
        <v>0</v>
      </c>
      <c r="E80" s="455"/>
      <c r="F80" s="458"/>
    </row>
    <row r="81" spans="1:6" ht="12.75">
      <c r="A81" s="454" t="s">
        <v>499</v>
      </c>
      <c r="B81" s="455">
        <v>10000</v>
      </c>
      <c r="C81" s="455">
        <v>10000</v>
      </c>
      <c r="D81" s="455">
        <v>0</v>
      </c>
      <c r="E81" s="455"/>
      <c r="F81" s="458"/>
    </row>
    <row r="82" spans="1:6" ht="12.75">
      <c r="A82" s="454" t="s">
        <v>500</v>
      </c>
      <c r="B82" s="455">
        <v>5000</v>
      </c>
      <c r="C82" s="455">
        <v>4000</v>
      </c>
      <c r="D82" s="455">
        <v>1000</v>
      </c>
      <c r="E82" s="455"/>
      <c r="F82" s="458">
        <f>75+10</f>
        <v>85</v>
      </c>
    </row>
    <row r="83" spans="1:6" ht="12.75">
      <c r="A83" s="454" t="s">
        <v>501</v>
      </c>
      <c r="B83" s="455">
        <v>8750</v>
      </c>
      <c r="C83" s="455"/>
      <c r="D83" s="455">
        <v>0</v>
      </c>
      <c r="E83" s="455"/>
      <c r="F83" s="458"/>
    </row>
    <row r="84" spans="1:6" ht="12.75">
      <c r="A84" s="454" t="s">
        <v>502</v>
      </c>
      <c r="B84" s="455"/>
      <c r="C84" s="455"/>
      <c r="D84" s="455">
        <v>16000</v>
      </c>
      <c r="E84" s="455"/>
      <c r="F84" s="458">
        <f>8313+225+2283-1</f>
        <v>10820</v>
      </c>
    </row>
    <row r="85" spans="1:6" ht="25.5">
      <c r="A85" s="469" t="s">
        <v>503</v>
      </c>
      <c r="B85" s="455"/>
      <c r="C85" s="455"/>
      <c r="D85" s="455">
        <v>28669</v>
      </c>
      <c r="E85" s="455"/>
      <c r="F85" s="458">
        <v>28669</v>
      </c>
    </row>
    <row r="86" spans="1:6" ht="12.75">
      <c r="A86" s="454"/>
      <c r="B86" s="455"/>
      <c r="C86" s="455"/>
      <c r="D86" s="455"/>
      <c r="E86" s="455"/>
      <c r="F86" s="458"/>
    </row>
    <row r="87" spans="1:6" s="483" customFormat="1" ht="12.75">
      <c r="A87" s="459" t="s">
        <v>14</v>
      </c>
      <c r="B87" s="460">
        <f>SUM(B88)</f>
        <v>1500</v>
      </c>
      <c r="C87" s="460">
        <f>SUM(C88)</f>
        <v>0</v>
      </c>
      <c r="D87" s="460">
        <f>SUM(D88)</f>
        <v>16068</v>
      </c>
      <c r="E87" s="460">
        <f>SUM(E88)</f>
        <v>0</v>
      </c>
      <c r="F87" s="462">
        <f>SUM(F88)</f>
        <v>11189</v>
      </c>
    </row>
    <row r="88" spans="1:6" ht="12.75">
      <c r="A88" s="454" t="s">
        <v>504</v>
      </c>
      <c r="B88" s="455">
        <v>1500</v>
      </c>
      <c r="C88" s="455"/>
      <c r="D88" s="455">
        <v>16068</v>
      </c>
      <c r="E88" s="455"/>
      <c r="F88" s="458">
        <v>11189</v>
      </c>
    </row>
    <row r="89" spans="1:6" ht="12.75">
      <c r="A89" s="454"/>
      <c r="B89" s="455"/>
      <c r="C89" s="455"/>
      <c r="D89" s="455"/>
      <c r="E89" s="455"/>
      <c r="F89" s="458"/>
    </row>
    <row r="90" spans="1:6" s="483" customFormat="1" ht="12.75">
      <c r="A90" s="459" t="s">
        <v>12</v>
      </c>
      <c r="B90" s="460">
        <v>0</v>
      </c>
      <c r="C90" s="460">
        <v>0</v>
      </c>
      <c r="D90" s="460">
        <f>SUM(D91:D97)</f>
        <v>9058</v>
      </c>
      <c r="E90" s="460">
        <f>SUM(E91:E97)</f>
        <v>0</v>
      </c>
      <c r="F90" s="462">
        <f>SUM(F91:F97)</f>
        <v>7815</v>
      </c>
    </row>
    <row r="91" spans="1:6" s="504" customFormat="1" ht="12.75">
      <c r="A91" s="454" t="s">
        <v>505</v>
      </c>
      <c r="B91" s="455"/>
      <c r="C91" s="455"/>
      <c r="D91" s="455">
        <v>3394</v>
      </c>
      <c r="E91" s="455"/>
      <c r="F91" s="458">
        <v>2151</v>
      </c>
    </row>
    <row r="92" spans="1:6" s="504" customFormat="1" ht="12.75">
      <c r="A92" s="454" t="s">
        <v>506</v>
      </c>
      <c r="B92" s="455"/>
      <c r="C92" s="455"/>
      <c r="D92" s="455">
        <v>500</v>
      </c>
      <c r="E92" s="455"/>
      <c r="F92" s="458">
        <v>500</v>
      </c>
    </row>
    <row r="93" spans="1:6" s="504" customFormat="1" ht="12.75">
      <c r="A93" s="454" t="s">
        <v>507</v>
      </c>
      <c r="B93" s="455"/>
      <c r="C93" s="455"/>
      <c r="D93" s="455">
        <v>304</v>
      </c>
      <c r="E93" s="455"/>
      <c r="F93" s="458">
        <v>304</v>
      </c>
    </row>
    <row r="94" spans="1:6" s="504" customFormat="1" ht="12.75">
      <c r="A94" s="454" t="s">
        <v>508</v>
      </c>
      <c r="B94" s="455"/>
      <c r="C94" s="455"/>
      <c r="D94" s="455">
        <v>3729</v>
      </c>
      <c r="E94" s="455"/>
      <c r="F94" s="458">
        <v>3729</v>
      </c>
    </row>
    <row r="95" spans="1:6" s="504" customFormat="1" ht="12.75">
      <c r="A95" s="454" t="s">
        <v>509</v>
      </c>
      <c r="B95" s="455"/>
      <c r="C95" s="455"/>
      <c r="D95" s="455">
        <v>494</v>
      </c>
      <c r="E95" s="455"/>
      <c r="F95" s="458">
        <v>494</v>
      </c>
    </row>
    <row r="96" spans="1:6" s="504" customFormat="1" ht="12.75">
      <c r="A96" s="454" t="s">
        <v>510</v>
      </c>
      <c r="B96" s="455"/>
      <c r="C96" s="455"/>
      <c r="D96" s="455">
        <v>299</v>
      </c>
      <c r="E96" s="455"/>
      <c r="F96" s="458">
        <v>299</v>
      </c>
    </row>
    <row r="97" spans="1:6" s="504" customFormat="1" ht="12.75">
      <c r="A97" s="454" t="s">
        <v>511</v>
      </c>
      <c r="B97" s="455"/>
      <c r="C97" s="455"/>
      <c r="D97" s="455">
        <v>338</v>
      </c>
      <c r="E97" s="455"/>
      <c r="F97" s="458">
        <v>338</v>
      </c>
    </row>
    <row r="98" spans="1:6" ht="12.75">
      <c r="A98" s="454"/>
      <c r="B98" s="455"/>
      <c r="C98" s="455"/>
      <c r="D98" s="455"/>
      <c r="E98" s="455"/>
      <c r="F98" s="458"/>
    </row>
    <row r="99" spans="1:6" s="488" customFormat="1" ht="13.5">
      <c r="A99" s="484" t="s">
        <v>433</v>
      </c>
      <c r="B99" s="485">
        <f>SUM(B6,B87,B90)</f>
        <v>2518644</v>
      </c>
      <c r="C99" s="485">
        <f>SUM(C6,C87,C90)</f>
        <v>2125655</v>
      </c>
      <c r="D99" s="485">
        <f>SUM(D6,D87,D90)</f>
        <v>916818</v>
      </c>
      <c r="E99" s="485">
        <f>SUM(E6,E87,E90)</f>
        <v>0</v>
      </c>
      <c r="F99" s="487">
        <f>SUM(F6,F87,F90)</f>
        <v>577489</v>
      </c>
    </row>
  </sheetData>
  <sheetProtection selectLockedCells="1" selectUnlockedCells="1"/>
  <mergeCells count="2">
    <mergeCell ref="A1:F1"/>
    <mergeCell ref="A2:F2"/>
  </mergeCells>
  <printOptions horizontalCentered="1"/>
  <pageMargins left="0.5118055555555555" right="0.27569444444444446" top="0.7" bottom="0.2361111111111111" header="0.44027777777777777" footer="0.5118055555555555"/>
  <pageSetup horizontalDpi="300" verticalDpi="300" orientation="landscape" paperSize="9" scale="69"/>
  <headerFooter alignWithMargins="0">
    <oddHeader>&amp;L&amp;8 8. melléklet a 15/2012.(IV.27.) önkormányzati rendelethez</oddHeader>
  </headerFooter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workbookViewId="0" topLeftCell="A1">
      <selection activeCell="G6" sqref="G6"/>
    </sheetView>
  </sheetViews>
  <sheetFormatPr defaultColWidth="9.00390625" defaultRowHeight="12.75"/>
  <cols>
    <col min="1" max="1" width="64.25390625" style="0" customWidth="1"/>
    <col min="2" max="3" width="10.75390625" style="0" customWidth="1"/>
    <col min="7" max="7" width="11.375" style="0" customWidth="1"/>
  </cols>
  <sheetData>
    <row r="1" spans="1:3" ht="12.75">
      <c r="A1" s="258"/>
      <c r="B1" s="1"/>
      <c r="C1" s="1"/>
    </row>
    <row r="2" spans="1:3" ht="12.75">
      <c r="A2" s="258"/>
      <c r="B2" s="1"/>
      <c r="C2" s="1"/>
    </row>
    <row r="3" spans="1:8" ht="13.5" customHeight="1">
      <c r="A3" s="505" t="s">
        <v>512</v>
      </c>
      <c r="B3" s="505"/>
      <c r="C3" s="505"/>
      <c r="D3" s="505"/>
      <c r="E3" s="505"/>
      <c r="F3" s="505"/>
      <c r="G3" s="505"/>
      <c r="H3" s="506"/>
    </row>
    <row r="4" spans="1:8" ht="13.5" customHeight="1">
      <c r="A4" s="505" t="s">
        <v>513</v>
      </c>
      <c r="B4" s="505"/>
      <c r="C4" s="505"/>
      <c r="D4" s="505"/>
      <c r="E4" s="505"/>
      <c r="F4" s="505"/>
      <c r="G4" s="505"/>
      <c r="H4" s="506"/>
    </row>
    <row r="5" spans="1:3" ht="15.75">
      <c r="A5" s="230"/>
      <c r="B5" s="1"/>
      <c r="C5" s="1"/>
    </row>
    <row r="6" spans="1:8" ht="55.5" customHeight="1">
      <c r="A6" s="8" t="s">
        <v>3</v>
      </c>
      <c r="B6" s="507" t="s">
        <v>8</v>
      </c>
      <c r="C6" s="508" t="s">
        <v>514</v>
      </c>
      <c r="D6" s="509" t="s">
        <v>5</v>
      </c>
      <c r="E6" s="509" t="s">
        <v>514</v>
      </c>
      <c r="F6" s="509" t="s">
        <v>6</v>
      </c>
      <c r="G6" s="510" t="s">
        <v>515</v>
      </c>
      <c r="H6" s="511"/>
    </row>
    <row r="7" spans="1:8" ht="26.25" customHeight="1">
      <c r="A7" s="512" t="s">
        <v>516</v>
      </c>
      <c r="B7" s="513">
        <v>43200</v>
      </c>
      <c r="C7" s="513">
        <v>34560</v>
      </c>
      <c r="D7" s="514">
        <v>33711</v>
      </c>
      <c r="E7" s="514">
        <v>25071</v>
      </c>
      <c r="F7" s="514">
        <v>31211</v>
      </c>
      <c r="G7" s="515">
        <v>25071</v>
      </c>
      <c r="H7" s="516"/>
    </row>
    <row r="8" spans="1:8" ht="26.25" customHeight="1">
      <c r="A8" s="512" t="s">
        <v>517</v>
      </c>
      <c r="B8" s="513">
        <v>15000</v>
      </c>
      <c r="C8" s="513">
        <v>13500</v>
      </c>
      <c r="D8" s="514">
        <v>14689</v>
      </c>
      <c r="E8" s="514">
        <v>13189</v>
      </c>
      <c r="F8" s="514">
        <v>15792</v>
      </c>
      <c r="G8" s="515">
        <v>14249</v>
      </c>
      <c r="H8" s="516"/>
    </row>
    <row r="9" spans="1:8" ht="26.25" customHeight="1">
      <c r="A9" s="512" t="s">
        <v>518</v>
      </c>
      <c r="B9" s="513">
        <v>4000</v>
      </c>
      <c r="C9" s="513">
        <v>3600</v>
      </c>
      <c r="D9" s="514">
        <v>3868</v>
      </c>
      <c r="E9" s="514">
        <v>3518</v>
      </c>
      <c r="F9" s="514">
        <v>2731</v>
      </c>
      <c r="G9" s="515">
        <v>2458</v>
      </c>
      <c r="H9" s="516"/>
    </row>
    <row r="10" spans="1:8" ht="22.5" customHeight="1">
      <c r="A10" s="512" t="s">
        <v>519</v>
      </c>
      <c r="B10" s="513"/>
      <c r="C10" s="513"/>
      <c r="D10" s="514">
        <v>50</v>
      </c>
      <c r="E10" s="514"/>
      <c r="F10" s="514"/>
      <c r="G10" s="515"/>
      <c r="H10" s="516"/>
    </row>
    <row r="11" spans="1:8" ht="22.5" customHeight="1">
      <c r="A11" s="512" t="s">
        <v>317</v>
      </c>
      <c r="B11" s="513">
        <v>1300</v>
      </c>
      <c r="C11" s="513">
        <v>1170</v>
      </c>
      <c r="D11" s="514">
        <v>916</v>
      </c>
      <c r="E11" s="514">
        <v>786</v>
      </c>
      <c r="F11" s="514">
        <v>873</v>
      </c>
      <c r="G11" s="515">
        <v>786</v>
      </c>
      <c r="H11" s="516"/>
    </row>
    <row r="12" spans="1:8" ht="27" customHeight="1">
      <c r="A12" s="512" t="s">
        <v>520</v>
      </c>
      <c r="B12" s="513">
        <v>16800</v>
      </c>
      <c r="C12" s="513">
        <v>15120</v>
      </c>
      <c r="D12" s="514">
        <v>11897</v>
      </c>
      <c r="E12" s="514">
        <v>10217</v>
      </c>
      <c r="F12" s="514">
        <v>11821</v>
      </c>
      <c r="G12" s="515">
        <v>10217</v>
      </c>
      <c r="H12" s="516"/>
    </row>
    <row r="13" spans="1:8" ht="26.25" customHeight="1">
      <c r="A13" s="512" t="s">
        <v>521</v>
      </c>
      <c r="B13" s="513">
        <v>4000</v>
      </c>
      <c r="C13" s="513"/>
      <c r="D13" s="514">
        <v>8000</v>
      </c>
      <c r="E13" s="514"/>
      <c r="F13" s="514">
        <v>7760</v>
      </c>
      <c r="G13" s="515"/>
      <c r="H13" s="516"/>
    </row>
    <row r="14" spans="1:8" ht="26.25" customHeight="1">
      <c r="A14" s="512" t="s">
        <v>522</v>
      </c>
      <c r="B14" s="513">
        <v>5000</v>
      </c>
      <c r="C14" s="513">
        <v>4500</v>
      </c>
      <c r="D14" s="514">
        <v>4522</v>
      </c>
      <c r="E14" s="514">
        <v>4022</v>
      </c>
      <c r="F14" s="514">
        <v>4070</v>
      </c>
      <c r="G14" s="515">
        <v>4022</v>
      </c>
      <c r="H14" s="516"/>
    </row>
    <row r="15" spans="1:8" ht="26.25" customHeight="1">
      <c r="A15" s="512" t="s">
        <v>523</v>
      </c>
      <c r="B15" s="513">
        <v>29000</v>
      </c>
      <c r="C15" s="513">
        <v>21750</v>
      </c>
      <c r="D15" s="514">
        <v>26080</v>
      </c>
      <c r="E15" s="514">
        <v>18830</v>
      </c>
      <c r="F15" s="514">
        <v>24958</v>
      </c>
      <c r="G15" s="515">
        <v>18830</v>
      </c>
      <c r="H15" s="516"/>
    </row>
    <row r="16" spans="1:8" ht="26.25" customHeight="1">
      <c r="A16" s="512" t="s">
        <v>524</v>
      </c>
      <c r="B16" s="513">
        <v>4000</v>
      </c>
      <c r="C16" s="513"/>
      <c r="D16" s="514">
        <v>3500</v>
      </c>
      <c r="E16" s="514"/>
      <c r="F16" s="514">
        <v>3056</v>
      </c>
      <c r="G16" s="515"/>
      <c r="H16" s="516"/>
    </row>
    <row r="17" spans="1:8" ht="26.25" customHeight="1">
      <c r="A17" s="512" t="s">
        <v>324</v>
      </c>
      <c r="B17" s="513">
        <v>3000</v>
      </c>
      <c r="C17" s="513"/>
      <c r="D17" s="514">
        <v>8800</v>
      </c>
      <c r="E17" s="514"/>
      <c r="F17" s="514">
        <v>5287</v>
      </c>
      <c r="G17" s="515"/>
      <c r="H17" s="516"/>
    </row>
    <row r="18" spans="1:8" ht="25.5" customHeight="1">
      <c r="A18" s="512" t="s">
        <v>325</v>
      </c>
      <c r="B18" s="513">
        <v>2100</v>
      </c>
      <c r="C18" s="513"/>
      <c r="D18" s="514">
        <v>2100</v>
      </c>
      <c r="E18" s="514"/>
      <c r="F18" s="514">
        <v>1791</v>
      </c>
      <c r="G18" s="515"/>
      <c r="H18" s="516"/>
    </row>
    <row r="19" spans="1:8" ht="26.25" customHeight="1">
      <c r="A19" s="512" t="s">
        <v>525</v>
      </c>
      <c r="B19" s="513">
        <v>7500</v>
      </c>
      <c r="C19" s="513">
        <v>7500</v>
      </c>
      <c r="D19" s="514">
        <v>8166</v>
      </c>
      <c r="E19" s="514">
        <v>8166</v>
      </c>
      <c r="F19" s="514">
        <v>8085</v>
      </c>
      <c r="G19" s="515">
        <v>8166</v>
      </c>
      <c r="H19" s="516"/>
    </row>
    <row r="20" spans="1:8" ht="26.25" customHeight="1">
      <c r="A20" s="512" t="s">
        <v>526</v>
      </c>
      <c r="B20" s="513">
        <v>2000</v>
      </c>
      <c r="C20" s="513"/>
      <c r="D20" s="514">
        <v>3180</v>
      </c>
      <c r="E20" s="514"/>
      <c r="F20" s="514">
        <v>3075</v>
      </c>
      <c r="G20" s="515"/>
      <c r="H20" s="516"/>
    </row>
    <row r="21" spans="1:8" ht="27" customHeight="1">
      <c r="A21" s="512" t="s">
        <v>527</v>
      </c>
      <c r="B21" s="513">
        <v>200</v>
      </c>
      <c r="C21" s="513"/>
      <c r="D21" s="514">
        <v>200</v>
      </c>
      <c r="E21" s="514"/>
      <c r="F21" s="514">
        <v>110</v>
      </c>
      <c r="G21" s="515"/>
      <c r="H21" s="516"/>
    </row>
    <row r="22" spans="1:8" ht="26.25" customHeight="1">
      <c r="A22" s="512" t="s">
        <v>327</v>
      </c>
      <c r="B22" s="513">
        <v>1500</v>
      </c>
      <c r="C22" s="513">
        <v>1500</v>
      </c>
      <c r="D22" s="514">
        <v>1500</v>
      </c>
      <c r="E22" s="514">
        <v>1500</v>
      </c>
      <c r="F22" s="514">
        <v>588</v>
      </c>
      <c r="G22" s="515">
        <v>588</v>
      </c>
      <c r="H22" s="516"/>
    </row>
    <row r="23" spans="1:8" ht="26.25" customHeight="1">
      <c r="A23" s="512" t="s">
        <v>528</v>
      </c>
      <c r="B23" s="513"/>
      <c r="C23" s="513"/>
      <c r="D23" s="514"/>
      <c r="E23" s="514"/>
      <c r="F23" s="514"/>
      <c r="G23" s="515"/>
      <c r="H23" s="516"/>
    </row>
    <row r="24" spans="1:8" ht="25.5" customHeight="1">
      <c r="A24" s="512" t="s">
        <v>529</v>
      </c>
      <c r="B24" s="513"/>
      <c r="C24" s="513"/>
      <c r="D24" s="514"/>
      <c r="E24" s="514"/>
      <c r="F24" s="514"/>
      <c r="G24" s="515"/>
      <c r="H24" s="516"/>
    </row>
    <row r="25" spans="1:8" ht="25.5" customHeight="1">
      <c r="A25" s="512" t="s">
        <v>323</v>
      </c>
      <c r="B25" s="513">
        <v>300</v>
      </c>
      <c r="C25" s="513">
        <v>300</v>
      </c>
      <c r="D25" s="514">
        <v>10</v>
      </c>
      <c r="E25" s="514">
        <v>10</v>
      </c>
      <c r="F25" s="514">
        <v>10</v>
      </c>
      <c r="G25" s="515">
        <v>10</v>
      </c>
      <c r="H25" s="516"/>
    </row>
    <row r="26" spans="1:8" ht="26.25" customHeight="1">
      <c r="A26" s="512" t="s">
        <v>530</v>
      </c>
      <c r="B26" s="513">
        <v>4865</v>
      </c>
      <c r="C26" s="513"/>
      <c r="D26" s="514">
        <v>4260</v>
      </c>
      <c r="E26" s="514"/>
      <c r="F26" s="514">
        <v>3265</v>
      </c>
      <c r="G26" s="515"/>
      <c r="H26" s="516"/>
    </row>
    <row r="27" spans="1:8" ht="26.25" customHeight="1">
      <c r="A27" s="512" t="s">
        <v>338</v>
      </c>
      <c r="B27" s="513"/>
      <c r="C27" s="513"/>
      <c r="D27" s="514"/>
      <c r="E27" s="514"/>
      <c r="F27" s="514"/>
      <c r="G27" s="515"/>
      <c r="H27" s="516"/>
    </row>
    <row r="28" spans="1:8" ht="26.25" customHeight="1">
      <c r="A28" s="512" t="s">
        <v>531</v>
      </c>
      <c r="B28" s="513"/>
      <c r="C28" s="513"/>
      <c r="D28" s="514">
        <v>25000</v>
      </c>
      <c r="E28" s="514"/>
      <c r="F28" s="514">
        <v>24529</v>
      </c>
      <c r="G28" s="515"/>
      <c r="H28" s="516"/>
    </row>
    <row r="29" spans="1:8" s="200" customFormat="1" ht="26.25" customHeight="1">
      <c r="A29" s="517" t="s">
        <v>532</v>
      </c>
      <c r="B29" s="518">
        <f>SUM(B7:B28)</f>
        <v>143765</v>
      </c>
      <c r="C29" s="518">
        <f>SUM(C7:C27)</f>
        <v>103500</v>
      </c>
      <c r="D29" s="519">
        <f>SUM(D7:D28)</f>
        <v>160449</v>
      </c>
      <c r="E29" s="519">
        <f>SUM(E7:E28)</f>
        <v>85309</v>
      </c>
      <c r="F29" s="519">
        <f>SUM(F7:F28)</f>
        <v>149012</v>
      </c>
      <c r="G29" s="520">
        <f>SUM(B29:F29)</f>
        <v>642035</v>
      </c>
      <c r="H29" s="521"/>
    </row>
    <row r="30" spans="1:8" ht="26.25" customHeight="1">
      <c r="A30" s="522"/>
      <c r="B30" s="523"/>
      <c r="C30" s="513"/>
      <c r="D30" s="514"/>
      <c r="E30" s="514"/>
      <c r="F30" s="514"/>
      <c r="G30" s="515"/>
      <c r="H30" s="516"/>
    </row>
    <row r="31" spans="1:8" ht="26.25" customHeight="1">
      <c r="A31" s="512" t="s">
        <v>533</v>
      </c>
      <c r="B31" s="513">
        <v>4500</v>
      </c>
      <c r="C31" s="513"/>
      <c r="D31" s="514">
        <v>4500</v>
      </c>
      <c r="E31" s="514"/>
      <c r="F31" s="514">
        <v>3210</v>
      </c>
      <c r="G31" s="515"/>
      <c r="H31" s="516"/>
    </row>
    <row r="32" spans="1:8" ht="26.25" customHeight="1">
      <c r="A32" s="512" t="s">
        <v>332</v>
      </c>
      <c r="B32" s="513">
        <v>1200</v>
      </c>
      <c r="C32" s="513"/>
      <c r="D32" s="514">
        <v>1825</v>
      </c>
      <c r="E32" s="514"/>
      <c r="F32" s="514">
        <v>1823</v>
      </c>
      <c r="G32" s="515"/>
      <c r="H32" s="516"/>
    </row>
    <row r="33" spans="1:8" ht="26.25" customHeight="1">
      <c r="A33" s="512" t="s">
        <v>331</v>
      </c>
      <c r="B33" s="513">
        <v>1000</v>
      </c>
      <c r="C33" s="513"/>
      <c r="D33" s="514">
        <v>1400</v>
      </c>
      <c r="E33" s="514"/>
      <c r="F33" s="514">
        <v>1083</v>
      </c>
      <c r="G33" s="515"/>
      <c r="H33" s="516"/>
    </row>
    <row r="34" spans="1:8" ht="26.25" customHeight="1">
      <c r="A34" s="512" t="s">
        <v>534</v>
      </c>
      <c r="B34" s="513">
        <v>2650</v>
      </c>
      <c r="C34" s="513"/>
      <c r="D34" s="514">
        <v>2650</v>
      </c>
      <c r="E34" s="514"/>
      <c r="F34" s="514">
        <v>5949</v>
      </c>
      <c r="G34" s="515"/>
      <c r="H34" s="516"/>
    </row>
    <row r="35" spans="1:8" s="200" customFormat="1" ht="26.25" customHeight="1">
      <c r="A35" s="517" t="s">
        <v>535</v>
      </c>
      <c r="B35" s="518">
        <f>SUM(B31:B34)</f>
        <v>9350</v>
      </c>
      <c r="C35" s="518">
        <f>SUM(C31:C34)</f>
        <v>0</v>
      </c>
      <c r="D35" s="519">
        <f>SUM(D31:D34)</f>
        <v>10375</v>
      </c>
      <c r="E35" s="519">
        <f>SUM(E31:E34)</f>
        <v>0</v>
      </c>
      <c r="F35" s="519">
        <f>SUM(F31:F34)</f>
        <v>12065</v>
      </c>
      <c r="G35" s="520"/>
      <c r="H35" s="521"/>
    </row>
    <row r="36" spans="1:8" ht="26.25" customHeight="1">
      <c r="A36" s="512"/>
      <c r="B36" s="513"/>
      <c r="C36" s="513"/>
      <c r="D36" s="514"/>
      <c r="E36" s="514"/>
      <c r="F36" s="514"/>
      <c r="G36" s="515"/>
      <c r="H36" s="516"/>
    </row>
    <row r="37" spans="1:8" s="200" customFormat="1" ht="26.25" customHeight="1">
      <c r="A37" s="517" t="s">
        <v>536</v>
      </c>
      <c r="B37" s="518">
        <f>SUM(B29,B35)</f>
        <v>153115</v>
      </c>
      <c r="C37" s="518">
        <f>SUM(C29,C35)</f>
        <v>103500</v>
      </c>
      <c r="D37" s="519">
        <f>SUM(D29,D35)</f>
        <v>170824</v>
      </c>
      <c r="E37" s="519">
        <f>SUM(E29,E35)</f>
        <v>85309</v>
      </c>
      <c r="F37" s="519">
        <f>SUM(F29,F35)</f>
        <v>161077</v>
      </c>
      <c r="G37" s="520">
        <v>84397</v>
      </c>
      <c r="H37" s="521"/>
    </row>
    <row r="38" spans="1:8" ht="26.25" customHeight="1">
      <c r="A38" s="524"/>
      <c r="B38" s="513"/>
      <c r="C38" s="513"/>
      <c r="D38" s="514"/>
      <c r="E38" s="514"/>
      <c r="F38" s="514"/>
      <c r="G38" s="515"/>
      <c r="H38" s="516"/>
    </row>
    <row r="39" spans="1:8" s="200" customFormat="1" ht="25.5" customHeight="1">
      <c r="A39" s="525" t="s">
        <v>537</v>
      </c>
      <c r="B39" s="518">
        <f aca="true" t="shared" si="0" ref="B39:G39">SUM(B40:B41)</f>
        <v>8040</v>
      </c>
      <c r="C39" s="518">
        <f t="shared" si="0"/>
        <v>5220</v>
      </c>
      <c r="D39" s="519">
        <f t="shared" si="0"/>
        <v>7340</v>
      </c>
      <c r="E39" s="519">
        <f t="shared" si="0"/>
        <v>4520</v>
      </c>
      <c r="F39" s="519">
        <f t="shared" si="0"/>
        <v>6723</v>
      </c>
      <c r="G39" s="526">
        <f t="shared" si="0"/>
        <v>4520</v>
      </c>
      <c r="H39" s="521"/>
    </row>
    <row r="40" spans="1:8" ht="26.25" customHeight="1">
      <c r="A40" s="524" t="s">
        <v>538</v>
      </c>
      <c r="B40" s="513">
        <v>6960</v>
      </c>
      <c r="C40" s="513">
        <v>5220</v>
      </c>
      <c r="D40" s="514">
        <v>6260</v>
      </c>
      <c r="E40" s="514">
        <v>4520</v>
      </c>
      <c r="F40" s="514">
        <v>5990</v>
      </c>
      <c r="G40" s="527">
        <v>4520</v>
      </c>
      <c r="H40" s="516"/>
    </row>
    <row r="41" spans="1:8" ht="26.25" customHeight="1">
      <c r="A41" s="524" t="s">
        <v>539</v>
      </c>
      <c r="B41" s="513">
        <v>1080</v>
      </c>
      <c r="C41" s="513"/>
      <c r="D41" s="514">
        <v>1080</v>
      </c>
      <c r="E41" s="514"/>
      <c r="F41" s="514">
        <v>733</v>
      </c>
      <c r="G41" s="515"/>
      <c r="H41" s="516"/>
    </row>
    <row r="42" spans="1:8" ht="26.25" customHeight="1">
      <c r="A42" s="524"/>
      <c r="B42" s="513"/>
      <c r="C42" s="513"/>
      <c r="D42" s="514"/>
      <c r="E42" s="514"/>
      <c r="F42" s="514"/>
      <c r="G42" s="515"/>
      <c r="H42" s="516"/>
    </row>
    <row r="43" spans="1:8" s="533" customFormat="1" ht="27" customHeight="1">
      <c r="A43" s="528" t="s">
        <v>153</v>
      </c>
      <c r="B43" s="529">
        <f aca="true" t="shared" si="1" ref="B43:G43">SUM(B37,B39)</f>
        <v>161155</v>
      </c>
      <c r="C43" s="529">
        <f t="shared" si="1"/>
        <v>108720</v>
      </c>
      <c r="D43" s="530">
        <f t="shared" si="1"/>
        <v>178164</v>
      </c>
      <c r="E43" s="530">
        <f t="shared" si="1"/>
        <v>89829</v>
      </c>
      <c r="F43" s="530">
        <f t="shared" si="1"/>
        <v>167800</v>
      </c>
      <c r="G43" s="531">
        <f t="shared" si="1"/>
        <v>88917</v>
      </c>
      <c r="H43" s="532"/>
    </row>
  </sheetData>
  <sheetProtection selectLockedCells="1" selectUnlockedCells="1"/>
  <mergeCells count="2">
    <mergeCell ref="A3:G3"/>
    <mergeCell ref="A4:G4"/>
  </mergeCells>
  <printOptions horizontalCentered="1"/>
  <pageMargins left="0.7875" right="0.7875" top="0.7875" bottom="0" header="0.6298611111111111" footer="0.5118055555555555"/>
  <pageSetup horizontalDpi="300" verticalDpi="300" orientation="portrait" paperSize="9" scale="70"/>
  <headerFooter alignWithMargins="0">
    <oddHeader>&amp;L&amp;8 9. melléklet a 15/2012.(IV.27.)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</cp:lastModifiedBy>
  <cp:lastPrinted>2012-04-26T12:24:30Z</cp:lastPrinted>
  <dcterms:modified xsi:type="dcterms:W3CDTF">2012-04-26T12:24:58Z</dcterms:modified>
  <cp:category/>
  <cp:version/>
  <cp:contentType/>
  <cp:contentStatus/>
</cp:coreProperties>
</file>