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1.sz. melléklet" sheetId="1" r:id="rId1"/>
    <sheet name="1.a1.b. melléklet" sheetId="2" r:id="rId2"/>
    <sheet name="2. sz. melléklet" sheetId="3" r:id="rId3"/>
    <sheet name="3.sz. melléklet" sheetId="4" r:id="rId4"/>
    <sheet name="4. sz. melléklet" sheetId="5" r:id="rId5"/>
    <sheet name="5. sz. melléklet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0-a. sz. melléklet" sheetId="12" r:id="rId12"/>
    <sheet name="11. sz. melléklet" sheetId="13" r:id="rId13"/>
    <sheet name="12. sz. melléklet" sheetId="14" r:id="rId14"/>
    <sheet name="13. sz. melléklet" sheetId="15" r:id="rId15"/>
    <sheet name="14. sz. melléklet" sheetId="16" r:id="rId16"/>
    <sheet name="15. sz. melléklet" sheetId="17" r:id="rId17"/>
    <sheet name="15. sz. melléklet 2. oldal" sheetId="18" r:id="rId18"/>
    <sheet name="16. sz. melléklet-normatíva" sheetId="19" r:id="rId19"/>
    <sheet name="17. sz. melléklet" sheetId="20" r:id="rId20"/>
    <sheet name="18. sz. melléklet" sheetId="21" r:id="rId21"/>
    <sheet name="19. sz. melléklet" sheetId="22" r:id="rId22"/>
    <sheet name="20. sz. melléklet" sheetId="23" r:id="rId23"/>
    <sheet name="21. sz melléklet" sheetId="24" r:id="rId24"/>
    <sheet name="22. sz. melléklet" sheetId="25" r:id="rId25"/>
    <sheet name="23. sz. melléklet" sheetId="26" r:id="rId26"/>
    <sheet name="24. sz. melléklet - Tájékoztató" sheetId="27" r:id="rId27"/>
    <sheet name="25. sz. melléklet - Peres ügyek" sheetId="28" r:id="rId28"/>
  </sheets>
  <definedNames>
    <definedName name="Excel_BuiltIn__FilterDatabase_5">'4. sz. melléklet'!$A$4:$P$8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<sst xmlns="http://schemas.openxmlformats.org/spreadsheetml/2006/main" count="3224" uniqueCount="1650">
  <si>
    <t xml:space="preserve"> Tata Város Önkormányzatának 2010.évi pénzforgalmi mérlege (E Ft-ban)</t>
  </si>
  <si>
    <t>Bevételi előirányzat</t>
  </si>
  <si>
    <t>Kiadási előirányzat</t>
  </si>
  <si>
    <t>Eredeti</t>
  </si>
  <si>
    <t>Mód.(III.30.)</t>
  </si>
  <si>
    <t>Teljesítés</t>
  </si>
  <si>
    <t>Teljesítés %-a</t>
  </si>
  <si>
    <t xml:space="preserve">Eredeti </t>
  </si>
  <si>
    <t xml:space="preserve">Működési bevételek </t>
  </si>
  <si>
    <t>Személyi juttatások</t>
  </si>
  <si>
    <t xml:space="preserve">       - Intézmények</t>
  </si>
  <si>
    <t xml:space="preserve">       - Polgármesteri Hivatal</t>
  </si>
  <si>
    <t>Személyi juttatás</t>
  </si>
  <si>
    <t>Munkaadókat terhelő járulékok</t>
  </si>
  <si>
    <t>Önkormányzat sajátos működési bevétele</t>
  </si>
  <si>
    <t>Járulék</t>
  </si>
  <si>
    <t>Dologi kiadások és egyéb folyó kiadás (kamat nélkül)</t>
  </si>
  <si>
    <t xml:space="preserve">        -Helyi adók</t>
  </si>
  <si>
    <t>Dologi kiadás</t>
  </si>
  <si>
    <t xml:space="preserve">        -Átengedett központi adók</t>
  </si>
  <si>
    <t>Pénzeszközátadás</t>
  </si>
  <si>
    <t xml:space="preserve">   - átengedett SZJA</t>
  </si>
  <si>
    <t>Pénzeszköz átadás</t>
  </si>
  <si>
    <t xml:space="preserve"> - működési célra</t>
  </si>
  <si>
    <t xml:space="preserve">   - Gépjárműadó</t>
  </si>
  <si>
    <t>Ellátottak juttatásai</t>
  </si>
  <si>
    <t xml:space="preserve"> - felhalmozási célra</t>
  </si>
  <si>
    <t xml:space="preserve">         -Földterület bérbeadásából származó szja.</t>
  </si>
  <si>
    <t xml:space="preserve">         -Talajterhelési díj</t>
  </si>
  <si>
    <t>Általános műk. Tartalék</t>
  </si>
  <si>
    <t>Önk.által folyósított ellátások</t>
  </si>
  <si>
    <t xml:space="preserve">         -Egyéb sajátos bevételek (bérleti díj, lakbér, bírság)</t>
  </si>
  <si>
    <t>Önkorm. és int. működési bevételei összesen</t>
  </si>
  <si>
    <t>Ellátottak pénzbeli juttatásai</t>
  </si>
  <si>
    <t>Egyéb tárgyi eszköz értékesítés</t>
  </si>
  <si>
    <t>Beruházás</t>
  </si>
  <si>
    <t>Földterület értékesítés</t>
  </si>
  <si>
    <t>Hiteltörlesztés</t>
  </si>
  <si>
    <t>Lakások értékesítése</t>
  </si>
  <si>
    <t>Hitelkamat</t>
  </si>
  <si>
    <t>Felújítás</t>
  </si>
  <si>
    <t>Egyéb ingatlan értékesítés</t>
  </si>
  <si>
    <t>Kamatm. váll. kölcs vissz.</t>
  </si>
  <si>
    <t>Bérbeadásból felhalmozási bevétel</t>
  </si>
  <si>
    <t>Kamatkiadások</t>
  </si>
  <si>
    <t>Felhalmozási célra átvett pénzeszközök</t>
  </si>
  <si>
    <t>Üzletrész értékesítés</t>
  </si>
  <si>
    <t>Kölcsönnyújtás összesen</t>
  </si>
  <si>
    <t>Felhalmozási és tőkejellegű bev. összesen</t>
  </si>
  <si>
    <t>Ebből: - Lakáscélra (szociális 7.000 E Ft, munkáltatói 1.500 E Ft)</t>
  </si>
  <si>
    <t xml:space="preserve">            - Egyéb célra </t>
  </si>
  <si>
    <t>Normatív állami hozzájárulás</t>
  </si>
  <si>
    <t>Központosított támogatás - kisebbségi önkormányzatoknak</t>
  </si>
  <si>
    <t>Tartalékok</t>
  </si>
  <si>
    <t xml:space="preserve">Központosított támogatás </t>
  </si>
  <si>
    <t>általános tartalék</t>
  </si>
  <si>
    <t>Egyes jöv. pótló tám. kieg. 116.225 E Ft, közcélú támog. 74.000 E Ft</t>
  </si>
  <si>
    <t>Működési hiány</t>
  </si>
  <si>
    <t>céltartalékok:</t>
  </si>
  <si>
    <t>TEUT támogatás</t>
  </si>
  <si>
    <t xml:space="preserve"> - felhalmozási céltartalék - egyéb feladatokra</t>
  </si>
  <si>
    <t>Támogatás központi költségvetésből</t>
  </si>
  <si>
    <t xml:space="preserve"> - működési célú tartalék</t>
  </si>
  <si>
    <t xml:space="preserve"> - kötvény tartalék</t>
  </si>
  <si>
    <t>Eü működésre TB. Támogatás</t>
  </si>
  <si>
    <t>Működési célra támogatások</t>
  </si>
  <si>
    <t xml:space="preserve">Készfizető kezesség - Tata-Tóparti Viziközmű Társ., Tatai Távhő Kft., Tatai Városkapu Zrt. </t>
  </si>
  <si>
    <t>Felhalmozási célra támogatások</t>
  </si>
  <si>
    <t>Előző évi pénzmaradvány átadás</t>
  </si>
  <si>
    <t>Támog. értékű bevételek összesen:</t>
  </si>
  <si>
    <t>Kiadások összesen:</t>
  </si>
  <si>
    <t>Finanszírozási kiadások</t>
  </si>
  <si>
    <t>Kölcsön és visszatérülés (lakástámogatás 9.000 E Ft, Fényes Fürdő 5.000 E Ft)</t>
  </si>
  <si>
    <t>Hiteltörlesztés - hosszú lejáratú</t>
  </si>
  <si>
    <t>Finanszírozási kiadások összesen:</t>
  </si>
  <si>
    <t>Előző évi pénzmaradvány (ebből kötvény maradvány 1.700.000 E Ft, működési pénzmaradvány 150.000 E Ft)</t>
  </si>
  <si>
    <t>Előző évi pénzmaradvány átvétel</t>
  </si>
  <si>
    <t>Kiadások mindösszesen:</t>
  </si>
  <si>
    <t>Előző évi költségvetési kiegészítések, visszatérülések</t>
  </si>
  <si>
    <t>Pénzkészlet egyeztetés:</t>
  </si>
  <si>
    <t>Bevételek összesen:</t>
  </si>
  <si>
    <t>Nyitó pénzkészlet</t>
  </si>
  <si>
    <t>E Ft</t>
  </si>
  <si>
    <t xml:space="preserve">           + bevételek</t>
  </si>
  <si>
    <t>Finanszírozási bevételek (kiegyenlítő, függő, átfutó):</t>
  </si>
  <si>
    <t xml:space="preserve">           - kiadások</t>
  </si>
  <si>
    <t xml:space="preserve">           - pénzmaradvány</t>
  </si>
  <si>
    <t>Bevételek mindösszesen:</t>
  </si>
  <si>
    <t>Záró pénzkészlet</t>
  </si>
  <si>
    <t>1/a. melléklet a 16/2011.(V.02.) önkormányzati rendelethez</t>
  </si>
  <si>
    <t>2010. évi működési célú bevételek és kiadások mérlege (E Ft-ban)</t>
  </si>
  <si>
    <t>Működési bevétel</t>
  </si>
  <si>
    <t>Önk.sajátos működési bev.</t>
  </si>
  <si>
    <t>Járulékok</t>
  </si>
  <si>
    <t>Dologi kiadás (beruházási hitelkamat és ÁFA nélkül)</t>
  </si>
  <si>
    <t>Eü. műk. TB támogatása</t>
  </si>
  <si>
    <t>Pénzeszköz  átadás, támogatás</t>
  </si>
  <si>
    <t>Működési célra pénzeszköz átvétele</t>
  </si>
  <si>
    <t>Szociális támogatás műk.</t>
  </si>
  <si>
    <t>Központosított tám. - kisebbségi önkormányzatoknak</t>
  </si>
  <si>
    <t>Ellátottak pénzbeli juttatása</t>
  </si>
  <si>
    <t>Egyes jöv.pótló támog. Kiegészítése, közcélú foglal.</t>
  </si>
  <si>
    <t>Általános tartalék</t>
  </si>
  <si>
    <t>Kölcsönvisszatérülés (Távhő, Városgazda Kht., Fényes Fürdő Kft.)</t>
  </si>
  <si>
    <t>Céltartalékok:</t>
  </si>
  <si>
    <t xml:space="preserve">Előző évi pénzmaradvány </t>
  </si>
  <si>
    <t xml:space="preserve"> - működési céltartalék</t>
  </si>
  <si>
    <t>Támogatási célú működési bevétel</t>
  </si>
  <si>
    <t>Készfizető kezesség - Városkapu Zrt-nek</t>
  </si>
  <si>
    <t>Központosított támogatás</t>
  </si>
  <si>
    <t>Kölcsön:</t>
  </si>
  <si>
    <t>Intézmények Gazdasági Hivatalának kölcsön</t>
  </si>
  <si>
    <t xml:space="preserve"> - Tatai Távhő Kft-nek</t>
  </si>
  <si>
    <t>Kiegyenlítő, függő, átfutó</t>
  </si>
  <si>
    <t xml:space="preserve"> - Tatai Fényes Fürdő Kft.  (E-ON-nal szerződés kötés)</t>
  </si>
  <si>
    <t>Előző évi kiegészítések, visszatérülések</t>
  </si>
  <si>
    <t xml:space="preserve"> - Tatai Fényes Fürdő Kft. (Dialcont Kft.)</t>
  </si>
  <si>
    <t xml:space="preserve"> - Tatai Fényes Fürdő Kft. (áthidaló kölcsön - fürdő üzem.)</t>
  </si>
  <si>
    <t xml:space="preserve"> - Víz-Zene-Virág Fesztivál</t>
  </si>
  <si>
    <t>Előző évi pénzmaradvány átadás IGH-nak</t>
  </si>
  <si>
    <t>Összesen:</t>
  </si>
  <si>
    <t>1/b. melléklet a 16/2011.(V.02.) önkormányzati rendelethez</t>
  </si>
  <si>
    <t>2010. évi fejlesztési célú bevételek és kiadások mérlege (E Ft-ban)</t>
  </si>
  <si>
    <t>Lakásértékesítés</t>
  </si>
  <si>
    <t>Egyéb ingatlanértékesítés</t>
  </si>
  <si>
    <t>Beruházási hitel törlesztés</t>
  </si>
  <si>
    <t>ÁFA bevétel</t>
  </si>
  <si>
    <t>Fejl. célú pe. átadás</t>
  </si>
  <si>
    <t>Beruházási célra átvett pénzeszköz</t>
  </si>
  <si>
    <t>Beruházási hitel kamat</t>
  </si>
  <si>
    <t>Központosított támogatás TEUT pályázat</t>
  </si>
  <si>
    <t>Kölcsönnyújtás ( lakás támog. szoc + munk.)</t>
  </si>
  <si>
    <t>Támogatás értékű átvételek felhalmozási célra</t>
  </si>
  <si>
    <t xml:space="preserve">Céltartalék </t>
  </si>
  <si>
    <t>Kölcsön visszatérülések</t>
  </si>
  <si>
    <t xml:space="preserve"> - fejl.célú tartalék egyéb feladatokra</t>
  </si>
  <si>
    <t>Felhalmozási célú bérbeadás</t>
  </si>
  <si>
    <t xml:space="preserve"> - kötvénytartalék</t>
  </si>
  <si>
    <t>Pénzügyi befektetés (kötvényből) kamata</t>
  </si>
  <si>
    <t>Fizetendő ÁFA</t>
  </si>
  <si>
    <t>Kötvény kamata</t>
  </si>
  <si>
    <t>Készfizető kezesség: Tata Tóparti Víziközmű, Távhő Kft.</t>
  </si>
  <si>
    <t xml:space="preserve">Központosított támogatás  </t>
  </si>
  <si>
    <t xml:space="preserve">Kölcsön: </t>
  </si>
  <si>
    <t xml:space="preserve"> - Tatai Távhő Kft.-Társasházak fűtéskorszerűsítése</t>
  </si>
  <si>
    <t>Tárgyi eszköz értékesítés</t>
  </si>
  <si>
    <t>Tata Város Önkormányzatának 2010. évi bevételei forrásonként ( E Ft-ban)</t>
  </si>
  <si>
    <t>Bevételek</t>
  </si>
  <si>
    <t>Polgármesteri Hivatal</t>
  </si>
  <si>
    <t>Intézmények Gazdasági Hivatala</t>
  </si>
  <si>
    <t>Árpád-házi Szent Erzsébet Szakkórház és Rendelőintézet</t>
  </si>
  <si>
    <t>Összesen</t>
  </si>
  <si>
    <t>Erdeti</t>
  </si>
  <si>
    <t xml:space="preserve"> - Intézményi saját bevétel </t>
  </si>
  <si>
    <t xml:space="preserve"> - ÁFA bevételek, visszatérülés</t>
  </si>
  <si>
    <t xml:space="preserve"> - kamatbevételek</t>
  </si>
  <si>
    <t xml:space="preserve">   - - kötvényhozam, kamat</t>
  </si>
  <si>
    <t xml:space="preserve"> - működési célra átvett pénzeszköz</t>
  </si>
  <si>
    <t>Intézm. működ. bevételei összesen</t>
  </si>
  <si>
    <t xml:space="preserve"> - helyi adók és egyéb bevételek</t>
  </si>
  <si>
    <t>Ezen belül:</t>
  </si>
  <si>
    <t xml:space="preserve"> -- Építményadó</t>
  </si>
  <si>
    <t xml:space="preserve"> -- Telekadó</t>
  </si>
  <si>
    <t xml:space="preserve"> -- Idegenforgalmi adó</t>
  </si>
  <si>
    <t xml:space="preserve"> -- Iparűzési adó</t>
  </si>
  <si>
    <t xml:space="preserve"> -- Késedelmi pótlék</t>
  </si>
  <si>
    <t xml:space="preserve"> -- Egyéb beszed. Szla (pénzbírság, helyszíni bírság)</t>
  </si>
  <si>
    <t xml:space="preserve"> - átengedett SZJA</t>
  </si>
  <si>
    <t xml:space="preserve"> - gépjárműadó</t>
  </si>
  <si>
    <t xml:space="preserve"> - termőföld bérbeadásából SZJA</t>
  </si>
  <si>
    <t xml:space="preserve"> - Talajterhelési díj</t>
  </si>
  <si>
    <t xml:space="preserve"> - bírság (környezetvédelmi 500, közterület 3000, építés 1500)</t>
  </si>
  <si>
    <t xml:space="preserve"> - bérleti díj</t>
  </si>
  <si>
    <t xml:space="preserve"> - lakbér</t>
  </si>
  <si>
    <t>Önk. Sajátos működ. bev. összesen</t>
  </si>
  <si>
    <t>Működési bevételek összesen</t>
  </si>
  <si>
    <t xml:space="preserve"> - tárgyi eszköz értékesítés</t>
  </si>
  <si>
    <t xml:space="preserve"> - földterület értékesítés</t>
  </si>
  <si>
    <t xml:space="preserve"> - lakásértékesítés (részletek törlesztése)</t>
  </si>
  <si>
    <t xml:space="preserve"> - egyéb ingatlan értékesítés</t>
  </si>
  <si>
    <t xml:space="preserve"> - üzletrész értékesítés</t>
  </si>
  <si>
    <t xml:space="preserve"> - üzemeltetés, bérbeadás felhalm. bevétel</t>
  </si>
  <si>
    <t xml:space="preserve"> - felhalmozási célra átvett pénzeszköz</t>
  </si>
  <si>
    <t>Felhalm. és tőkejellegű bevétel össz.</t>
  </si>
  <si>
    <t xml:space="preserve"> - normatív állami hozzájárulás</t>
  </si>
  <si>
    <t xml:space="preserve"> - egyes jöv. pótló támog. kieg. 116.225, közcélú tám 74.000)</t>
  </si>
  <si>
    <t xml:space="preserve"> - központosított támogatás  </t>
  </si>
  <si>
    <t xml:space="preserve"> - központosított támogatás - kisebbségi önkormányzatoknak</t>
  </si>
  <si>
    <t xml:space="preserve"> - TEUT támogatás (Rákóczi u.)</t>
  </si>
  <si>
    <t>Önk.költségvetési támogatás össz.</t>
  </si>
  <si>
    <t xml:space="preserve"> - támogatás értékű működési bevételek</t>
  </si>
  <si>
    <t xml:space="preserve"> - támogatás egészségügyi műk. célra Tb.</t>
  </si>
  <si>
    <t xml:space="preserve"> - támogatás értékű felhalmozási bevételek</t>
  </si>
  <si>
    <t>Támogatás értékű bevétel összesen:</t>
  </si>
  <si>
    <t>Kölcsön és visszatérülés (lakástám.,szoc+munkált., Távhő, egyéb)</t>
  </si>
  <si>
    <t>Előző évi pénzmaradvány</t>
  </si>
  <si>
    <t>Előző évi pénzmaradvány átvétele</t>
  </si>
  <si>
    <t>Bevételek Mindösszesen:</t>
  </si>
  <si>
    <t xml:space="preserve">Tata Város Önkormányzatának 2010. évi költségvetési kiadásai </t>
  </si>
  <si>
    <t>( kiemelt előirányzatok szerinti részletezésben ) E Ft-ban</t>
  </si>
  <si>
    <t>Kiadások</t>
  </si>
  <si>
    <t xml:space="preserve">Teljesítés </t>
  </si>
  <si>
    <t>Munkaadót terh. járulékok</t>
  </si>
  <si>
    <t>Dologi kiadások</t>
  </si>
  <si>
    <t>Dologi és egyéb folyók. össz.:</t>
  </si>
  <si>
    <t>Pénzeszköz átadás, támogatás:</t>
  </si>
  <si>
    <t>Önk. által folyósított ellátás</t>
  </si>
  <si>
    <t>Ellátottak pénzbeli juttat.</t>
  </si>
  <si>
    <t>Felújítás ( ÁFA-val )</t>
  </si>
  <si>
    <t>Beruházás ( ÁFA-val )</t>
  </si>
  <si>
    <t>Kölcsön nyújtása lakáscélra:</t>
  </si>
  <si>
    <t xml:space="preserve"> - lakossági</t>
  </si>
  <si>
    <t xml:space="preserve"> - munkáltatói</t>
  </si>
  <si>
    <t>Egyéb célra kölcsönnyújtás</t>
  </si>
  <si>
    <t>Hiteltörlesztés fejl.célú</t>
  </si>
  <si>
    <t>Tartalék összesen:</t>
  </si>
  <si>
    <t>Működési céltartalék</t>
  </si>
  <si>
    <t>Felhalmozási céltartalék és kötvény tartalék</t>
  </si>
  <si>
    <t>Készfizető kezesség</t>
  </si>
  <si>
    <t>Finanszírozási kiadások (kiegyenlítő, függő, átfutó)</t>
  </si>
  <si>
    <t>Mindösszesen</t>
  </si>
  <si>
    <t>4. melléklet a 16/2011.(V.02.) önkormányzati rendelethez</t>
  </si>
  <si>
    <t>Polgármesteri Hivatal 2010. évi költségvetési terve (szakfeladatok és kiemelt előirányzatok szerinti bontásban) ( E Ft-ban)</t>
  </si>
  <si>
    <t>E. Ft-ban</t>
  </si>
  <si>
    <t>Megnevezés</t>
  </si>
  <si>
    <t>Bevétel</t>
  </si>
  <si>
    <t>Kiadás</t>
  </si>
  <si>
    <t>Működési kiadások</t>
  </si>
  <si>
    <t>Felhalmozási kiadások</t>
  </si>
  <si>
    <t>Hiteltörl. Kölcsön</t>
  </si>
  <si>
    <t xml:space="preserve">Személyi juttatások </t>
  </si>
  <si>
    <t>M.adókat terh. jár.</t>
  </si>
  <si>
    <t xml:space="preserve">Dologi egyéb folyó </t>
  </si>
  <si>
    <t>Pénzeszk. átadás és kezesség váll.</t>
  </si>
  <si>
    <t>Önk.által foly. ellátás</t>
  </si>
  <si>
    <t>024000</t>
  </si>
  <si>
    <t>Erdészeti szolgáltatás</t>
  </si>
  <si>
    <t>Víztermelés-, kezelés, ellátás</t>
  </si>
  <si>
    <t>Szennyvíz gyűjtés elhelyezés</t>
  </si>
  <si>
    <t>Települési hulladékkezelés</t>
  </si>
  <si>
    <t>Lakó- és nem lakó épületek építése</t>
  </si>
  <si>
    <t>Út, autópálya építése</t>
  </si>
  <si>
    <t>M.n.s. egyéb személyszállítás</t>
  </si>
  <si>
    <t>Közutak, hidak, alagutak üzemeltetése, fenntartása</t>
  </si>
  <si>
    <t>Üdülői szálláshely szolgáltatás</t>
  </si>
  <si>
    <t>Könyvkiadás</t>
  </si>
  <si>
    <t>Egyéb kiadói tevékenység (lapkiadás)</t>
  </si>
  <si>
    <t>Saját tulajdonú ingatlan adásvétele</t>
  </si>
  <si>
    <t>Lakóingatlan bérbeadás</t>
  </si>
  <si>
    <t>Nem lakóingatlan bérbeadása</t>
  </si>
  <si>
    <t>Ingatlankezelés</t>
  </si>
  <si>
    <t>Állategészségügyi ellátás</t>
  </si>
  <si>
    <t>Személygépjármű kölcsönzés</t>
  </si>
  <si>
    <t>Egyéb gép, tárgyi eszköz kölcsönzés</t>
  </si>
  <si>
    <t>Zöldterület-kezelés (Parkfenntartás)</t>
  </si>
  <si>
    <t>Zöldterület kezelés (játszótér fenntartás)</t>
  </si>
  <si>
    <t>Fénymásolás, egyéb irodai szolgáltatás</t>
  </si>
  <si>
    <t>Önkormányzati jogalkotás (képviselők)</t>
  </si>
  <si>
    <t>Országgyűlési képviselő választás</t>
  </si>
  <si>
    <t>Helyi önkormányzati választás</t>
  </si>
  <si>
    <t>Kisebbségi választás</t>
  </si>
  <si>
    <t>Önkormányzatok igazgatási tevékenysége</t>
  </si>
  <si>
    <t>Önkormányzatok igazgatási tevékenysége (Pénzmaradvány)</t>
  </si>
  <si>
    <t>Önkormányzatok igazgatási tevékenysége (Általános tartalék)</t>
  </si>
  <si>
    <t>Önkormányzatok igazgatási tevékenysége (Működési tartalék)</t>
  </si>
  <si>
    <t>Önkormányzatok igazgatási tevékenysége (Felhalmozási tartalék)</t>
  </si>
  <si>
    <t>Önkormányzatok igazgatási tevékenysége (Kötvény tartalék)</t>
  </si>
  <si>
    <t>Nemzeti ünnepek</t>
  </si>
  <si>
    <t>Kiemelt önkormányzati rendezvények (Minimarathon)</t>
  </si>
  <si>
    <t>Kiemelt önkormányzati rendezvények (Városi ünnepek)</t>
  </si>
  <si>
    <t>Kiemelt Önkormányzati rendezvények</t>
  </si>
  <si>
    <t>Önkormányzatok közbeszerzési eljárásainak lebonyolításával összefüggő feladatok</t>
  </si>
  <si>
    <t>Közvilágítás</t>
  </si>
  <si>
    <t>Város- és községgazdálkodási szolgáltatások</t>
  </si>
  <si>
    <t>VKG Környezetvédelem</t>
  </si>
  <si>
    <t>Város- és községgazdálkodási szolgáltatások (kistérségi energiarac.)</t>
  </si>
  <si>
    <t>Város- és községgazdálkodási szolgáltatások (Építés és településfejlesztés)</t>
  </si>
  <si>
    <t>Önkormányzatok elszámolása (adók)</t>
  </si>
  <si>
    <t>Önkormányzatok elszámolása (normatíva)</t>
  </si>
  <si>
    <t>Önkormányzatok elszámolásai (Építési bírság)</t>
  </si>
  <si>
    <t>Finanszírozási műveletek (hitel, készfizető kezesség, hitelkamat)</t>
  </si>
  <si>
    <t>Önkormányzat elszámolása intézményeikkel</t>
  </si>
  <si>
    <t>Önkormányzat nemzetközi kapcsolatai (Testvérváros)</t>
  </si>
  <si>
    <t>Önkormányzat nemzetközi kapcsolatai (HUSK)</t>
  </si>
  <si>
    <t>Közterület rendjének fenntartása (Polgárőrség)</t>
  </si>
  <si>
    <t>Tűzoltás, műszaki mentés, katasztrófahelyzet elhárítása (Polgári védelem)</t>
  </si>
  <si>
    <t>Tűzoltás, műszaki mentés, katasztrófahelyzet elhárítása</t>
  </si>
  <si>
    <t>Árvíz és belvízvédelemmel összefüggő tev.</t>
  </si>
  <si>
    <t>Óvodai nevelés</t>
  </si>
  <si>
    <t>Alapfokú oktatás</t>
  </si>
  <si>
    <t>Alapfokú művészeti oktatás</t>
  </si>
  <si>
    <t>Gyermekjóléti szociális ellátás</t>
  </si>
  <si>
    <t>Tanulmányi ösztöndíj</t>
  </si>
  <si>
    <t>Szociális ösztöndíj</t>
  </si>
  <si>
    <t>Sportszabadidős képzés (Tanuszoda)</t>
  </si>
  <si>
    <t>Oktatási kiegészítő tevékenységek komplex támogatása</t>
  </si>
  <si>
    <t>Járóbeteg-ellátás, fogorvosi ellátás komplex fejlesztési támogatása (Háziorvosok)</t>
  </si>
  <si>
    <t>Kábítószer megelőzési program tev.</t>
  </si>
  <si>
    <t>Gyermekotthoni ellátás</t>
  </si>
  <si>
    <t>Önkormányzati szociális ámogatások finanszírozása</t>
  </si>
  <si>
    <t>Rendszeres szociális segély</t>
  </si>
  <si>
    <t>Időskorúak járadéka</t>
  </si>
  <si>
    <t>Normatív lakásfenntartási támogatás</t>
  </si>
  <si>
    <t>Helyi rendszeres lakásfenntartási támogatás</t>
  </si>
  <si>
    <t>Ápolási díj alanyi jogon</t>
  </si>
  <si>
    <t>Ápolási díj méltányossági alapon</t>
  </si>
  <si>
    <t>Rendszeres GYEV</t>
  </si>
  <si>
    <t>Óvodáztatási támogatás</t>
  </si>
  <si>
    <t>Átmeneti segély</t>
  </si>
  <si>
    <t>Temetési segély</t>
  </si>
  <si>
    <t>Rendkívüli GYEV</t>
  </si>
  <si>
    <t>Mozgáskorlátozottak közlekedési támogatása</t>
  </si>
  <si>
    <t>Egyéb önkormányzati eseti pénzbeli ellátás (Eseti és hivatalos gondnok)</t>
  </si>
  <si>
    <t>Egyéb önkormányzati eseti pénzbeli ellátások (életkezdési támogatás)</t>
  </si>
  <si>
    <t>Adósságkezelés</t>
  </si>
  <si>
    <t>Közgyógyellátás</t>
  </si>
  <si>
    <t>Köztemetés</t>
  </si>
  <si>
    <t>Bölcsödei ellátás</t>
  </si>
  <si>
    <t>Családi napközi</t>
  </si>
  <si>
    <t>Gyermekek napközbeni ell. kapcsolódó egyéb szolg.</t>
  </si>
  <si>
    <t>Házi segítségnyújtás</t>
  </si>
  <si>
    <t>Támogató szolgálat</t>
  </si>
  <si>
    <t>Közösségi ellátás</t>
  </si>
  <si>
    <t>Otthonteremtési támogatás</t>
  </si>
  <si>
    <t>Gyermektartásdíj megelőlegezése</t>
  </si>
  <si>
    <t>Önkormányzat által nyújtott lakástámogatás</t>
  </si>
  <si>
    <t>Munkáltatók által nyújtott lakástámogatás</t>
  </si>
  <si>
    <t>Önkormányzato ifjúsági rendezvények és programok, valamint támogatások (Gyermekbarát város)</t>
  </si>
  <si>
    <t>Közcélú foglalkoztatás</t>
  </si>
  <si>
    <t>Közhasznú foglalkoztatás</t>
  </si>
  <si>
    <t>Közművelődési tevékenység támogatása</t>
  </si>
  <si>
    <t>Utánpótlás nevelési tevékenység és támogatása (Sport iskola)</t>
  </si>
  <si>
    <t>Máshova nem sorolható sport támogatások</t>
  </si>
  <si>
    <t>Szabadidős park, fürdő és strandszolgáltatás</t>
  </si>
  <si>
    <t>Egyéb közösségi, társadalmi tevékenység</t>
  </si>
  <si>
    <t>Köztemető fenntartás</t>
  </si>
  <si>
    <t>Egyéb személyi szolgáltatás (CSERI)</t>
  </si>
  <si>
    <t>Polgármesteri Hivatal feladatainak költségvetése összesen:</t>
  </si>
  <si>
    <t>Közterület-felügyelet 842421</t>
  </si>
  <si>
    <t>Kisebbségi Önkormányzatok</t>
  </si>
  <si>
    <t>841127</t>
  </si>
  <si>
    <t>Német Kisebbségi Önkormányzat</t>
  </si>
  <si>
    <t>Lengyel Kisebbségi Önkormányzat</t>
  </si>
  <si>
    <t>Cigány Kisebbségi Önkormányzat</t>
  </si>
  <si>
    <t>Kisebbségi Önkormányzatok összesen</t>
  </si>
  <si>
    <t>Mindösszesen:</t>
  </si>
  <si>
    <t>Intézmények Gazdasági Hivatalához tartozó részben önálló intézmények 2010. évi költségvetése</t>
  </si>
  <si>
    <t>Költségvetési alcím megnevezése</t>
  </si>
  <si>
    <t>Egyéb saját bevétel</t>
  </si>
  <si>
    <t>Egyéb saját bevételből ellátottak étkezési térítési díj bevétele</t>
  </si>
  <si>
    <t>ÁFA</t>
  </si>
  <si>
    <t>Kamat-bevételek</t>
  </si>
  <si>
    <t>Átvett pénzeszközök</t>
  </si>
  <si>
    <t>Támogatásértékű bevétel</t>
  </si>
  <si>
    <t>Kapott kölcsön (fenntartói)</t>
  </si>
  <si>
    <t>Tárgyi eszköz, immat. javak értékesítése</t>
  </si>
  <si>
    <t>Pénzmaradvány</t>
  </si>
  <si>
    <t>Bevételek összesen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</si>
  <si>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</si>
  <si>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</si>
  <si>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</si>
  <si>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</si>
  <si>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</si>
  <si>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járulék</t>
  </si>
  <si>
    <t>Dologi</t>
  </si>
  <si>
    <t>Dologiból ellátottakra vonatkozó élelmiszer beszerzés és vásárolt élelmezés</t>
  </si>
  <si>
    <t>Pénzbeli juttatás</t>
  </si>
  <si>
    <t>Egyéb juttatás</t>
  </si>
  <si>
    <t>Fürdő utcai Óvoda</t>
  </si>
  <si>
    <t>mód. 2010.V.</t>
  </si>
  <si>
    <t>mód. 2010.X.</t>
  </si>
  <si>
    <t>mód 2010.XII.</t>
  </si>
  <si>
    <t>mód 2011.II.hó</t>
  </si>
  <si>
    <t>mód 2011. III.hó</t>
  </si>
  <si>
    <t>Kálvária utcai Óvoda</t>
  </si>
  <si>
    <t>Szivárvány Óvoda</t>
  </si>
  <si>
    <t>Kuckó Óvoda</t>
  </si>
  <si>
    <t>Geszti Óvoda</t>
  </si>
  <si>
    <t>Bartók B. utcai Óvoda</t>
  </si>
  <si>
    <t>Kertvárosi Óvoda</t>
  </si>
  <si>
    <t>Kincseskert Óvoda</t>
  </si>
  <si>
    <t>Bergengócia Óvoda</t>
  </si>
  <si>
    <t>Csillagsziget Bölcsöde</t>
  </si>
  <si>
    <t>Vaszary J. Általános Iskola</t>
  </si>
  <si>
    <t>Vaszary J. Általános Iskola - Logopédiai Intézet</t>
  </si>
  <si>
    <t>Vaszary J. Általános Iskola Jázmin utcai Tagintézménye</t>
  </si>
  <si>
    <t>Vaszary J. Általános Iskola Tardosi Tagintézménye</t>
  </si>
  <si>
    <t>Vaszary J. Általános Iskola összesen</t>
  </si>
  <si>
    <t>Kőkúti Általános Iskola</t>
  </si>
  <si>
    <t>Kőkúti Általános Iskola - Fazekas U. Tagintézmény</t>
  </si>
  <si>
    <t>Kőkúti Általános Iskola összesen</t>
  </si>
  <si>
    <t>Zeneiskola</t>
  </si>
  <si>
    <t>Könyvtár</t>
  </si>
  <si>
    <t>mód2011.II.hó</t>
  </si>
  <si>
    <t>SZAI - Jelzőrendszeres házi segítségnyújtás</t>
  </si>
  <si>
    <t>SZAI - Támogató szolgálat</t>
  </si>
  <si>
    <t>SZAI - Közösségi ellátás</t>
  </si>
  <si>
    <t>SZAI - nappali, családsegítő és gyermekjóléti, szociális étkezés, éjjeli menedékhely, házigondozás</t>
  </si>
  <si>
    <t>Szociális Alapellátó Intézmény összesen</t>
  </si>
  <si>
    <t>Költségvetési alcímek és szakfeladatok összesen:</t>
  </si>
  <si>
    <t>2010. évi felújítási kiadások célonként (ÁFA-val)</t>
  </si>
  <si>
    <t>E Ft-ban</t>
  </si>
  <si>
    <t>Áthúzódó kötelezettségvállalással terhelt feladatok kötvényből:</t>
  </si>
  <si>
    <t xml:space="preserve"> - Bartók B. u. felújítása 378/2009./X.28./ sz. határozat</t>
  </si>
  <si>
    <t xml:space="preserve"> - Magyary Zoltán Művelődési ház felújítása 376/2009./X.28./ sz. határozat </t>
  </si>
  <si>
    <t xml:space="preserve"> - Talentum Iskola felújítás, szennyvízvezeték kiváltása</t>
  </si>
  <si>
    <t xml:space="preserve"> - Polgármesteri Hivatal akadálymentesítése KDOP-2009-5.3.2 pályázat 343/2009./IX.30./ sz. határozat</t>
  </si>
  <si>
    <t xml:space="preserve"> - Rákóczi u. felújítása TEUT támogatással</t>
  </si>
  <si>
    <t xml:space="preserve"> - Keszthelyi u. 12. és Gesztenyefasor 47. felújítás befejezésével kapcsolatos költségek</t>
  </si>
  <si>
    <t>2010. évi igények:</t>
  </si>
  <si>
    <t xml:space="preserve"> - Tervezések útburkolat felújításhoz</t>
  </si>
  <si>
    <t xml:space="preserve"> - Lányi Villa előtti lépcső felújítása</t>
  </si>
  <si>
    <t xml:space="preserve"> - Önkormányzati bérlakások felújítása</t>
  </si>
  <si>
    <t xml:space="preserve"> - Rákóczi u. 9. homlokzat felújítás</t>
  </si>
  <si>
    <t xml:space="preserve"> - Új u-i vízfolyás alsó szakasz kotrás</t>
  </si>
  <si>
    <t xml:space="preserve"> - Kültérre kihelyezett eszközök felújítása</t>
  </si>
  <si>
    <t xml:space="preserve"> - Polgármesteri Hivatal felújítása</t>
  </si>
  <si>
    <t xml:space="preserve"> - Vízhálózat felújítás (ÉDV Zrt.)</t>
  </si>
  <si>
    <t xml:space="preserve"> - Környei út - Kocsi út csomópont járda felújítás</t>
  </si>
  <si>
    <t xml:space="preserve"> - Magyary Z. Műv. Központ felújításának pótmunkái</t>
  </si>
  <si>
    <t xml:space="preserve"> - Újhegyi úti vízfolyás rekonstrukciójának vízjogi létesítési engedélyéhez vázrajzok</t>
  </si>
  <si>
    <t xml:space="preserve"> - Bartók B. u. parkolók 279/2010./VIII.18./ sz. határozat</t>
  </si>
  <si>
    <t xml:space="preserve"> - Országgyűlés tér átépítése - általános tartalékból</t>
  </si>
  <si>
    <t xml:space="preserve"> - Újhegyi út, (Szőgyéni u.- Akácfa u. közötti) járdaszakasz felújítás - általános tartalékból</t>
  </si>
  <si>
    <t xml:space="preserve"> - Baji úti járdaszakasz felújítás - általános tartalékból</t>
  </si>
  <si>
    <t xml:space="preserve"> - Játszótér felújítás (Május 1. u. 23-25. és Angolkert teniszpálya melletti játszótér, Toldi M. u-i játszótér)</t>
  </si>
  <si>
    <t xml:space="preserve"> - Bartók Béla u. feltáró út építéséhez bontási munkák, többletköltségek</t>
  </si>
  <si>
    <t xml:space="preserve"> - Petőfi S. u.-i Idősek otthona pagodatető zsindelyezés</t>
  </si>
  <si>
    <t xml:space="preserve"> - Rákóczi u. felújításának közbeszerzési díja</t>
  </si>
  <si>
    <t xml:space="preserve"> - Mikszáth K. u-i mederrendezés</t>
  </si>
  <si>
    <t xml:space="preserve"> - Polgármesteri Hivatalban ablak csere</t>
  </si>
  <si>
    <t xml:space="preserve"> - Kossuth tér és a templom melletti szervízút cspapdékvíz elvezetésének engedélye</t>
  </si>
  <si>
    <t>2010. évi igények kötvényből:</t>
  </si>
  <si>
    <t xml:space="preserve"> - Ravatalozó felújítás</t>
  </si>
  <si>
    <t xml:space="preserve"> - Magyary Zoltán Művelődési Központ felújításának pótmunkái</t>
  </si>
  <si>
    <t xml:space="preserve"> - Fényes-fürdőn felújítási munkák</t>
  </si>
  <si>
    <t xml:space="preserve"> - Bacsó B u. 31. bejáró felújítás</t>
  </si>
  <si>
    <t xml:space="preserve"> - Mikovényi u. 49. előtti járda felújítása</t>
  </si>
  <si>
    <t xml:space="preserve"> - Mosdók felújítása, gépészeti szerelés, röntgen cső felújítás</t>
  </si>
  <si>
    <t xml:space="preserve"> - Szivárvány Óvoda tetőfelújítása</t>
  </si>
  <si>
    <t xml:space="preserve"> - Fürdő u.-i Óvoda villámhárító, kémények átrakása, kerítés átrakása</t>
  </si>
  <si>
    <t xml:space="preserve"> - Vaszary Általános Iskola tornaterem tető, villámhárító, környezetbarát csapok, radiátor csere</t>
  </si>
  <si>
    <t xml:space="preserve"> - Kőkúti Általános Iskola vizesblokk</t>
  </si>
  <si>
    <t xml:space="preserve"> - Kőkúti Általános Iskola Fazekas Utcai tagintézménye - tetőfelújítás</t>
  </si>
  <si>
    <t xml:space="preserve"> - Kálvária utcai Óvoda távfűtési vezeték javítás</t>
  </si>
  <si>
    <t xml:space="preserve"> - Csillagsziget Bölcsöde - csoport szoba padlózása</t>
  </si>
  <si>
    <t xml:space="preserve"> - Szociális Alapellátó - menedék belső felújítása</t>
  </si>
  <si>
    <t xml:space="preserve"> - Intézmények Gazdasági Hivatala</t>
  </si>
  <si>
    <t xml:space="preserve"> - Vaszary Általános Iskola Jázmin utcai Tagintézménye - villámhárító felújítása</t>
  </si>
  <si>
    <t>2010. évi beruházási kiadások feladatonként (ÁFA-val)</t>
  </si>
  <si>
    <t xml:space="preserve">E Ft-ban </t>
  </si>
  <si>
    <t xml:space="preserve"> - Május 1. u. 5-17. direktág kialakítás</t>
  </si>
  <si>
    <t xml:space="preserve"> - Bartók B. u.-i Óvoda bővítése 43/2009./II.25./ sz. határozat</t>
  </si>
  <si>
    <t xml:space="preserve"> - Intézmények energiaracionalizálása 183/2008./VI.25./ sz. határozat</t>
  </si>
  <si>
    <t xml:space="preserve"> - Angol park rehabilitációja 263/2009./VII.2./ sz. határozat</t>
  </si>
  <si>
    <t xml:space="preserve"> - Kocsi u. - Dózsa Gy. u. kerékpárút 225/2009./VI.24./ sz. határozat</t>
  </si>
  <si>
    <t xml:space="preserve"> - Fáklya u. - Diófa u. korszerűsítése 280/2009./IX.9./ sz. határozat</t>
  </si>
  <si>
    <t xml:space="preserve"> - József A. u. vízrendezése, Deák F. u. csapadékvízelvezetés (pályázatírás)  372/2009./X.28./ és a 218/2010./VI.30./ sz. határozatok</t>
  </si>
  <si>
    <t xml:space="preserve"> - Kossuth tér rehabilitációja 399/2009./XI.13./ sz. határozat</t>
  </si>
  <si>
    <t xml:space="preserve"> - Kajakház, Öreg-tavi kerékpárút 283/2009/IX.9./ sz. határozat</t>
  </si>
  <si>
    <t xml:space="preserve"> - Új u.- Bölcsöde férőhely fejlesztés 261/2009/VII.2./ sz. határozat</t>
  </si>
  <si>
    <t xml:space="preserve"> - 460/89, 460/111 hrsz.-ú ingatlanokból terület vásárlás 369/2009./X.28./ sz. határozat</t>
  </si>
  <si>
    <t xml:space="preserve"> - Piarista rendház átalakítás</t>
  </si>
  <si>
    <t xml:space="preserve"> - Turisztikai szakvélemény</t>
  </si>
  <si>
    <t xml:space="preserve"> - Rendezvényház megvalósíthatóségi tanulmány</t>
  </si>
  <si>
    <t xml:space="preserve"> - Fényes-fürdő környezet terhelhetőségi tanulmány</t>
  </si>
  <si>
    <t xml:space="preserve"> - Gyalogátkelő létesítés (Somogyi B. u. - Bacsó B. u.)</t>
  </si>
  <si>
    <t xml:space="preserve"> - Jázmin u. 22-24. ingatlanok megvásárlása 472/2009./XII.16./ sz. határozat (további 20.000 E Ft 2011-ben esedékes)</t>
  </si>
  <si>
    <t xml:space="preserve"> - Gondoskodó kistérség, szociális alapellátások minőségi fejlesztése projekt</t>
  </si>
  <si>
    <t xml:space="preserve"> - Keszthelyi u. járda pótmunkák</t>
  </si>
  <si>
    <t xml:space="preserve">Áthúzódó kötelezettségvállalással terhelt feladatok: </t>
  </si>
  <si>
    <t xml:space="preserve"> - Parkolóhely létesítés (Fazekas u.)</t>
  </si>
  <si>
    <t xml:space="preserve"> - Szélkút u. 3. kamra építés</t>
  </si>
  <si>
    <t xml:space="preserve"> - Bárány u. garázs bontás</t>
  </si>
  <si>
    <t xml:space="preserve"> - ÁROP pályázat, Polgármesteri Hivatal szervezetfejlesztése 165/2008/V.28./ sz. határozat</t>
  </si>
  <si>
    <t xml:space="preserve"> - Beruházásokhoz kapcsolódó közbeszerzések</t>
  </si>
  <si>
    <t xml:space="preserve"> - Tópart sétány közvilágítás tervezés</t>
  </si>
  <si>
    <t xml:space="preserve"> - Árendás patak mederrendezés, partfal rekonstrukció</t>
  </si>
  <si>
    <t xml:space="preserve"> 2010. évi igények:</t>
  </si>
  <si>
    <t xml:space="preserve"> - Lőtér kerítés építés</t>
  </si>
  <si>
    <t xml:space="preserve"> - Bacsó B. u. HM ingatlanokba ivóvíz és áram mérők felszerelése</t>
  </si>
  <si>
    <t xml:space="preserve"> - Fazekas Iskola átalakítás</t>
  </si>
  <si>
    <t xml:space="preserve"> - Beruházásokkal kapcsolatos közbeszerzések</t>
  </si>
  <si>
    <t xml:space="preserve"> - Rügy u. árokburkolat készítés</t>
  </si>
  <si>
    <t xml:space="preserve"> - Új u. árokkotrás, átereszek átépítése</t>
  </si>
  <si>
    <t xml:space="preserve"> - Nagy L. u. - Tavasz u. csapadékvíz elvezetése</t>
  </si>
  <si>
    <t xml:space="preserve"> - Kakas u. felső szakasz vízgyűjtő</t>
  </si>
  <si>
    <t xml:space="preserve"> - Kos réti vízfolyás geodézia</t>
  </si>
  <si>
    <t xml:space="preserve"> - Csever árok geodézia, gépi kotrás</t>
  </si>
  <si>
    <t xml:space="preserve"> - Kakas u.-i árokrendezés</t>
  </si>
  <si>
    <t xml:space="preserve"> - Naszály u.-i árokkotrás</t>
  </si>
  <si>
    <t xml:space="preserve"> - Agostyán, Kossuth u. 2.-48. vízelvezetés</t>
  </si>
  <si>
    <t xml:space="preserve"> - Rákóczi u. kandelláber csere</t>
  </si>
  <si>
    <t xml:space="preserve"> - Új u.-i árok- és vízgyűjtő ter. Vizsgálat</t>
  </si>
  <si>
    <t xml:space="preserve"> - Új u.-i komposzttelep</t>
  </si>
  <si>
    <t xml:space="preserve"> - Közterület felügyelet számítástechnikai eszköz beszerzés</t>
  </si>
  <si>
    <t xml:space="preserve"> - 1510. évi tatai országgyűlés 500. évfordulójára emlékmű állítása</t>
  </si>
  <si>
    <t xml:space="preserve"> - Számítástechnikai eszköz (hardver, szoftver) beszerzés</t>
  </si>
  <si>
    <t xml:space="preserve"> - Új hiteles digitális alaptérkép</t>
  </si>
  <si>
    <t xml:space="preserve"> - Balatonvilágosi üdülő téliesítése</t>
  </si>
  <si>
    <t xml:space="preserve"> - Agostyáni közösségi tér kialakítása</t>
  </si>
  <si>
    <t xml:space="preserve"> - Játszóterek kialakítása  (Bacsó B. úti ltp. és egyéb területen)</t>
  </si>
  <si>
    <t xml:space="preserve"> - Kocsi út - Környei út közötti szakasz szénhidrogén vezeték kiváltásának Áfája</t>
  </si>
  <si>
    <t xml:space="preserve"> - Kocsi u. 4. ingatlan vételár</t>
  </si>
  <si>
    <t xml:space="preserve"> - Sikerdíjak</t>
  </si>
  <si>
    <t xml:space="preserve"> -- Ökoturisztikai központ KDOP-2.1.1/B</t>
  </si>
  <si>
    <t xml:space="preserve"> -- Gondoskodó kistérség Deák F. u. - Almási u. KDOP5.2.2/A</t>
  </si>
  <si>
    <t xml:space="preserve"> -- Új u-i Bölcsőde férőhely fejlesztés KDOP-5.2.2/B</t>
  </si>
  <si>
    <t xml:space="preserve"> -- Kossuth tér rehabilitációja KDOP-3.1.1/A</t>
  </si>
  <si>
    <t xml:space="preserve"> - Üzletrész vásárlás Fogaskerékgyár Kft-től</t>
  </si>
  <si>
    <t xml:space="preserve"> - Számítástechnikai eszköz beszerzés az FSZ-120/0-2009 Közösségi ellátás pályázat keretéből</t>
  </si>
  <si>
    <t xml:space="preserve"> - Martyn terembe Ír király üvegablakhoz fa keret</t>
  </si>
  <si>
    <t xml:space="preserve"> - Rákóczi u. csapadékvíz bekötés</t>
  </si>
  <si>
    <t xml:space="preserve"> - Belvízrendezési többletfeladatokra</t>
  </si>
  <si>
    <t xml:space="preserve"> -- V. dűlő vízrendezési terv</t>
  </si>
  <si>
    <t xml:space="preserve"> -- V. dűlő szikkasztó árkok</t>
  </si>
  <si>
    <t xml:space="preserve"> -- Komáromi u. - Aradi u. - Szemere B. u.  - Perczel Mór u. vízrendezési terv</t>
  </si>
  <si>
    <t xml:space="preserve"> -- Agostyáni u. csapadékvíz elvezetés</t>
  </si>
  <si>
    <t xml:space="preserve"> -- Környei út "K" szegély építés</t>
  </si>
  <si>
    <t xml:space="preserve"> - Piac téri út közvilágítás 183/2010./VI.2./</t>
  </si>
  <si>
    <t xml:space="preserve"> - Piac téri út ideiglenes burkolat 183/2010./VI.2./</t>
  </si>
  <si>
    <t xml:space="preserve"> - Közép-Duna Vidék Hulladékgazdálkodási Vagyonkezelő és Közszolgáltató Kft-ben tőkeemelés 243/2010./VI.30./ sz. határozat</t>
  </si>
  <si>
    <t xml:space="preserve"> - Trianoni emlékoszlop - általános tartalékból</t>
  </si>
  <si>
    <t xml:space="preserve"> - Petőfi u-i Idősek Otthona kerítés bontás és építés</t>
  </si>
  <si>
    <t xml:space="preserve"> - Levente Péter: Jenő malom meséje (600 E Ft a Gyermekbarát város-, 2.150 E Ft az általános taratlék keretből)</t>
  </si>
  <si>
    <t xml:space="preserve"> - Május 1. u. - Almási u. - Ady E. u. körforgalom építés hálózat kiváltás - Magyar Telekom Nyrt.</t>
  </si>
  <si>
    <t xml:space="preserve"> - Újvilág u. korszerűsítésének építési engedélye és tervei</t>
  </si>
  <si>
    <t xml:space="preserve"> - Ingatlan vételár 1929/3 hrsz, 1929/1 hrsz - a Tatai Harangláb Kft-től</t>
  </si>
  <si>
    <t xml:space="preserve"> - Bartók B. u.- Óvodába tűzjelző berendezés</t>
  </si>
  <si>
    <t xml:space="preserve"> - 1994/31, 1984/2, 1993/51 hrsz-ú ingatlanok térítésmestes átvételéhez szükséges vízvezeték szolgalmi jog megváltáshoz kártérítés</t>
  </si>
  <si>
    <t xml:space="preserve"> - Kristály fürdőre kerítés építés</t>
  </si>
  <si>
    <t xml:space="preserve"> - Fáklya úti földkábel kiváltási terve</t>
  </si>
  <si>
    <t xml:space="preserve"> - Kastély téri járda burkolat</t>
  </si>
  <si>
    <t xml:space="preserve"> - Május 1. u. - Almási u. - Ady E. u. körforgalom átépítés tervek</t>
  </si>
  <si>
    <t xml:space="preserve"> - Vörösmarty út korszerűsítésének tervei</t>
  </si>
  <si>
    <t xml:space="preserve"> - Pályázatok előkészítésére</t>
  </si>
  <si>
    <t xml:space="preserve"> - Kisajátítások</t>
  </si>
  <si>
    <t xml:space="preserve"> -- Agostyáni u. - Nyár u.</t>
  </si>
  <si>
    <t xml:space="preserve"> -- Agostyán, Kert u.</t>
  </si>
  <si>
    <t xml:space="preserve"> -- Újhegy</t>
  </si>
  <si>
    <t xml:space="preserve"> -- Akácfa u.</t>
  </si>
  <si>
    <t xml:space="preserve"> - Által-ér völgyi kerékpárút pályázat előkészítés (pályázatírás 5.500 E Ft; kisajátítás, területszerzés 9.000 E Ft, kisajátítási vázrajzok; Terrénum Kft szerződés 3.100)</t>
  </si>
  <si>
    <t xml:space="preserve"> - Bartók B. u.-i Óvoda közműellátása</t>
  </si>
  <si>
    <t xml:space="preserve"> - Fényes Fürdő Kft. részesedés</t>
  </si>
  <si>
    <t xml:space="preserve"> - Új úti Bölcsöde</t>
  </si>
  <si>
    <t xml:space="preserve"> - Által-ér völgyi kerékpárút önerő KÖZOP-2008-3.2. pályázat</t>
  </si>
  <si>
    <t xml:space="preserve"> - Intézmények energiaracionalizálás pótmunkák 262/2010./VI.30./ sz. határozat</t>
  </si>
  <si>
    <t xml:space="preserve"> - Kossuth tér rehabilitációja pályázat többlettervei</t>
  </si>
  <si>
    <t xml:space="preserve"> - Dózsa Gy. u. kapukihajtók megépítése 315/2010./IX.22./ sz. határozat</t>
  </si>
  <si>
    <t xml:space="preserve"> - Dózsa Gy. u. 12 db víznyelő akna 316/2010./IX.22/ sz. határozat</t>
  </si>
  <si>
    <t xml:space="preserve"> - Vasút u. korszerűsítéséhez kapcs. Újhegyi úti vízfolyás vízjogi eng. megadásához kártalanítás a Magyar Államnak</t>
  </si>
  <si>
    <t xml:space="preserve"> - Piac téri út csapadékcsatorna 183/2010./VI.2./</t>
  </si>
  <si>
    <t xml:space="preserve"> - Rákóczi u. közvilágítás </t>
  </si>
  <si>
    <t xml:space="preserve"> - Deák F. u. és Erkel F. u. csapadékvíz elvezető pályázati önerő 346/2010.(X.27.) sz. határozat</t>
  </si>
  <si>
    <t xml:space="preserve"> - Kocsi u. és a rácsatlakozó utcák közvilágítása 348/2010.(X.27.) sz. határozat</t>
  </si>
  <si>
    <t xml:space="preserve"> - Piac tér közvilágítása</t>
  </si>
  <si>
    <t xml:space="preserve"> - Eszközvásárlás</t>
  </si>
  <si>
    <t xml:space="preserve"> - Csillagsziget Bölcsőde konyhai berendezések vásárlása, udvari játékok</t>
  </si>
  <si>
    <t xml:space="preserve"> - Szociális Alapellátó - eszközbeszerzés, sportpálya kialakítás</t>
  </si>
  <si>
    <t xml:space="preserve"> - Vaszary János Általános Iskola Jázmin Utcai Tagintézmény - kazáncsere</t>
  </si>
  <si>
    <t xml:space="preserve"> - Móricz Zs. Könyvtár - eszközfejlesztés</t>
  </si>
  <si>
    <t xml:space="preserve"> - Bartók B. utcai Óvoda - eszközbeszerzés</t>
  </si>
  <si>
    <t xml:space="preserve"> - Kertvárosi Óvoda - eszközbeszerzés</t>
  </si>
  <si>
    <t xml:space="preserve"> - Kőkúti Általános Iskola - nyomtató beszerzés</t>
  </si>
  <si>
    <t xml:space="preserve"> - Kőkúti Általános Iskola Fazekas utcai Tagintézménye - nyomtató, projektor</t>
  </si>
  <si>
    <t xml:space="preserve"> - Vaszary János Általános Iskola - eszközbeszerzés</t>
  </si>
  <si>
    <t xml:space="preserve"> - Intézmények Gazdasági Hivatala - eszközbeszerzés</t>
  </si>
  <si>
    <t xml:space="preserve"> - Zeneiskola - fénymásoló</t>
  </si>
  <si>
    <t>Tata Város Önkormányzata által folyósított 2010. évi ellátások alakulásának részletezése</t>
  </si>
  <si>
    <t>(E Ft-ban)</t>
  </si>
  <si>
    <t>Lehívható központi támogatás</t>
  </si>
  <si>
    <t>Rendelkezésre állási támogatás</t>
  </si>
  <si>
    <t>Tartósan munkanélküliek rendszeres szociális segélye</t>
  </si>
  <si>
    <t>Lakásfenntartási támogatás (normatív)</t>
  </si>
  <si>
    <t>Lakásfenntartási támogatás (helyi megállapítás)</t>
  </si>
  <si>
    <t>Adósságkezelési szolgáltatással kapcsolatos támogatás</t>
  </si>
  <si>
    <t>Ápolási díj (normatív)</t>
  </si>
  <si>
    <t>Ápolási díj (helyi megállapítás)</t>
  </si>
  <si>
    <t>Rendszeres gyermekvédelmi támogatás (normatív)</t>
  </si>
  <si>
    <t>Rendkívüli gyermekvédelmi támogatás (helyi megállapítás)</t>
  </si>
  <si>
    <t>Tatai fiatalok életkezdési támogatásához</t>
  </si>
  <si>
    <t>Közlekedési támogatás tanulóknak</t>
  </si>
  <si>
    <t>Nyári gyermekétkeztetés</t>
  </si>
  <si>
    <t>Rászorultságtól függő pénzbeli szociális, gyermekvédelmi ellátások összesen</t>
  </si>
  <si>
    <t>Természetben nyújtott gyermekvédelmi támogatás</t>
  </si>
  <si>
    <t>Önkormányzati saját hatáskörben adott természetbeni ellátás</t>
  </si>
  <si>
    <t>Házi segítségnyújtás előtti szakértői vizsgálatra</t>
  </si>
  <si>
    <t>Természetben nyújtott átmeneti segély</t>
  </si>
  <si>
    <t>Méhnyakrák elleni védőoltás</t>
  </si>
  <si>
    <t>Természetben nyújtott ellátások összesen</t>
  </si>
  <si>
    <t>Vörösiszap károsultjainak megsegítése</t>
  </si>
  <si>
    <t>Kártérítés (szennyvízbekötéssel kapcsolatos)</t>
  </si>
  <si>
    <t>2010. évi tavaszi esőzések károsultjainak támogatása</t>
  </si>
  <si>
    <t>Egyéb támogatás összesen:</t>
  </si>
  <si>
    <t>Önkormányzatok által folyósított szociális, gyermekvédelmi ellátások összesen:</t>
  </si>
  <si>
    <t xml:space="preserve">Ápolási díj járulék 24 % </t>
  </si>
  <si>
    <t xml:space="preserve"> - normatív</t>
  </si>
  <si>
    <t xml:space="preserve"> - méltányosság </t>
  </si>
  <si>
    <t xml:space="preserve"> 9. melléklet a 16/2011.(V.02.) önkormányzati rendelethez</t>
  </si>
  <si>
    <t>Pénzeszközátadások, támogatások 2010. évi előirányzata (E Ft-ban)</t>
  </si>
  <si>
    <t>Működési célú pénzeszközátadások és támogatások a Polgármesteri Hivatalnál:</t>
  </si>
  <si>
    <t xml:space="preserve"> - Tatai Városgazda Nonprofit Kft. támogatása</t>
  </si>
  <si>
    <t xml:space="preserve"> - TDM szervezet működésére, 141/2009./V.24./, 270/2009./VIII.12./ sz. határozatok alapján</t>
  </si>
  <si>
    <t xml:space="preserve"> - Környzetvédelmi alapra pályázók részére</t>
  </si>
  <si>
    <t xml:space="preserve"> - Sporttámogatás - THAC</t>
  </si>
  <si>
    <t xml:space="preserve"> - Sportalap pályázatokra</t>
  </si>
  <si>
    <t xml:space="preserve"> - Tatai Minimarathon</t>
  </si>
  <si>
    <t xml:space="preserve"> - Kőkúti Sasok DSE támogatása</t>
  </si>
  <si>
    <t xml:space="preserve"> - Tatai Kistérségi Többcélú Társulás tagdíj</t>
  </si>
  <si>
    <t xml:space="preserve"> - Tatai Városkapu Zrt.-nek Tourinform Iroda támogatása</t>
  </si>
  <si>
    <t xml:space="preserve"> - Juniorka Óvoda alapítványi támogatása</t>
  </si>
  <si>
    <t xml:space="preserve"> - Juniorka Bölcsöde alapítványi támogatása</t>
  </si>
  <si>
    <t xml:space="preserve"> - Tanulmányi ösztöndíjra (Mecénás Közalapítvány, Bursa Hungarika)</t>
  </si>
  <si>
    <t xml:space="preserve"> - Színes Iskola támogatása</t>
  </si>
  <si>
    <t xml:space="preserve"> - Máltai Szeretetszolgálat támogatása</t>
  </si>
  <si>
    <t xml:space="preserve"> - Szociális, gyermekjóléti és egészségvédelmi pályázatokra</t>
  </si>
  <si>
    <t xml:space="preserve"> - Vöröskereszt tatai szervezetének támogatása</t>
  </si>
  <si>
    <t xml:space="preserve"> - Háziorvosok szerződés szerinti támogatása (21 praxis 250 E Ft/év/parxis + 300 E Ft 5. sz. felnőtt háziorvosi körzet)</t>
  </si>
  <si>
    <t xml:space="preserve"> - Polgárőr Egyesület támogatása</t>
  </si>
  <si>
    <t xml:space="preserve"> - Tatai TV Közalapítvány támogatása</t>
  </si>
  <si>
    <t xml:space="preserve"> - Víz Zene Virág Fesztivál Egyesület támogatása</t>
  </si>
  <si>
    <t xml:space="preserve"> - Concerto Kht. támogatása</t>
  </si>
  <si>
    <t xml:space="preserve"> - Kenderke Néptánc Egyesület támogatása</t>
  </si>
  <si>
    <t xml:space="preserve"> - Barokk Fesztivál </t>
  </si>
  <si>
    <t xml:space="preserve"> - Művészeti Iskola támogatása - Református Egyház, Kenderke</t>
  </si>
  <si>
    <t xml:space="preserve"> - Kulturális pályázatokra</t>
  </si>
  <si>
    <t xml:space="preserve"> - Oktatási és ifjúsági pályázatokra</t>
  </si>
  <si>
    <t xml:space="preserve"> - Tatai Városkapu Zrt-nek közművelődési feladatok ellátására (közhasznú, közművelődési megállapodás alapján)</t>
  </si>
  <si>
    <t xml:space="preserve"> - TIT KEM Egyesület támogatása</t>
  </si>
  <si>
    <t xml:space="preserve"> - Pötörke Népművészeti Egyesület támogatása</t>
  </si>
  <si>
    <t xml:space="preserve"> - Szorgalmas Diák ösztöndíj támogatás</t>
  </si>
  <si>
    <t xml:space="preserve"> - Foglalkoztatás növelő támogatás (kis- és középvállalkozások)</t>
  </si>
  <si>
    <t xml:space="preserve"> - THAC kézilabda szakosztály támogatása</t>
  </si>
  <si>
    <t xml:space="preserve"> - Országgyűlési választások miatt átlagbér megtérítés GDF SUEZ-nek</t>
  </si>
  <si>
    <t xml:space="preserve"> - Általános tartalékból</t>
  </si>
  <si>
    <t xml:space="preserve">  -- Történelmi Igazságtételi Bizottság 56-os tagozatának </t>
  </si>
  <si>
    <t xml:space="preserve">  -- KEM Önkormányzat Múzeumainak Igazgatósága </t>
  </si>
  <si>
    <t xml:space="preserve">  -- Pusztinai Házért Egyesület </t>
  </si>
  <si>
    <t xml:space="preserve">  -- Magyary Népfőiskolai Társaság </t>
  </si>
  <si>
    <t xml:space="preserve">  -- Városi Nyugdíjas Klub</t>
  </si>
  <si>
    <t xml:space="preserve">  -- Mozgáskolátozottak Egyesülete</t>
  </si>
  <si>
    <t xml:space="preserve">  -- Magyarországi Zsidó Hitközösség</t>
  </si>
  <si>
    <t xml:space="preserve">  -- Pro Minorate (XXI. Bálványosi Nyári Szabadegyetem rendezvény támogatása)</t>
  </si>
  <si>
    <t xml:space="preserve">  -- Lengyel Kisebbségi Önkormányzat</t>
  </si>
  <si>
    <t xml:space="preserve">  -- Eötvös József Gimnázium (X. Márványhegyi Művésztelep megszerv.)</t>
  </si>
  <si>
    <t xml:space="preserve">  -- Eötvös József Gimnázium (Melbournei kórus fogadása)</t>
  </si>
  <si>
    <t xml:space="preserve">  -- Tatai Kenderke Néptáncegyüttes</t>
  </si>
  <si>
    <t xml:space="preserve">  -- Tatai Sárkányhajó Egyesület</t>
  </si>
  <si>
    <t xml:space="preserve">  -- Dunaszentmiklós Község Önkormányzata</t>
  </si>
  <si>
    <t xml:space="preserve">  -- Kárpátaljai M. Főiskola A.</t>
  </si>
  <si>
    <t xml:space="preserve">  -- KEM Önk. Múzeumok Igazgatósága</t>
  </si>
  <si>
    <t xml:space="preserve"> -- Tatai Éremgyűjtők Egyesületének támogatása</t>
  </si>
  <si>
    <t xml:space="preserve">  -- Moldvai Csángó Kulturális Egyesület</t>
  </si>
  <si>
    <t xml:space="preserve"> - Önkormányzati Képviselő választás</t>
  </si>
  <si>
    <t xml:space="preserve"> - Magyary Népfőiskolai Társaság támogatása</t>
  </si>
  <si>
    <t xml:space="preserve"> - Tatai Rendőrkapitánynak - közterületi többlet feladatok elvégzése</t>
  </si>
  <si>
    <t xml:space="preserve"> - Esőkárok helyreállítására - Tardos és Dunaszentmiklós önkormányzatának</t>
  </si>
  <si>
    <t xml:space="preserve"> - Tatai Távhőszolgáltató Kft-nek EU-s pályázatokhoz, közszolgálat zavartalan működéséhez</t>
  </si>
  <si>
    <t xml:space="preserve"> - Rákóczi Szövetség - ösztöndíj program</t>
  </si>
  <si>
    <t xml:space="preserve"> - Országos Mentőszolgálat Közép-dunántúli Regionális Mentőszervezet </t>
  </si>
  <si>
    <t xml:space="preserve"> - Tatabánya Város Hivatalos Tűzoltóság </t>
  </si>
  <si>
    <t xml:space="preserve"> - Háztűzőrző Nők és Anyák Egyesülete</t>
  </si>
  <si>
    <t xml:space="preserve"> - Bláthy Ottó Szakközépiskola és Szakiskola és Kollégium</t>
  </si>
  <si>
    <t xml:space="preserve"> - Agostyáni Önkéntes Tűzoltó Egyesület </t>
  </si>
  <si>
    <t xml:space="preserve"> - Csillag-virág Keresztény Családi Napközi</t>
  </si>
  <si>
    <t xml:space="preserve"> - Hódy Sportegyesület</t>
  </si>
  <si>
    <t xml:space="preserve"> - OMS Tata Vívó Sportegyesület</t>
  </si>
  <si>
    <t xml:space="preserve"> - Tatai Sportegyesület</t>
  </si>
  <si>
    <t xml:space="preserve"> - Aréna SE </t>
  </si>
  <si>
    <t xml:space="preserve"> - Agóra könyvesbolt kitüntetése</t>
  </si>
  <si>
    <t xml:space="preserve"> - Vértes Volán - helyi közlekedés normatív támogatása</t>
  </si>
  <si>
    <t>Felhalmozási célú pénzeszközátadások és támogatások:</t>
  </si>
  <si>
    <t xml:space="preserve"> - Kocsi u.  - Környei u.-i jelzőlámparendszer kiépítésére</t>
  </si>
  <si>
    <t xml:space="preserve"> - Május 1. u. - Almási u direktág kivitelezésére Útpénztárnak</t>
  </si>
  <si>
    <t xml:space="preserve"> - Panel Programra, Öko-programra, NEP pályázatokra</t>
  </si>
  <si>
    <t xml:space="preserve"> - Tatai Kistérségi Többcélú Tásrulásnak Kistérségi energiaracionalizálás pályázatra 256/2009./VII.2./ sz. hat.</t>
  </si>
  <si>
    <t xml:space="preserve"> - Polgárdi Önkormányzatnak</t>
  </si>
  <si>
    <t xml:space="preserve"> - Vissza nem térítendő lakástámogatások</t>
  </si>
  <si>
    <t xml:space="preserve"> - Bacsó B. u. szolgalmi jog bejegyzés</t>
  </si>
  <si>
    <t xml:space="preserve"> - Zrínyi u. - Temesvári út szolgalmi jog bejegyzés</t>
  </si>
  <si>
    <t xml:space="preserve"> - Tatai Kistérségi Többcélú Társulásnak Idősek Otthona</t>
  </si>
  <si>
    <t xml:space="preserve"> - Tatai Városgazda Nonprofit Kft.-nek telephely kialakításra</t>
  </si>
  <si>
    <t xml:space="preserve"> - Baji út  korszerűsítése KKK-nak</t>
  </si>
  <si>
    <t xml:space="preserve"> - Közműfejlesztési támogatás lakosságnak </t>
  </si>
  <si>
    <t xml:space="preserve"> - Tatai Városi Római Katolikus Plébánia Szent Kereszt Templom felújítása</t>
  </si>
  <si>
    <t xml:space="preserve"> - Tatai Távhőszolgáltató Kft. kazánátalakítás (fűtési munkálatok előkészítése)</t>
  </si>
  <si>
    <t xml:space="preserve"> - Tata - Tóvárosi Szent Imre Plébánia</t>
  </si>
  <si>
    <t xml:space="preserve"> - Vértes Volán  (autóbusz -lizing utolsó részlete)</t>
  </si>
  <si>
    <t xml:space="preserve"> - Református templom toronysüvege</t>
  </si>
  <si>
    <t xml:space="preserve"> - Tatai Helytörténeti Egyesület</t>
  </si>
  <si>
    <t xml:space="preserve"> - Közép-Duna Vidéke Hulladékgazd. tőkeemelés</t>
  </si>
  <si>
    <t xml:space="preserve">Tata Város Polgármesteri Hivatal </t>
  </si>
  <si>
    <t>támogatásértékű bevételei és államháztartáson kívülről átvett pénzeszközeinek</t>
  </si>
  <si>
    <t>2010. évi alakulása (E Ft-ban)</t>
  </si>
  <si>
    <t>Támogatás értékű működési bevételek</t>
  </si>
  <si>
    <t xml:space="preserve"> - "Hídépítés" EGTC </t>
  </si>
  <si>
    <t xml:space="preserve"> - Munkaügyi Központtól </t>
  </si>
  <si>
    <t xml:space="preserve"> - Mozgáskorlátozottak közlekedési támogatása</t>
  </si>
  <si>
    <t xml:space="preserve"> - Tatai Kistérségi Többcélú Társulástól</t>
  </si>
  <si>
    <t xml:space="preserve"> - Tardos Önkormányzattól általános iskola működésre</t>
  </si>
  <si>
    <t xml:space="preserve"> - Házi segítségnyújtás</t>
  </si>
  <si>
    <t xml:space="preserve"> - Támogató szolgáltatásra</t>
  </si>
  <si>
    <t xml:space="preserve"> - Közösségi alapellátás</t>
  </si>
  <si>
    <t xml:space="preserve"> - Országgyűlési képviselő választások I. fordoló</t>
  </si>
  <si>
    <t xml:space="preserve"> - Tatai Kábitószerügyi Fórum programjaihoz</t>
  </si>
  <si>
    <t xml:space="preserve"> - Önkormányzati és kisebbségi képviselő választás</t>
  </si>
  <si>
    <t xml:space="preserve"> - Kisebbségi képviselő választás</t>
  </si>
  <si>
    <t xml:space="preserve"> - Kisebbségi Önkormányzatok támogatása</t>
  </si>
  <si>
    <t xml:space="preserve"> - Sporttámogatás</t>
  </si>
  <si>
    <t xml:space="preserve"> - Lengyel Kisebbségi Önkormányzat támogatása</t>
  </si>
  <si>
    <t xml:space="preserve"> - 2010. évi tavaszi esőzések károsultjainak támogatása</t>
  </si>
  <si>
    <t xml:space="preserve"> - ÁROP hivatal szervezet fejlesztése</t>
  </si>
  <si>
    <t xml:space="preserve"> - Városi jegyzők szakértői bizottságára </t>
  </si>
  <si>
    <t xml:space="preserve"> - Községi önkormányzatoktól szakértői bizottságra</t>
  </si>
  <si>
    <t xml:space="preserve"> - Rendszeres GYEV. Támogatás</t>
  </si>
  <si>
    <t xml:space="preserve"> - Kríziskezelő program támogatása</t>
  </si>
  <si>
    <t xml:space="preserve"> - HUSK pályázat hazai társfinanszírozása</t>
  </si>
  <si>
    <t>Támogatás értékű felhalmozási célú bevételek</t>
  </si>
  <si>
    <t xml:space="preserve"> - Bartók B. u.-i Óvoda bővítése</t>
  </si>
  <si>
    <t xml:space="preserve"> - Intézmények energiaracionalizálása</t>
  </si>
  <si>
    <t xml:space="preserve"> - Angol Park rehabilitációja</t>
  </si>
  <si>
    <t xml:space="preserve"> - Kocsi u. - Dózsa Gy. u. kerékpárút építés</t>
  </si>
  <si>
    <t xml:space="preserve"> - Fáklya u. - Diófa u. korszerűsítése</t>
  </si>
  <si>
    <t xml:space="preserve"> - József A. u vízrendezése</t>
  </si>
  <si>
    <t xml:space="preserve"> - Kossuth tér rehabilitációja</t>
  </si>
  <si>
    <t xml:space="preserve"> - Kajakház- Öreg-tavi kerékpárút</t>
  </si>
  <si>
    <t xml:space="preserve"> - Új u.-i Bölcsöde férőhely bővítés</t>
  </si>
  <si>
    <t xml:space="preserve"> - ÁROP hivatal szervezetfejlesztése</t>
  </si>
  <si>
    <t xml:space="preserve"> - Polgármesteri Hivatal akadálymentesítése</t>
  </si>
  <si>
    <t xml:space="preserve"> - Közösségi ellátás (informatikai eszközbeszerzés)</t>
  </si>
  <si>
    <t>Felhalmozási célra átvett pénzeszköz államháztartáson kívülről</t>
  </si>
  <si>
    <t xml:space="preserve"> - Bejezett Viziközmű társulatok és Tata Tóparti Viziközmű Társulat</t>
  </si>
  <si>
    <t>Működési célra átvett pénzeszköz</t>
  </si>
  <si>
    <t xml:space="preserve"> - "Partnerségek a prevencióért"</t>
  </si>
  <si>
    <t xml:space="preserve"> - Tata és Szőgyén közötti lakossági kapcsolatok kiszélesítése, pályázathoz tám. (Husk)</t>
  </si>
  <si>
    <t>Európai uniós támogatással megvalósuló projektek 2010. évi bevételei, kiadásai (E Ft-ban)</t>
  </si>
  <si>
    <t>Tata Város Önkormányzat projektjei</t>
  </si>
  <si>
    <t>EU-s projekt neve, azonosítója:</t>
  </si>
  <si>
    <t>A tatai Angolpark rehabilitációja, KDOP-2007-2.1.1./B</t>
  </si>
  <si>
    <t>Támogatási szerződés kötés időpontja:</t>
  </si>
  <si>
    <t>Megvalósítás tervezett ideje:</t>
  </si>
  <si>
    <t>2009-2012</t>
  </si>
  <si>
    <t>Források</t>
  </si>
  <si>
    <t>ebből 2010-ben teljesített:</t>
  </si>
  <si>
    <t>Saját erő, az el nem számolható költségekkel együtt:</t>
  </si>
  <si>
    <t xml:space="preserve"> - saját erőből központi támogatás</t>
  </si>
  <si>
    <t>-</t>
  </si>
  <si>
    <t>Eu-s forrás a benyújtott pályázat szerint:</t>
  </si>
  <si>
    <t>Bartók B. u.-i Óvoda Újjáépítése, KDOP 5.1.1.</t>
  </si>
  <si>
    <t>2008-2010, a projekt zárása folyamatban</t>
  </si>
  <si>
    <t>Intézmények energiaracionalizálása, KEOP-5.1.0-2008-0037</t>
  </si>
  <si>
    <t>2009-2010, a projekt zárása folyamatban</t>
  </si>
  <si>
    <t>Tatai Polgármesteri Hivatal szervezetfejlesztése ÁROP-1.A.2/A-2008-0087</t>
  </si>
  <si>
    <t>2009. február 20.</t>
  </si>
  <si>
    <t>2009-2011</t>
  </si>
  <si>
    <t>Kocsi u.-Dózsa Gy. u. kerékpárút építés KDOP 4.2.2-09</t>
  </si>
  <si>
    <t>Támogatási szerződés kötés várható időpontja:</t>
  </si>
  <si>
    <t>2010. május 4.</t>
  </si>
  <si>
    <t>Fáklya u. - Diófa u. korszerűsítése KDOP-4.2.1/B-09</t>
  </si>
  <si>
    <t>2010. május 17.</t>
  </si>
  <si>
    <t>2011, várhatóan szerződésbontásra kerül sor</t>
  </si>
  <si>
    <t>Saját erő:</t>
  </si>
  <si>
    <t>Kossuth tér rehabilitációja KDOP-3.1.1/A</t>
  </si>
  <si>
    <t>Nyertes pályázat, szerződés megkötése folyamatban</t>
  </si>
  <si>
    <t>2011-2013</t>
  </si>
  <si>
    <t>Új u.-i Bölcsöde, férőhely bővítés KDOP-2009.5.2.2/B</t>
  </si>
  <si>
    <t>2010. augusztus 3.</t>
  </si>
  <si>
    <t>Gondoskodó kistérség, szociális alapellátások minőségi fejlesztése KDOP-2009-5.2.2/A</t>
  </si>
  <si>
    <t>2010. augusztus 5.</t>
  </si>
  <si>
    <t>2010-2011</t>
  </si>
  <si>
    <t>(előleg)</t>
  </si>
  <si>
    <t xml:space="preserve">Által-ér völgyi kerékpárút KÖZOP – 2008-3.2.2 </t>
  </si>
  <si>
    <t>Folyamatban</t>
  </si>
  <si>
    <t>2011-2012</t>
  </si>
  <si>
    <t>Könyvtárak közti együttműködési és IKT intrastrukturális fejlesztés a közoktatás támogatását és egyéb oktatási formák kiegészítését segítő, esélykiegyenlítő, helytől független hozzáférést is lehetővé tevő szolgáltatásokért - Tudásdepó Expressz TIOP-1.2.3-09/1-2009-0008 MÓRICZ ZSIGMOND VÁROSI KÖNYVTÁR</t>
  </si>
  <si>
    <t>2009. december 4.</t>
  </si>
  <si>
    <t>Szabad utat a tehetségnek TÁMOP 3.4.3-08/2-2009-0140 (KŐKÚTI ÁLTALÁNOS ISKOLA ÉS VASZARY JÁNOS ÁLTALÁNOS ISKOLA KONZORCIUM)</t>
  </si>
  <si>
    <t>2010. június 9.</t>
  </si>
  <si>
    <t>2011. július 31.</t>
  </si>
  <si>
    <t>TUDÁSDEPÓ EXPRESSZ A Könyvtári hálózat nem formális és informális képzési szerepének erősítése az élethosstig tartó tanulás érdekében- Könyvtárhasználók igényeinek hatékonyabb kielégítését szolgáló fejlesztés TÁMOP-3.2.4-08/1-2009-0047 MÓRICZ ZSIGMOND VÁROSI KÖNYVTÁR</t>
  </si>
  <si>
    <t>2010. február 5.</t>
  </si>
  <si>
    <t>2012. február 28.</t>
  </si>
  <si>
    <t>Önkormányzaton kívüli Eu-s projektekhez való hozzájárulás</t>
  </si>
  <si>
    <t>A hozzájárulás címzettje:</t>
  </si>
  <si>
    <t>Tatai Kistérségi Többcélú Társulásnak</t>
  </si>
  <si>
    <t>A projekt megnevezése:</t>
  </si>
  <si>
    <t>Összefogás az energiahatékonyság jegyében a tatai kistérségben</t>
  </si>
  <si>
    <t>A hozzájárulás összege:</t>
  </si>
  <si>
    <t>Idősek otthona felújítása</t>
  </si>
  <si>
    <t>Önkormányzati költségvetési szervek engedélyezett álláshelyeinek száma</t>
  </si>
  <si>
    <t>Költségvetési szervek megnevezése</t>
  </si>
  <si>
    <t>Engedélyezett létszám (fő)</t>
  </si>
  <si>
    <t>Mód. (III.30.)</t>
  </si>
  <si>
    <t>Bartók B. úti Óvoda</t>
  </si>
  <si>
    <t>Csillagsziget Bölcsőde</t>
  </si>
  <si>
    <t>Fazekas u. Tagintézmény</t>
  </si>
  <si>
    <t>Vaszary János Általános Iskola</t>
  </si>
  <si>
    <t>Vaszary János Általános Iskola - Jázmin tagintézmény</t>
  </si>
  <si>
    <t>Vaszary János Általános Iskola - Tardos tagintézmény</t>
  </si>
  <si>
    <t>Menner B. Zeneiskola</t>
  </si>
  <si>
    <t>Móricz Zsigmond Könyvtár</t>
  </si>
  <si>
    <t>Szociális Alapellátó Intézmény (számszaki javítás)</t>
  </si>
  <si>
    <t xml:space="preserve">Intézmények Gazdasági Hivatala </t>
  </si>
  <si>
    <t>Intézmények Gazdasági Hivatala összesen</t>
  </si>
  <si>
    <t>Városi Önkormányzat Intézmények összesen:</t>
  </si>
  <si>
    <t>Polgármesteri Hivatal:</t>
  </si>
  <si>
    <t xml:space="preserve"> - köztisztviselők, ügyintézők</t>
  </si>
  <si>
    <t xml:space="preserve"> - választott tisztségviselő</t>
  </si>
  <si>
    <t xml:space="preserve"> - Közterület-felügyelet (önállóan működő)</t>
  </si>
  <si>
    <t>Közfoglalkoztatottak éves létszám-erőirányzata</t>
  </si>
  <si>
    <t>Átlag létszám (fő)</t>
  </si>
  <si>
    <t>Közcélú foglalkoztatottak</t>
  </si>
  <si>
    <t>Közhasznú foglalkoztatottak</t>
  </si>
  <si>
    <t>12. melléklet a 16/2011.(V.02.) önkormányzati rendelethez</t>
  </si>
  <si>
    <t>Tájékoztatás céljából</t>
  </si>
  <si>
    <t>Kötvénykibocsátásból rendelkezésre álló fejlesztési forrás felhasználás (E Ft-ban) 2010. év</t>
  </si>
  <si>
    <t>Kötvénykibocsátásból bevétel:</t>
  </si>
  <si>
    <t>Előző évi pénzmaradvány (Ft lekötések és egyéb számla,devizabetét és devizaszámlák egyenlege)</t>
  </si>
  <si>
    <t>2009.évi pénzmaradványból Fényes Fürdő Kft. részesedése miatt</t>
  </si>
  <si>
    <t>Európai Uniós pályázatokhoz megelőlegezett összeg visszatérítése</t>
  </si>
  <si>
    <t>Árfolyam különbözet (opciós prémium díj, árfolyam nyereség)</t>
  </si>
  <si>
    <t>Ingatlan, üzletrész értékesítés</t>
  </si>
  <si>
    <t>Támogatásértékű felhalmozási célú bevételek:</t>
  </si>
  <si>
    <t>Bartók B.u.-i. Óvoda bővítése</t>
  </si>
  <si>
    <t>Intézmények energiaracionalizálása</t>
  </si>
  <si>
    <t>Angol park rehabilitációja</t>
  </si>
  <si>
    <t>Kocsi u.-Dózsa Gy.u.kerékpárút építés</t>
  </si>
  <si>
    <t>Fáklya u.-Diófa u. korszerűsítése</t>
  </si>
  <si>
    <t>József A. u. vízrendezése</t>
  </si>
  <si>
    <t>Kossuth tér rehabilitációja</t>
  </si>
  <si>
    <t>Kajakház-Öreg-tavi kerékpárút</t>
  </si>
  <si>
    <t>Új u.-i.Bölcsőde férőhely bővítés</t>
  </si>
  <si>
    <t>Polgármesteri Hivatal akadálymentesítése</t>
  </si>
  <si>
    <t>Gondoskodó kistérség,szociális alapellátások minőségi fejlesztése projekt</t>
  </si>
  <si>
    <t>Pénzmaradványból visszapótlás</t>
  </si>
  <si>
    <t xml:space="preserve"> </t>
  </si>
  <si>
    <t>Felhalmozási céltartalékból (költségvetési számláról) átvezetendő</t>
  </si>
  <si>
    <t>Kötvénykibocsátásból tervezett kiadások</t>
  </si>
  <si>
    <t>Kötvény után fizetendő kamat</t>
  </si>
  <si>
    <t>Megbízási szerződés szerint fizetendő díj (Budapest Priv-Invest Kft-nek)</t>
  </si>
  <si>
    <t>Beruházási feladatok 2010. évi:</t>
  </si>
  <si>
    <t xml:space="preserve"> - Május 1.u. 5-17.direktág kialakítás</t>
  </si>
  <si>
    <t xml:space="preserve"> - Bartók B. u.-i.Óvoda bővítése 43/2009./II.25./sz.határozat</t>
  </si>
  <si>
    <t xml:space="preserve"> - Intézmények energiaracionalizálása 183/2008./VI.25./sz.határozat</t>
  </si>
  <si>
    <t xml:space="preserve"> - Angol park rehabilitációja 263/2009./VII.2./sz.határozat </t>
  </si>
  <si>
    <t xml:space="preserve"> - Kocsi u.-Dózsa Gy.u.kerékpárút 225/2009./VI.24./sz.határozat</t>
  </si>
  <si>
    <t xml:space="preserve"> - Fáklya u.-Diófa u. korszerűsítése 280/2009./IX.sz.határozat</t>
  </si>
  <si>
    <t xml:space="preserve"> - József A. u.vízrendezése 372/2009.X.28./sz.határozat</t>
  </si>
  <si>
    <t xml:space="preserve"> - Kossuth tér rehabilitációja 399/2009./XI.13./sz.határozat</t>
  </si>
  <si>
    <t xml:space="preserve"> - Kajakház,Öreg-tavi kerékpárút 283/2009/IX.9./sz.határozat</t>
  </si>
  <si>
    <t xml:space="preserve"> - Új u.-Bölcsőde férőhely fejlesztés 261/2009/VII.2./sz.határozat</t>
  </si>
  <si>
    <t xml:space="preserve"> - 460/89.,460/111 hrsz.-ú ingatlanokból terület vásárlás 369/2009/X.28./sz. határozat</t>
  </si>
  <si>
    <t xml:space="preserve"> - Piarista rendház átalakítás 298/2009.(IX.30.) sz. határozat</t>
  </si>
  <si>
    <t xml:space="preserve"> - Turisztikai szakvélemény 354/2009.(IX.30.) sz. határozat</t>
  </si>
  <si>
    <t xml:space="preserve"> - Rendezvényház megvalósíthatósági tanulmány 355/2009.(IX.30.) sz. határozat</t>
  </si>
  <si>
    <t xml:space="preserve"> - Fényes Fürdő környezet terhelhetőségi tamulmány 470/2009.(XII.16.) sz. határozat</t>
  </si>
  <si>
    <t xml:space="preserve"> - Gyalogátkelő létesítés (Somogyi B.u.-Bacsó B.u.)</t>
  </si>
  <si>
    <t xml:space="preserve"> - Jázmin u.22-24.ingatlanok megvásárlása 472/2009./X.16./sz.határozat (további 20.000 E Ft 2011-ben esedékes)</t>
  </si>
  <si>
    <t xml:space="preserve"> - Gondoskodó kistérség ,szociális alapellátások minőségi fejlesztése projekt</t>
  </si>
  <si>
    <t xml:space="preserve"> - Keszthelyi úton járda építési pótmunkákra</t>
  </si>
  <si>
    <t xml:space="preserve"> 2010.  évi igények:</t>
  </si>
  <si>
    <t>--Agostyáni u.-Nyár u.</t>
  </si>
  <si>
    <t xml:space="preserve"> -- Agostyán,Kert u.</t>
  </si>
  <si>
    <t xml:space="preserve"> - Által-ér völgyi kerékpárút (pályázatírás 5.500 E Ft, kisajátítás,területszerzés 9.000 E Ft,vázrajzok készítése 3,1M Ft</t>
  </si>
  <si>
    <t xml:space="preserve"> - Bartók Béla u.-i Óvoda közműellátás</t>
  </si>
  <si>
    <t xml:space="preserve"> - Fényes Fürdő kft.részesedés</t>
  </si>
  <si>
    <t xml:space="preserve"> - Új úti Bölcsőde 115/2010(IV.28.)határozat</t>
  </si>
  <si>
    <t xml:space="preserve"> - Által-ér völgyi kerékpárút projekt-önrész 216/2010.(VI.30.)hat.</t>
  </si>
  <si>
    <t xml:space="preserve"> - Komplex energiaracionalizálás projekt pótmunkái 262/210.(VI.30.)hat.</t>
  </si>
  <si>
    <t xml:space="preserve"> - Kossuth tér rehabilitációja pályázat többlet tervezési feladatok</t>
  </si>
  <si>
    <t xml:space="preserve"> - Dózsa György út kapukihajtóinak megépítése 315/2010.(IX.22.)</t>
  </si>
  <si>
    <t xml:space="preserve"> - Dózsa György út  12 db víznyelő akna kiépítése 316/2010.(IX.22.)</t>
  </si>
  <si>
    <t xml:space="preserve"> - Vasút utcai útkorszer.-hez kapcs. Újhegyi úti vízfolyás vízjogi eng. megadásához kártalanítás Magyar Államnak</t>
  </si>
  <si>
    <t xml:space="preserve"> - Piac téri kiszolgáló út csapadékcsatornájának kiépítéséhez</t>
  </si>
  <si>
    <t xml:space="preserve"> - Rákóczi u.közvilágításának korszerűsítésére </t>
  </si>
  <si>
    <t xml:space="preserve"> - Csapadékvíz elvezető hálózati rendszer megvalósítása Tatán a Deák F.és Erkel F.utcában című projekt</t>
  </si>
  <si>
    <t xml:space="preserve"> - Kocsi u.és a csatlakozó utcák közvilágítás fejlesztésére</t>
  </si>
  <si>
    <t xml:space="preserve"> - Rákóczi utca csapadékvíz bekötése</t>
  </si>
  <si>
    <t xml:space="preserve">  </t>
  </si>
  <si>
    <t>Beruházási feladatok összesen:</t>
  </si>
  <si>
    <t>Felújítási feladatok 2010. évi költségvetésből:</t>
  </si>
  <si>
    <t xml:space="preserve"> - Bartók B.u.felújítása 378/2009/X.28./sz.határozat</t>
  </si>
  <si>
    <t xml:space="preserve"> - Magyary Zoltán Művelődési Ház felújítása 376/2009./X.28./sz.határozat</t>
  </si>
  <si>
    <t xml:space="preserve"> - Talentum Iskola szennyvízvezeték felújítás</t>
  </si>
  <si>
    <t xml:space="preserve"> - Polgármesteri Hivatal akadálymentesítése KDOP-2009.-5.3.2 pályázat 343/2009./IX.30./sz.határozat</t>
  </si>
  <si>
    <t xml:space="preserve"> - Rákóczi u.felújításaTEUT támogatással</t>
  </si>
  <si>
    <t xml:space="preserve"> - Rákóczi utca burkolat felújítás többlet önerő</t>
  </si>
  <si>
    <t xml:space="preserve"> - Keszthelyi u.12.és Gesztenyefasor 47.felújítás befejezésével kapcsolatos költségek</t>
  </si>
  <si>
    <t xml:space="preserve"> - Magyary Zoltán Művelődési Ház felújításának pótmunkái</t>
  </si>
  <si>
    <t xml:space="preserve"> - Tervezési feladatok útburkolat felújításhoz</t>
  </si>
  <si>
    <t xml:space="preserve"> - Tatai Fényes Fürdő területén felújítási feladatok</t>
  </si>
  <si>
    <t xml:space="preserve"> - Bacsó Béla utca 31. bejáró felújítása</t>
  </si>
  <si>
    <t xml:space="preserve"> - Mikovényi utca 49. előtti járda felújítása</t>
  </si>
  <si>
    <t>Felújítási feladatok összesen:</t>
  </si>
  <si>
    <t xml:space="preserve"> - Kocsi u.-Környei u-i jelzőlámparendszer kiépítésére</t>
  </si>
  <si>
    <t xml:space="preserve"> - Május 1.u.-Almási u.direktág kivitelezésére Útpénztárnak</t>
  </si>
  <si>
    <t xml:space="preserve"> - Panel Programra,Öko-programra,NEP-pályázatokra</t>
  </si>
  <si>
    <t xml:space="preserve"> - Tatai Kistérségi Többcélú Társulásnak Kistérségi energiaranionalizálás pályázatra 256/2009/VII.2./sz.határozat</t>
  </si>
  <si>
    <t xml:space="preserve"> - Baji út korszerűsítése KKK-nak</t>
  </si>
  <si>
    <t xml:space="preserve"> - Tatai Távhőszolgáltató Kft.kazánház átalakítása 432/2009.(XI.25.)sz.határozat alapján</t>
  </si>
  <si>
    <t xml:space="preserve"> - Tatai Távhőszolgáltató Kft. fűtési szerzon előkészületi munkáira,Gesztenye fasori fűtőmű álalak.munkáira </t>
  </si>
  <si>
    <t xml:space="preserve"> - Vértes Volán Zrt.158/2010.(VI.2.)határozat Autóbusz lízing utolsó részlete</t>
  </si>
  <si>
    <t xml:space="preserve"> - Tatai Református Egyházközség 275/2010.(VIII.18.)hat.Toronysüveg felújítására</t>
  </si>
  <si>
    <t xml:space="preserve"> - Tata-Tóvárosi Szent Imre Plébánia 197/2010.(VI.2.) hat. Ady E.-Bartók B.u.felöli kerítés külső felújítására</t>
  </si>
  <si>
    <t>Felhalmozási célú pénzeszközátadás összesen:</t>
  </si>
  <si>
    <t>Tatai Távhőszolgáltató Kft-nek kölcsön a 285/2009.(IX.9.)sz.határozat</t>
  </si>
  <si>
    <t>Angolpark rehabilitációja pály.projektmenedzsment megbízási díjaira(3.040 E Ft szem.juttatás,739 E Ft járulék)</t>
  </si>
  <si>
    <t>Intézmények energiarac.pály.projektmenedzsment megbízási díjaira (9.212 E Ft szem.juttatás,2.269 E Ft járulék)</t>
  </si>
  <si>
    <t>Kocsi u. - Dózsa Gy. u. kerékpárút projekmenedzsment megbízási díj (1.200 E Ft szem.juttatás, 292 E Ft járulék)</t>
  </si>
  <si>
    <t>Tranzakció jutaléka (Egyedi árfolyamos konverzió)</t>
  </si>
  <si>
    <t>Értékelési különbözet</t>
  </si>
  <si>
    <t>Árfolyam különbség (veszteség)</t>
  </si>
  <si>
    <t xml:space="preserve">Működési tartalékba átvezetés </t>
  </si>
  <si>
    <t>Felhasználási javaslat  összege a 2010. évi költségvetésben:</t>
  </si>
  <si>
    <t>Kötvényforrás tartaléka:</t>
  </si>
  <si>
    <t xml:space="preserve">Német Kisebbségi Önkormányzat </t>
  </si>
  <si>
    <t>2010.évi</t>
  </si>
  <si>
    <t xml:space="preserve">Megnevezés </t>
  </si>
  <si>
    <t>Sorszám</t>
  </si>
  <si>
    <t>Módosított előirányzat</t>
  </si>
  <si>
    <t>Egyéb folyó kiadások</t>
  </si>
  <si>
    <t>Egyéb dologi kiadások</t>
  </si>
  <si>
    <t>Dologi kiadások és egyéb folyó kiadások(3+4)</t>
  </si>
  <si>
    <t>Támogatás ért.működési kiadás</t>
  </si>
  <si>
    <t>Működési célú pénzeszközátadás államháztartáson kívül</t>
  </si>
  <si>
    <t>Végleges pénzeszközátadás,egyéb támogatás (6+7)</t>
  </si>
  <si>
    <t>Működési költségvetés kiadásai (1+2+5+8)</t>
  </si>
  <si>
    <t>Költségvetési aktív pénzügyi elszámolások</t>
  </si>
  <si>
    <t>Beruházási kiadások</t>
  </si>
  <si>
    <t>Helyi kisebbségi önkormányzatok kiadásai összesen(9+10+11)</t>
  </si>
  <si>
    <t>Egyéb állami támogatás,hozzájárulás</t>
  </si>
  <si>
    <t>Működési célú támog.ért.bevétel kp-i.kv-i szervtől</t>
  </si>
  <si>
    <t>Egyéb támogatások,kiegészítések és átvett pénzeszközök</t>
  </si>
  <si>
    <t>Függő bevétel,függő kiegyenlítő,átfutó bevétel</t>
  </si>
  <si>
    <t>Helyi kisebbségi önkormányzatok bevételei összesen</t>
  </si>
  <si>
    <t>Ft</t>
  </si>
  <si>
    <t>2010.évi pénzmaradvány</t>
  </si>
  <si>
    <t>Nyitó pénzkészlet 2010.01.01.</t>
  </si>
  <si>
    <t>367.890</t>
  </si>
  <si>
    <t>Bevétel összesen</t>
  </si>
  <si>
    <t>1.178</t>
  </si>
  <si>
    <t>1.178.326</t>
  </si>
  <si>
    <t>Előző évi pénzmaradvány(pénzforg.nélk.bev.)</t>
  </si>
  <si>
    <t>-360.319</t>
  </si>
  <si>
    <t>Kiadás összesen</t>
  </si>
  <si>
    <t>-756.371</t>
  </si>
  <si>
    <t>Záró pénzkészlet 2010.12.31.</t>
  </si>
  <si>
    <t>429.526</t>
  </si>
  <si>
    <t>Kiegyenlítő,függő,átfutó kiadás</t>
  </si>
  <si>
    <t>1.000</t>
  </si>
  <si>
    <t>Kiegyenlítő,függő,átfutó bevétel</t>
  </si>
  <si>
    <t>-15.000</t>
  </si>
  <si>
    <t>2010.évi pénzmaradvány összesen:</t>
  </si>
  <si>
    <t>415.526</t>
  </si>
  <si>
    <t>Végleges pénzeszközátadás,egyéb támogatás(6+7)</t>
  </si>
  <si>
    <t>Működési költségvetés kiadásai(1+2+5+8)</t>
  </si>
  <si>
    <t>Működési célú támog.ért.bevétel kp-i kv-i szervtől</t>
  </si>
  <si>
    <t>38.757</t>
  </si>
  <si>
    <t>774.601</t>
  </si>
  <si>
    <t>-35.055</t>
  </si>
  <si>
    <t>-766.707</t>
  </si>
  <si>
    <t>11.596</t>
  </si>
  <si>
    <t>Kiegyenlitő,függő</t>
  </si>
  <si>
    <t>függö,átfutó bevétel</t>
  </si>
  <si>
    <t>-3.702</t>
  </si>
  <si>
    <t>7.894</t>
  </si>
  <si>
    <t xml:space="preserve">Működési célú támog.ért.bevétel kp-i kv-i szervtől </t>
  </si>
  <si>
    <t>Működési célú támog.ért.bevétel önkorm.kv-i szervtől</t>
  </si>
  <si>
    <t>2010.évi pénzmaradvány:</t>
  </si>
  <si>
    <t>38.571</t>
  </si>
  <si>
    <t>1.324</t>
  </si>
  <si>
    <t>1.323.888</t>
  </si>
  <si>
    <t>-35.371</t>
  </si>
  <si>
    <t>-1.310</t>
  </si>
  <si>
    <t>-1.310.002</t>
  </si>
  <si>
    <t>17.086</t>
  </si>
  <si>
    <t>Összesítő táblázat</t>
  </si>
  <si>
    <t>445.218</t>
  </si>
  <si>
    <t>3.277</t>
  </si>
  <si>
    <t>3.276.815</t>
  </si>
  <si>
    <t>-430.745</t>
  </si>
  <si>
    <t>-2.833.080</t>
  </si>
  <si>
    <t>458.208</t>
  </si>
  <si>
    <t>-18.702</t>
  </si>
  <si>
    <t>440.506</t>
  </si>
  <si>
    <t xml:space="preserve">                                                                     Több éves kihatásssal járó döntések hatása</t>
  </si>
  <si>
    <t xml:space="preserve">          a) Kötvénykibocsátás és hitelek 2010. december 31-én(E Ft-ban)</t>
  </si>
  <si>
    <t>Szerződő bank, illetve egyéb szervezet</t>
  </si>
  <si>
    <t>Hitelfelvétel</t>
  </si>
  <si>
    <t>Lejárat éve</t>
  </si>
  <si>
    <t>2010. évi nyitó állomány (értékelés után)</t>
  </si>
  <si>
    <t>2010. évi hitel törlesztés    (12.31-ig)</t>
  </si>
  <si>
    <t>2010.  12.31-i hitel és kötvény állomány</t>
  </si>
  <si>
    <t>2010. évi záró állomány (értékelés után)</t>
  </si>
  <si>
    <t>2011. évi törlesztő részlet</t>
  </si>
  <si>
    <t>éve</t>
  </si>
  <si>
    <t>összege</t>
  </si>
  <si>
    <t>Agostyáni Víziközmű Társulat (megszűnt)</t>
  </si>
  <si>
    <t>MTB. Zrt.</t>
  </si>
  <si>
    <t>Fejlesztési hitel kisbusz vásárlásához</t>
  </si>
  <si>
    <t>Bp. Autófin. Zrt.</t>
  </si>
  <si>
    <t>Hosszú lejáratú fejlesztési hitel (felhalmozási hiány fedezetére)</t>
  </si>
  <si>
    <t>Hitelek összesen</t>
  </si>
  <si>
    <t>Fejlesztési célú kötvénykibocsátás</t>
  </si>
  <si>
    <t>MTB Zrt.</t>
  </si>
  <si>
    <t>Hosszú lejáratú hitelek és kötvény</t>
  </si>
  <si>
    <t xml:space="preserve">                                                                  b) Több éves kihatással járó beruházási és felújítási feladatok (E Ft)</t>
  </si>
  <si>
    <t>Feladat megnevezése</t>
  </si>
  <si>
    <t>Befejezés éve</t>
  </si>
  <si>
    <t>Bekerülési költség</t>
  </si>
  <si>
    <t>Előző évben kifizetett összeg</t>
  </si>
  <si>
    <t>2010. évi eredeti előirányzat</t>
  </si>
  <si>
    <t>2010. évi módosított előirányzat</t>
  </si>
  <si>
    <t>2010. évi teljesítés</t>
  </si>
  <si>
    <t>Magyary Zoltán Művelődési ház felújítása</t>
  </si>
  <si>
    <t>Rákóczi u. felújítása TEUT támogatással</t>
  </si>
  <si>
    <t>Bartók B. u.-i Óvoda bővítése</t>
  </si>
  <si>
    <t>Intézmények energiaracionalizálása KEOP projekt</t>
  </si>
  <si>
    <t xml:space="preserve">Kocsi u. - Dózsa Gy. u. kerékpárút </t>
  </si>
  <si>
    <t>Fáklya u. - Diófa u. korszerűsítése</t>
  </si>
  <si>
    <t>Kajakház, Öreg-tavi kerékpárút</t>
  </si>
  <si>
    <t>Új u.-i Bölcsöde férőhely fejlesztés</t>
  </si>
  <si>
    <t>Gondoskodó kistérség, szociális alapellátások fejlesztése projekt</t>
  </si>
  <si>
    <t>Polgármesteri Hivatal szervezetfejlesztése (ÁROP pályázat)</t>
  </si>
  <si>
    <t>Jázmin u. 22-24. ingatlanok vásárlása</t>
  </si>
  <si>
    <t>Tata Város Önkormányzatának 2010. évi pénzmaradványának alakulása (E Ft-ban)</t>
  </si>
  <si>
    <t>Sor-szám</t>
  </si>
  <si>
    <t xml:space="preserve">  1. Hosszú lejáratú költségvetési betétszámlák záróegyenlegei </t>
  </si>
  <si>
    <t>1.</t>
  </si>
  <si>
    <t xml:space="preserve">  2. Rövid lejáratú költségvetési pénzforgalom és betétszámlák záróegyenlegei</t>
  </si>
  <si>
    <t>2.</t>
  </si>
  <si>
    <t xml:space="preserve">  3. Pénztárak és betétkönyvek záróegyenlegei</t>
  </si>
  <si>
    <t>3.</t>
  </si>
  <si>
    <t>A. Záró pénzkészlet (1+2+3)</t>
  </si>
  <si>
    <t>4.</t>
  </si>
  <si>
    <t xml:space="preserve">  4. Forgatási célú értékpapírok záró állománya</t>
  </si>
  <si>
    <t>5.</t>
  </si>
  <si>
    <t xml:space="preserve">  5. Rövid lejáratú likvidhitel és működési célú kötvényki.záróáll.(-)</t>
  </si>
  <si>
    <t>6.</t>
  </si>
  <si>
    <t>B. Forgatási célú finanszírozási műveletek egyenlege (4+5)</t>
  </si>
  <si>
    <t>7.</t>
  </si>
  <si>
    <t xml:space="preserve">     - Költségvetési aktív függő elszámolások záróegyenelge</t>
  </si>
  <si>
    <t>8.</t>
  </si>
  <si>
    <t xml:space="preserve">     - Költségvetési aktív átfutó elszámolások záróegyenlege</t>
  </si>
  <si>
    <t>9.</t>
  </si>
  <si>
    <t xml:space="preserve">     - Költségvetési aktív kiegyenlítő elszámolások záróegyenlege</t>
  </si>
  <si>
    <t>10.</t>
  </si>
  <si>
    <t xml:space="preserve">  6. Költségvetési aktív elszámolások záróegyenlege</t>
  </si>
  <si>
    <t>11.</t>
  </si>
  <si>
    <t xml:space="preserve">    - Költségvetési passzív függő elszámolások záróegyenlege (-)</t>
  </si>
  <si>
    <t>12.</t>
  </si>
  <si>
    <t xml:space="preserve">    - Költségvetési passzív átfutó elszámolások záróegyenelege (-)</t>
  </si>
  <si>
    <t>13.</t>
  </si>
  <si>
    <t xml:space="preserve">    - Költségvetési passzív kiegyenlítő elszámolások záróegyenlege (-)</t>
  </si>
  <si>
    <t>14.</t>
  </si>
  <si>
    <t xml:space="preserve">  7. Költségvetési passzív elszámolások záróegyenlege (-)</t>
  </si>
  <si>
    <t>15.</t>
  </si>
  <si>
    <t>C. Egyéb aktív passzív pénzügyi elszámolások összesen (6 -7) (+-)</t>
  </si>
  <si>
    <t>16.</t>
  </si>
  <si>
    <t xml:space="preserve">  8. Előző év(ek)ben képzett költség. tartalékok maradványa (-)</t>
  </si>
  <si>
    <t>17.</t>
  </si>
  <si>
    <t xml:space="preserve">  9.Előző év(ek)ben képzett vállal. tartalékok maradványa (-)</t>
  </si>
  <si>
    <t>18.</t>
  </si>
  <si>
    <t>D. Előző év(ek)ben képzett tartalékok maradványa (8+9) (-)</t>
  </si>
  <si>
    <t>19.</t>
  </si>
  <si>
    <t>E. Vállalkozási tevékenység pénzforgalmi vállalkozási m. (-)</t>
  </si>
  <si>
    <t>20.</t>
  </si>
  <si>
    <t>F. Tárgyévi helyesbített pénzmaradvány (A+B+C+D+E)</t>
  </si>
  <si>
    <t>21.</t>
  </si>
  <si>
    <t xml:space="preserve">  10. Intézményi költségvetési befizetés többlettámogatás miatt</t>
  </si>
  <si>
    <t>22.</t>
  </si>
  <si>
    <t xml:space="preserve">  11. Költségvetési befizetés többlettámogatás miatt</t>
  </si>
  <si>
    <t>23.</t>
  </si>
  <si>
    <t xml:space="preserve">  12. Költségvetési kiutalás kiutalatlan intézm.-i támog. miatt</t>
  </si>
  <si>
    <t>24.</t>
  </si>
  <si>
    <t xml:space="preserve">  13. Költségvetési kiutalás kiutalatlan támogatás miatt</t>
  </si>
  <si>
    <t>25.</t>
  </si>
  <si>
    <t>G. Finanszírozásból származó korrekciók (10+11+12+13) (+-)</t>
  </si>
  <si>
    <t>26.</t>
  </si>
  <si>
    <t>H. Pénzmaradványt terhelő elvonások (-)</t>
  </si>
  <si>
    <t>27.</t>
  </si>
  <si>
    <t>I.  Költségvetési pénzmaradvány (F+-G+H)</t>
  </si>
  <si>
    <t>28.</t>
  </si>
  <si>
    <t xml:space="preserve">  14.Vállalkozási tev. eredményéből alaptev. ellát-ra felhszn. össz.</t>
  </si>
  <si>
    <t>29.</t>
  </si>
  <si>
    <t xml:space="preserve">  15. Pénzmaradványt külön jogszabály alapján mód. tétel (+-)</t>
  </si>
  <si>
    <t>30.</t>
  </si>
  <si>
    <t>J.  Módosított pénzmaradvány (I+14+15)</t>
  </si>
  <si>
    <t>31.</t>
  </si>
  <si>
    <t xml:space="preserve">A J. sorból
  16. Egészségbiztosítási Alapból folyósított pénzeszköz maradványa
</t>
  </si>
  <si>
    <t>32.</t>
  </si>
  <si>
    <t xml:space="preserve">  17. Kötelezettséggel terhelt pénzmaradvány</t>
  </si>
  <si>
    <t>33.</t>
  </si>
  <si>
    <t xml:space="preserve">   Ebből - Működési célú kötelezettséggel terhelt pénzmaradvány</t>
  </si>
  <si>
    <t>34.</t>
  </si>
  <si>
    <t xml:space="preserve">             - Felhalmozási célú kötelezettséggel terhelt pénzmaradvány</t>
  </si>
  <si>
    <t>35.</t>
  </si>
  <si>
    <t xml:space="preserve">  18.Szabad pénzmaradvány</t>
  </si>
  <si>
    <t>36.</t>
  </si>
  <si>
    <t xml:space="preserve">   Ebből- Működési célú szabad pénzmaradvány</t>
  </si>
  <si>
    <t>37.</t>
  </si>
  <si>
    <t xml:space="preserve">            - Felhalmozási célú szabad pénzmaradvány</t>
  </si>
  <si>
    <t>38.</t>
  </si>
  <si>
    <t>Tata Város Önkormányzat irányítása alá tartozó költségvetési szervek 2010. évi pénzmaradványa (Eft-ban)</t>
  </si>
  <si>
    <t xml:space="preserve">Tárgyévi helyesbített pénzmaradv. </t>
  </si>
  <si>
    <t>Korrekció</t>
  </si>
  <si>
    <t>Felhasz. pénzm.</t>
  </si>
  <si>
    <t>Kötelezettségvállalással terhelt pénzmaradvány</t>
  </si>
  <si>
    <t>Működési tartalék</t>
  </si>
  <si>
    <t>Kölcsön-visszafizetés</t>
  </si>
  <si>
    <t>költségvetésben</t>
  </si>
  <si>
    <t xml:space="preserve">Személyi jellegű </t>
  </si>
  <si>
    <t>Pénzeszköz</t>
  </si>
  <si>
    <t>Kölcsön</t>
  </si>
  <si>
    <t>Kötvény tartalék</t>
  </si>
  <si>
    <t>Működési célú támogatás</t>
  </si>
  <si>
    <t>Finanszírozás</t>
  </si>
  <si>
    <t>előirányzatosítva</t>
  </si>
  <si>
    <t>felhalmozási</t>
  </si>
  <si>
    <t>Működésre</t>
  </si>
  <si>
    <t>Felhalm.</t>
  </si>
  <si>
    <t>célra</t>
  </si>
  <si>
    <t>I. Polgármesteri Hivatal</t>
  </si>
  <si>
    <t>Ebből a kisebbségi maradvány:</t>
  </si>
  <si>
    <t xml:space="preserve"> - Cigány</t>
  </si>
  <si>
    <t xml:space="preserve"> - Lengyel</t>
  </si>
  <si>
    <t xml:space="preserve"> - Német</t>
  </si>
  <si>
    <t>II. Városi Rehab.Szakkór.és Rend.Int.</t>
  </si>
  <si>
    <t>III. Intézmények Gazdasági Hivatala:</t>
  </si>
  <si>
    <t>Önkormányzati pénzm.mindösszesen:</t>
  </si>
  <si>
    <t xml:space="preserve">   Normatív állami hozzájárulás és a normatív részesedésű átengedett SZJA jogcímei és összegei (2010. év tervezett és tényleges) TATA VÁROS ÖNKORMÁNYZATA</t>
  </si>
  <si>
    <t>Jogcímek megnevezése</t>
  </si>
  <si>
    <t>2010. évi várható</t>
  </si>
  <si>
    <t xml:space="preserve">2010. évi tényleges </t>
  </si>
  <si>
    <t>Különbözet</t>
  </si>
  <si>
    <t>Mutató</t>
  </si>
  <si>
    <t>Ft/mutató</t>
  </si>
  <si>
    <t>Összeg</t>
  </si>
  <si>
    <t>Tényleges-tervezett</t>
  </si>
  <si>
    <t>Normatív támogatások</t>
  </si>
  <si>
    <t>Települési önkormányzatok üzemeltetési, igazgatási, sport- és kulturális feladatai</t>
  </si>
  <si>
    <t>Lakott külterülettel kapcsolatos feladatok</t>
  </si>
  <si>
    <t>Körzeti igazgatási feladatok</t>
  </si>
  <si>
    <t>Üdülőhelyi feladatok</t>
  </si>
  <si>
    <t xml:space="preserve">SzJA átengedett 8 %     </t>
  </si>
  <si>
    <t>Egyéb támogatások összesen</t>
  </si>
  <si>
    <t>Pénzbeli szociális juttatások</t>
  </si>
  <si>
    <t>Szoc. és gyermekjóléti alapsz. ált. fel.</t>
  </si>
  <si>
    <r>
      <t>Otthonközeli ellátás</t>
    </r>
    <r>
      <rPr>
        <sz val="9"/>
        <rFont val="Times New Roman CE"/>
        <family val="1"/>
      </rPr>
      <t>:szociális étkeztetést és a házi segítségnyújtást együttesen biztosítják (Fajlagos összeg 100 %-a)</t>
    </r>
  </si>
  <si>
    <r>
      <t>Otthonközeli ellátás:</t>
    </r>
    <r>
      <rPr>
        <sz val="9"/>
        <rFont val="Times New Roman CE"/>
        <family val="1"/>
      </rPr>
      <t>szociális étkeztetést és az időskorúak nappali ellátását együttesen biztosítják (Fajlagos öszeg 65%-a)</t>
    </r>
  </si>
  <si>
    <r>
      <t>Otthonközeli ellátás:</t>
    </r>
    <r>
      <rPr>
        <sz val="9"/>
        <rFont val="Times New Roman CE"/>
        <family val="1"/>
      </rPr>
      <t xml:space="preserve"> azon ellátottak után, akik részére szociális étkeztetést biztosít az önkormányzat ( Fajlagos összeg 25%-a)</t>
    </r>
  </si>
  <si>
    <r>
      <t>Otthonközeli ellátás:</t>
    </r>
    <r>
      <rPr>
        <sz val="9"/>
        <rFont val="Times New Roman CE"/>
        <family val="1"/>
      </rPr>
      <t>azon ellátottak után, akik részére időskorúak nappali ellátását biztosít ( Fajlagos összeg 40%-a)</t>
    </r>
  </si>
  <si>
    <t>Időskorúak nappali ellátása (Petőfi u, Deák F.u.)</t>
  </si>
  <si>
    <t>Fogyatékos és demens személyek nappali intézményi ellátása (ÉNO)</t>
  </si>
  <si>
    <t>Hajléktalanok nappali intézményi ellátása</t>
  </si>
  <si>
    <t>Hajléktalanok átmeneti szállása, éjjeli menedékhely</t>
  </si>
  <si>
    <t>Ingyenes bölcsödei étkeztetés</t>
  </si>
  <si>
    <t xml:space="preserve"> Szociális továbbképzés és szakvizsga</t>
  </si>
  <si>
    <t>Szociális normatív támogatások összesen</t>
  </si>
  <si>
    <t xml:space="preserve">Óvodai nevelés teljesítménymutató alapján </t>
  </si>
  <si>
    <t>Általános isk.oktatás teljesítménymutató alapján  I-IV.</t>
  </si>
  <si>
    <t>Általános isk.oktatás teljesítménymutató alapján V-VIII.</t>
  </si>
  <si>
    <t>Testi, érzékszervi, középsúlyos értelmi fogyatékos gyermekek óvodában</t>
  </si>
  <si>
    <t xml:space="preserve">Testi, érzékszervi, középsúlyos értelmi fogyatékos gyermekek isk. </t>
  </si>
  <si>
    <t xml:space="preserve">Viselkedés fejlődésének organikus okokra vissza nem vez. tanulók </t>
  </si>
  <si>
    <t>Beszédfogyatékos, enyhe értelmi fogyatékos, org.okokra visszavezethető</t>
  </si>
  <si>
    <t xml:space="preserve">Magántanuló orvosi igazolás alapján </t>
  </si>
  <si>
    <t>Alapfokú művészetoktatás, zeneművészeti ág</t>
  </si>
  <si>
    <t>Alapfokú művészetoktatás képzőművészeti ág</t>
  </si>
  <si>
    <t>Óvodai kedvezményes étkeztetés</t>
  </si>
  <si>
    <t>Kiegészítő hozzájárulás rendszeres GYEV-ben részesülők  V-VII.évf. ingy.étk.</t>
  </si>
  <si>
    <t>Szervezett kedvezményes étkeztetés iskolában</t>
  </si>
  <si>
    <t xml:space="preserve">Általános iskolai napközis foglalkoztatás </t>
  </si>
  <si>
    <t>Minősített alapfokú művészeti oktatás zeneművészeti ágon 8 hónapra</t>
  </si>
  <si>
    <t>Minősített alapfokú művészeti oktatás képző- és iparművészeti ágon 8 hónapra</t>
  </si>
  <si>
    <t>Általános hozzájárulás a tanulók tankönyvellátásához</t>
  </si>
  <si>
    <t>Ingyenes tankönyv</t>
  </si>
  <si>
    <t>Nemzetiségi nyelvű, két tanítási nyelvű oktatás, nyelvi előkészítő oktatás</t>
  </si>
  <si>
    <t>Intézményi társulás iskolájába járó tanulók támogatása</t>
  </si>
  <si>
    <t>Közoktatási normatíva összesen</t>
  </si>
  <si>
    <t>Normatív támogatások összesen</t>
  </si>
  <si>
    <t>Pedagógiai szakszolgálat (Vaszary)</t>
  </si>
  <si>
    <t>Normatív kötött támogatások összesen</t>
  </si>
  <si>
    <t>Normatív+kötött támogatások összesen</t>
  </si>
  <si>
    <t>ÁLLAMI TÁMOGATÁS ÉS SZJA MINDÖSSZESEN</t>
  </si>
  <si>
    <t>Tata Város Önkormányzata</t>
  </si>
  <si>
    <t>Közvetett támogatások 2010. évi összege (E Ft-ban)</t>
  </si>
  <si>
    <t>1. Helyi adók, gépjárműadó:</t>
  </si>
  <si>
    <t>Önkormányzati döntés alapján (I-III)</t>
  </si>
  <si>
    <t>I. Adóelengedés</t>
  </si>
  <si>
    <t>1) Építményadó /év elején előírásra kerül, majd jöv.igazolás után törlés/</t>
  </si>
  <si>
    <t xml:space="preserve"> - jövedelemhez kötött mentesség</t>
  </si>
  <si>
    <t xml:space="preserve"> - lakás célú 30 m2 alatti zártkerti építmény</t>
  </si>
  <si>
    <t>2.) Iparűzési adó:</t>
  </si>
  <si>
    <t>2,5 M Ft alatti vállalkozási szintű adóalap (2009. évi bevallás, előírásra sem került)</t>
  </si>
  <si>
    <t>Adóelengedés összesen:</t>
  </si>
  <si>
    <t>II. Adókedvezmény</t>
  </si>
  <si>
    <t>Építményadó /előírásra sem került/</t>
  </si>
  <si>
    <t xml:space="preserve"> - üdülő lakás adómértékkel</t>
  </si>
  <si>
    <t>Adókedvezmény összesen:</t>
  </si>
  <si>
    <t>III. Méltányossági eljárás keretében nyújtott adó,- pótlék,- és bírság elengedés, valamint fizetési könnyítés részletfizetésre, fizetési halasztásra vonatkozóan:</t>
  </si>
  <si>
    <t>Adóelengedés /az előírt adó méltányossági kérelem alapján elengedésre került/</t>
  </si>
  <si>
    <r>
      <t>Részletfizetési kedvezmény:</t>
    </r>
    <r>
      <rPr>
        <sz val="10"/>
        <rFont val="Times New Roman CE"/>
        <family val="1"/>
      </rPr>
      <t xml:space="preserve"> </t>
    </r>
  </si>
  <si>
    <t xml:space="preserve"> - építményadó</t>
  </si>
  <si>
    <t xml:space="preserve"> - telekadó</t>
  </si>
  <si>
    <t xml:space="preserve"> - iparűzési adó</t>
  </si>
  <si>
    <t xml:space="preserve"> - késedelmi pótlék</t>
  </si>
  <si>
    <t xml:space="preserve"> - bírság</t>
  </si>
  <si>
    <t xml:space="preserve"> - talajterhelési díj</t>
  </si>
  <si>
    <t>Részletfizetési kedvezmény összesen:</t>
  </si>
  <si>
    <t xml:space="preserve">Fizetési halasztás: </t>
  </si>
  <si>
    <t>Fizetési halasztás összesen:</t>
  </si>
  <si>
    <t>Összes közvetett támogatás helyi adóknál és gépjárműadónál:</t>
  </si>
  <si>
    <t>2. Ellátottak térítési díjának, kártérítésének méltányossági elengedése:</t>
  </si>
  <si>
    <t>3. Lakossági lakásfelújítási kölcsönök elengedésének várható összege:</t>
  </si>
  <si>
    <t>4. Ingatlan hasznosításból származó bevételből nyújtott kedvezmény, mentesség:</t>
  </si>
  <si>
    <t>Összes közvetett támogatás:</t>
  </si>
  <si>
    <t xml:space="preserve">Tata Város Önkormányzatának </t>
  </si>
  <si>
    <t>2010. évi egyszerűsített mérlege</t>
  </si>
  <si>
    <t>ESZKÖZÖK</t>
  </si>
  <si>
    <t>Előző évi kv. beszámoló záró adatai</t>
  </si>
  <si>
    <t>Auditálási eltérések   (+-)</t>
  </si>
  <si>
    <t xml:space="preserve">Előző évi aud. egyszerűsített beszámoló </t>
  </si>
  <si>
    <t>Tárgyévi kv. beszámoló adatai</t>
  </si>
  <si>
    <r>
      <t xml:space="preserve">Auditálási eltérések     </t>
    </r>
    <r>
      <rPr>
        <i/>
        <sz val="10"/>
        <rFont val="Times New Roman CE"/>
        <family val="1"/>
      </rPr>
      <t>(+-)</t>
    </r>
    <r>
      <rPr>
        <sz val="10"/>
        <rFont val="Times New Roman CE"/>
        <family val="1"/>
      </rPr>
      <t xml:space="preserve">        </t>
    </r>
  </si>
  <si>
    <t>Tárgyévi auditált  egysz. besz. adatai</t>
  </si>
  <si>
    <t>A)</t>
  </si>
  <si>
    <t>BEFEKTETETT ESZKÖZÖK ÖSSZESEN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</si>
  <si>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</si>
  <si>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</si>
  <si>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</si>
  <si>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</si>
  <si>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</si>
  <si>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</si>
  <si>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</si>
  <si>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</si>
  <si>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B)</t>
  </si>
  <si>
    <t>FORGÓESZKÖZÖK ÖSSZESEN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</si>
  <si>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</si>
  <si>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</si>
  <si>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</si>
  <si>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</si>
  <si>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</si>
  <si>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</si>
  <si>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ESZKÖZÖK ÖSSZESEN</t>
  </si>
  <si>
    <t>FORRÁSOK</t>
  </si>
  <si>
    <t>D)</t>
  </si>
  <si>
    <t>SAJÁT TŐKE ÖSSZESE</t>
  </si>
  <si>
    <t>Induló tőke</t>
  </si>
  <si>
    <t xml:space="preserve">2. </t>
  </si>
  <si>
    <t>Tőkeváltozások</t>
  </si>
  <si>
    <t>Értékelési tartalék</t>
  </si>
  <si>
    <t>E)</t>
  </si>
  <si>
    <t>TARTALÉKOK ÖSSZESEN</t>
  </si>
  <si>
    <t>Költségvetési tartalékok</t>
  </si>
  <si>
    <t xml:space="preserve">II. </t>
  </si>
  <si>
    <t>Vállalkozási tartalékok</t>
  </si>
  <si>
    <t>F)</t>
  </si>
  <si>
    <t>KÖTELEZETTSÉGEK ÖSSZESEN</t>
  </si>
  <si>
    <t>Hosszú lejáratú kötelezettségek</t>
  </si>
  <si>
    <t>Rövid lejáratú kötelezettségek</t>
  </si>
  <si>
    <t>Egyéb passzív pénzügyi elszámolások</t>
  </si>
  <si>
    <t>FORRÁSOK ÖSSZESEN</t>
  </si>
  <si>
    <t>2010. évi egyszerűsített éves pénzforgalmi jelentése (E Ft-ban)</t>
  </si>
  <si>
    <t>Sor</t>
  </si>
  <si>
    <t>Módosított</t>
  </si>
  <si>
    <t>szám</t>
  </si>
  <si>
    <t>előirányzat</t>
  </si>
  <si>
    <t>Munkaadót terhelő járulékok</t>
  </si>
  <si>
    <t>Dologi és egyéb folyó kiadások</t>
  </si>
  <si>
    <t>Működési célú támogatásértékű kiadások, egyéb támogatások</t>
  </si>
  <si>
    <t>Államháztartáson kívülre végleges működési pénzeszközátadások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</si>
  <si>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</si>
  <si>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</si>
  <si>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</si>
  <si>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</si>
  <si>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 (1+..+12)</t>
  </si>
  <si>
    <t>Hosszú lejáratú hitelek</t>
  </si>
  <si>
    <t>Rövid lejáratú hitelek</t>
  </si>
  <si>
    <t>Tartós hitelviszonyt megtestesítő értékpapírok kiadásai</t>
  </si>
  <si>
    <t>Forgatási célú hitelviszonyt megtestesítő értékpapírok kiadásai</t>
  </si>
  <si>
    <t>Finanszírozási kiadások összesen (14+..+17)</t>
  </si>
  <si>
    <t>Pénzforgalmi kiadások (13+18)</t>
  </si>
  <si>
    <t>Pénzforgalom nélküli kiadások</t>
  </si>
  <si>
    <t>Továbbadási (lebonyolítási) célú kiadások</t>
  </si>
  <si>
    <t>Kiegyenlítő, függő, átfutó kiadások összesen</t>
  </si>
  <si>
    <t>Kiadások összesen (19+…+22)</t>
  </si>
  <si>
    <t>Intézményi működési bevételek</t>
  </si>
  <si>
    <t>Önkormányzatok sajátos működési bevételei</t>
  </si>
  <si>
    <t>Működési célú támogatásértékű bevételek, egyéb támogatások</t>
  </si>
  <si>
    <t>Államháztartáson kívülről végleges működési pénzeszközátvételek</t>
  </si>
  <si>
    <t>Felhalmozási és tőke jellegű bevételek</t>
  </si>
  <si>
    <t>28-ból önkormányzat sajátos felhalmozási és tőkebevételei</t>
  </si>
  <si>
    <t>Felhalmozási célú támogatásértékű bevételek, egyéb támogatások</t>
  </si>
  <si>
    <t>Államháztartáson kívülről végleges felhalmozási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</si>
  <si>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</si>
  <si>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</si>
  <si>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</si>
  <si>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</si>
  <si>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Költségvetési pénzforgalmi bevételek összesen (24+28+30+31+32+34+35)</t>
  </si>
  <si>
    <t>Hosszú lejáratú hitelek felvétele</t>
  </si>
  <si>
    <t>Rövid lejáratú hitelek felvétele</t>
  </si>
  <si>
    <t>Tartós hitelviszonyt megtestesítő értékpapírok bevétele</t>
  </si>
  <si>
    <t>Forgatási célú hitelviszonyt megtestesítő értékpapírok bevételei</t>
  </si>
  <si>
    <t>Finanszírozási bevételek összesen (37+…+40)</t>
  </si>
  <si>
    <t>Pénzforgalmi bevételek (36+41)</t>
  </si>
  <si>
    <t>Pénzforgalom nélküli bevételek</t>
  </si>
  <si>
    <t>Továbbadási (lebonyolítási) célú bevételek</t>
  </si>
  <si>
    <t xml:space="preserve">Kiegyenlítő, függő, átfutó bevételek </t>
  </si>
  <si>
    <t>Bevételek összesen (42+…+45)</t>
  </si>
  <si>
    <t>Költségvetési bevételek és kiadások különbsége(36+43-13-20)</t>
  </si>
  <si>
    <t>Finanszírozási műveletek eredménye (41-18)</t>
  </si>
  <si>
    <t>Továbbadási célú bevételek és kiadások különbsége (44-21)</t>
  </si>
  <si>
    <t>Aktív és passzív pénzügyi műveletek egyenlege (45-22)</t>
  </si>
  <si>
    <t xml:space="preserve">EGYSZERŰSÍTETT PÉNZMARADVÁNY-KIMUTATÁS </t>
  </si>
  <si>
    <t>2010. év</t>
  </si>
  <si>
    <t>Auditálási eltérések      (+-)</t>
  </si>
  <si>
    <t>Előző évi aud.  egyszerűsítettbeszámoló záró adatai</t>
  </si>
  <si>
    <t>Tárgyévi kv. beszámoló záró adatai</t>
  </si>
  <si>
    <t>Auditálási eltérések        (+-)</t>
  </si>
  <si>
    <t>Tárgyévi aud. egyszerűsített beszámoló záró adatai</t>
  </si>
  <si>
    <t>Forgatási célú pénzügyi műveletek egyenlege</t>
  </si>
  <si>
    <t>Egyéb aktív és passzív pénzügyi elszámolások összevont záróegyenlege (+-)</t>
  </si>
  <si>
    <t>Előző év(ek)ben képzett tartalékok maradványa (-)</t>
  </si>
  <si>
    <t>Vállalkozási tevékenység pénzforgalmi eredménye (-)</t>
  </si>
  <si>
    <t>Tárgyévi helyesbített pénzmaradvány (1+-2+-3-4-5)</t>
  </si>
  <si>
    <t>Finanszírozásból származó korrekciók (+-)</t>
  </si>
  <si>
    <t>Pénzmaradványt terhelő elvonások (+-)</t>
  </si>
  <si>
    <t>Kültségvetési pénzmaradvány (6+7+8)</t>
  </si>
  <si>
    <t>Vállalkozási maradványból alaptev. ellát-ra felhaszn. összeg</t>
  </si>
  <si>
    <t>Költségvetési pénzmaradványt külön jogszabály alapján mód. tétel (+,-)</t>
  </si>
  <si>
    <t>Módosított pénzmaradvány (9+10+11)</t>
  </si>
  <si>
    <t>A 12. sorból az egészségbiztosítási alapból folyósított pénzeszköz maradványa</t>
  </si>
  <si>
    <t>12-ből kötelezettséggel terhelt pénzmaradvány</t>
  </si>
  <si>
    <t>12-ből szabad pénzmaradvány</t>
  </si>
  <si>
    <t>EGYSZERŰSÍTETT VÁLLALKOZÁSI MARADVÁNY-KIMUTATÁS ELŐÍRT TAGOLÁSA</t>
  </si>
  <si>
    <t>Előző évi beszámoló záró adatai</t>
  </si>
  <si>
    <t>Vállalkozási tevékenység működési célú bevételei</t>
  </si>
  <si>
    <t>Vállalkozási tevékenység felhalmozási célú bevételei</t>
  </si>
  <si>
    <t>Váll. Maradványban figyelembe veheti finanszírozási bevét.</t>
  </si>
  <si>
    <t>A.</t>
  </si>
  <si>
    <t>Vállalkozási tev. Szakfeladaton elsz. Bevételei (1+2+3)</t>
  </si>
  <si>
    <t>Vállalkozási tevékenység működési célú kiadásai</t>
  </si>
  <si>
    <t>Vállalkozási tevékenység felhalmozási célú kiadásai</t>
  </si>
  <si>
    <t>Váll. Maradványban figyelembe veheti finanszírozási kiadás</t>
  </si>
  <si>
    <t>B.</t>
  </si>
  <si>
    <t>Vállalkozási tev. Szakfeladaton elsz. Kiadásai (4+5+6)</t>
  </si>
  <si>
    <t>C.</t>
  </si>
  <si>
    <t>Vállalkozási tevékenység pénzforgalmi maradványa (A-B)</t>
  </si>
  <si>
    <t>Vállalkozási tevékenységet terheli értékcsökkenési leírás</t>
  </si>
  <si>
    <t>Alaptev. ellát-ra felhasznált, tervezett váll. maradvány</t>
  </si>
  <si>
    <t>Pénzforg. Maradványt jogszabály alapján módosító egyéb t.</t>
  </si>
  <si>
    <t>D.</t>
  </si>
  <si>
    <t>Váll. Tevék. Módosított pénzforg.-i váll. Maradv. (C-7-8+9)</t>
  </si>
  <si>
    <t>E.</t>
  </si>
  <si>
    <t>Vállalkozási tevék.-et terheli befizetési kötelezettség</t>
  </si>
  <si>
    <t>F.</t>
  </si>
  <si>
    <t>Vállalkozási TARTALÉKBA helyezhető összeg (C-8-9-E)</t>
  </si>
  <si>
    <t>Önkormámyzati intézmények 2010. évi pénzügyi ellátottsága (E Ft-ban)</t>
  </si>
  <si>
    <t>Intézmények megnevezése</t>
  </si>
  <si>
    <t>Ellátottak átlagszáma (mutatószám)</t>
  </si>
  <si>
    <t xml:space="preserve">Működési kiadás </t>
  </si>
  <si>
    <t>1 ellátottra jutó kiadás (eFt/mutató)</t>
  </si>
  <si>
    <t>Intézmény saját bevétele</t>
  </si>
  <si>
    <t>Önkormányzat állami támogatása</t>
  </si>
  <si>
    <t>Önkormányzati támogatás (saját forrás)</t>
  </si>
  <si>
    <r>
      <t xml:space="preserve">1 főre jutó </t>
    </r>
    <r>
      <rPr>
        <b/>
        <u val="single"/>
        <sz val="10"/>
        <rFont val="Times New Roman"/>
        <family val="1"/>
      </rPr>
      <t>állami</t>
    </r>
    <r>
      <rPr>
        <b/>
        <sz val="10"/>
        <rFont val="Times New Roman"/>
        <family val="1"/>
      </rPr>
      <t xml:space="preserve"> támogatás</t>
    </r>
  </si>
  <si>
    <r>
      <t>1 főre jutó</t>
    </r>
    <r>
      <rPr>
        <b/>
        <u val="single"/>
        <sz val="10"/>
        <rFont val="Times New Roman"/>
        <family val="1"/>
      </rPr>
      <t xml:space="preserve"> önk</t>
    </r>
    <r>
      <rPr>
        <b/>
        <sz val="10"/>
        <rFont val="Times New Roman"/>
        <family val="1"/>
      </rPr>
      <t>. támogatás</t>
    </r>
  </si>
  <si>
    <t>összeg</t>
  </si>
  <si>
    <t>%-a</t>
  </si>
  <si>
    <t>Bartók B.utcai Óvoda</t>
  </si>
  <si>
    <t>Piros Óvoda</t>
  </si>
  <si>
    <t>Óvodák mindösszesen:</t>
  </si>
  <si>
    <t xml:space="preserve"> Bölcsőde</t>
  </si>
  <si>
    <t xml:space="preserve">Kőkúti Általános Iskola </t>
  </si>
  <si>
    <t>Kőkúti Ált.Isk.Fazekas utcai tagintézménye</t>
  </si>
  <si>
    <t>Vaszary J. Általános Iskola és Logopédiai Intézet</t>
  </si>
  <si>
    <t>Vaszary J. Ált.Isk.Jázmin utcai tagintézmémye</t>
  </si>
  <si>
    <t>Vaszary J.Ált.Isk. Fekete Lajos tagintézménye</t>
  </si>
  <si>
    <t>Menner Bernát Zeneiskola</t>
  </si>
  <si>
    <t>Iskolák mindösszesen:</t>
  </si>
  <si>
    <t>Szociális Alapellátó Intézmény:</t>
  </si>
  <si>
    <t>Önkormányzat adósságállományának évenkénti alakulása</t>
  </si>
  <si>
    <t>Adósságállomány törlesztő részlete a tárgyévet követő</t>
  </si>
  <si>
    <t>1. évben</t>
  </si>
  <si>
    <t>2. évben</t>
  </si>
  <si>
    <t>3. évben</t>
  </si>
  <si>
    <t>4. évben</t>
  </si>
  <si>
    <t>5. évben</t>
  </si>
  <si>
    <t>6. és az követő években</t>
  </si>
  <si>
    <t>9=4+..+8</t>
  </si>
  <si>
    <t>10=3+9</t>
  </si>
  <si>
    <t>Tartozások fejlesztési célú, devizában (CHF) kibocsátott kötvényből</t>
  </si>
  <si>
    <t>Forintban felvett beruházási és fejlesztési hitelek</t>
  </si>
  <si>
    <t>Devizában (CHF) felvett beruházási és fejlesztési hitelek</t>
  </si>
  <si>
    <t>Egyéb hosszú lejáratú, forintban fennálló kötelezettségek</t>
  </si>
  <si>
    <t>Hosszú lejáratú, forintban fennálló kötelezettségek évenkénti törlesztő részletei összesen (2+4):</t>
  </si>
  <si>
    <t>Hosszú lejáratú, devizában (CHF)  fennálló kötelezettségek évenkénti törlesztő részletei összesen (1+3):</t>
  </si>
  <si>
    <t>Tájékoztatás</t>
  </si>
  <si>
    <t>Tata Város Polgármesteri Hivatalának folyamatban lévő pályázatairól (E Ft-ban)</t>
  </si>
  <si>
    <t>2010. évben</t>
  </si>
  <si>
    <t>Benyújtás éve</t>
  </si>
  <si>
    <t>Pályázat megnevezése</t>
  </si>
  <si>
    <t>Támogatandó cél</t>
  </si>
  <si>
    <t>Felelős</t>
  </si>
  <si>
    <t>Igényelt támogatás</t>
  </si>
  <si>
    <t>Megítélt támogatás</t>
  </si>
  <si>
    <t>Megjegyzés (elbírálási információk, szerződésszámok, egyéb vonatkozó tudnivalók)</t>
  </si>
  <si>
    <t>Megérkezett támogatás</t>
  </si>
  <si>
    <t>2010. évben megérkezett támogatás</t>
  </si>
  <si>
    <t>összesen</t>
  </si>
  <si>
    <t>I. negyedév</t>
  </si>
  <si>
    <t>II. negyedév</t>
  </si>
  <si>
    <t>III. negyedév</t>
  </si>
  <si>
    <t>IV. negyedév</t>
  </si>
  <si>
    <t>2007.</t>
  </si>
  <si>
    <t>Közlekedési Koordinációs Központ</t>
  </si>
  <si>
    <t>Főutak átkelési szakaszain közlekedés javítása</t>
  </si>
  <si>
    <t>Tene Gáborné</t>
  </si>
  <si>
    <t>2007/109, társfinanszírozás</t>
  </si>
  <si>
    <t>2008.</t>
  </si>
  <si>
    <t>KDOP 2007.2.1.1./B</t>
  </si>
  <si>
    <t>Angolpark rehabilitációja</t>
  </si>
  <si>
    <t>Lengyel József</t>
  </si>
  <si>
    <t>Nyertes pályázat, a támogatási szerz. Megkötve 2009.12.01</t>
  </si>
  <si>
    <t>KDOP 5.1.1.</t>
  </si>
  <si>
    <t>Bartók B. úti óvoda újjáépítése</t>
  </si>
  <si>
    <t>Schweighardt Ottóné</t>
  </si>
  <si>
    <t>Nyertes pályázat, a támogatási szerződés megkötve, projekt zárása folyik</t>
  </si>
  <si>
    <t>TIOP 1.1.1 07/1</t>
  </si>
  <si>
    <t>Iskolai informatikai pályázat</t>
  </si>
  <si>
    <t>Lippai Sándor</t>
  </si>
  <si>
    <t>Támogatott, közp. közb. elj. keretében kiválasztott szállítótól 150 db PC, 3db szerver, 34 db tantermi csomag, 7 db SNI csomag</t>
  </si>
  <si>
    <t>KKK CSOMÓPONT-2008.</t>
  </si>
  <si>
    <t>Május 1. úti körforgalom fejlesztése</t>
  </si>
  <si>
    <t>Sikeres pályázat, 85/2008.(III.26.) sz. hat. Szerinti összeg az Útpénztárba befizetve</t>
  </si>
  <si>
    <t>KEOP 5.1.0</t>
  </si>
  <si>
    <t>Intézményi energiaracionalizálási program (Kőkúti Ált. Isk., Vaszary Ált. Isk., Fazekas Ált Isk., Geszti Óvoda, Piros Óvoda, Új úti Bölcsöde, Fürdő u.-i Óvoda)</t>
  </si>
  <si>
    <t>Lakos Zsuzsanna</t>
  </si>
  <si>
    <t>Nyertes pályázat, szerződés megkötve, záró elszámolás megküldve</t>
  </si>
  <si>
    <t>ÁROP-1.A.2, Közigazgatási Reform Program Irányító Hatósága</t>
  </si>
  <si>
    <t>Polgármesteri Hivatal szervezetfejlesztése</t>
  </si>
  <si>
    <t>dr. Lantai Éva</t>
  </si>
  <si>
    <t>Nyertes pályázat, támogatási szerődés megkötve, előleg folyósítva, az 1.-2. kifizetési kérelem beküldve, pozitívan elbírálva</t>
  </si>
  <si>
    <t xml:space="preserve">KKK  </t>
  </si>
  <si>
    <t>Kocsi és Környei utca csomópontban a gyalogos átkelőhelyek fejlesztése</t>
  </si>
  <si>
    <t>International Visegrad Fund</t>
  </si>
  <si>
    <t>Gyermekekről szóló fotóalbum és vándorkiállítás</t>
  </si>
  <si>
    <t>Osgyáni Zsuzsanna</t>
  </si>
  <si>
    <t>6 860 Euro</t>
  </si>
  <si>
    <t>5 000 Euro</t>
  </si>
  <si>
    <t>Nyertes pályázat</t>
  </si>
  <si>
    <t>Education, Audiovisual &amp; Executive Agency, Brüsszel (Európa a polgárokért 2007-2013 program)</t>
  </si>
  <si>
    <t>Tematikus testvérvárosi konferencia szervezése a gyermekek jogaoról és jóllétéről</t>
  </si>
  <si>
    <t>6 933 Euro</t>
  </si>
  <si>
    <t>Nemzetközi ifjúsági találkozó megvalósítása</t>
  </si>
  <si>
    <t>6 288 Euro</t>
  </si>
  <si>
    <t>Európai Bizottság</t>
  </si>
  <si>
    <t>Testvérvárosi drogkonferencia rendezése 2009. októberében</t>
  </si>
  <si>
    <t>10 117,95 Euro</t>
  </si>
  <si>
    <t>10 015,18 Euro</t>
  </si>
  <si>
    <t>Támogatott</t>
  </si>
  <si>
    <t>2009.</t>
  </si>
  <si>
    <t>KDOP 4.2.1/B</t>
  </si>
  <si>
    <t>Fáklya u., Diófa u. belterületi közutak fejlesztése</t>
  </si>
  <si>
    <t>Valusek Helga</t>
  </si>
  <si>
    <t>Nyertes KDOP-4.2.1/B-09-2009-0006, visszavonása kezdeményezve 53/2011.(II.23.) sz. határozat szerint</t>
  </si>
  <si>
    <t>Közép-Dunántúli Regionális Fejlesztési Tanács TEUT</t>
  </si>
  <si>
    <t>Rákóczi u. burkolat felújítása</t>
  </si>
  <si>
    <t>Sidlóczky Attila</t>
  </si>
  <si>
    <t>Nyertes pályázat 110003009U, elszámolás megküldve</t>
  </si>
  <si>
    <t>KDOP-2009-4.2.2.</t>
  </si>
  <si>
    <t>Tata Kocsi úti és Dózsa Gy. u.-i kerékpárút építése</t>
  </si>
  <si>
    <t>141/2009./V.27./ és a 225/2009./VI.24./ sz. határozat alapján nyertes pályázat, KDOP-4.2.2-2009-0003, záró elszámolás megküldve</t>
  </si>
  <si>
    <t>KDOP-2009-5.3.2.</t>
  </si>
  <si>
    <t>Egyenlő esélyű hozzáférés a közszolgáltatásokhoz - Polgármesteri Hivatal Komplex akadálymentesítése</t>
  </si>
  <si>
    <t xml:space="preserve"> Lakos Zsuzsanna </t>
  </si>
  <si>
    <t>226/2009./VI.24./ sz.,  281/2009./IX.9./ sz. és a 343/2009./IX.30./ sz. határozatok alapján, elutasítva, jogi kifogást emeltünk, melyet elutasítottak</t>
  </si>
  <si>
    <t>KDOP-2009-4.1.1.E</t>
  </si>
  <si>
    <t>Települési vízrendezés fejlesztése - József A. u. vízrendezése</t>
  </si>
  <si>
    <t>Valusek Helga, Lakos Zsuzsanna</t>
  </si>
  <si>
    <t>141/2009./V.27./, 226/2009./VI.24./, 284/2009./IX.9./ sz. és a 372/2009./X.28./ sz. határozatok alapján , elutasítva, fellebbezve, fellebbezés elutasítva</t>
  </si>
  <si>
    <t>KDOP-2009-4.1.1/A</t>
  </si>
  <si>
    <t>Szennyvízelvezetés és kezelés fejlesztése - Újhegy</t>
  </si>
  <si>
    <t>Lakos Zsuzsa</t>
  </si>
  <si>
    <t>KEOP-2009-5.3.0/A</t>
  </si>
  <si>
    <t>Tatai kistérség - önkormányzati épületek energetikai rekonstrukciója (Épületenergetikai fejlesztés, közvilágítás korsz.)</t>
  </si>
  <si>
    <t>Lakos Zsusza</t>
  </si>
  <si>
    <t>256/2009./VII.2./ sz. és a 385/2009./X.28./ határozatok alapján, mint a Tatai Kistérségi Többcélú Társulás tagja, nyertes</t>
  </si>
  <si>
    <t>KDOP-2.1.1/B</t>
  </si>
  <si>
    <t>Kajakház-sportcentrum tömegsportok a kistérségben élők, turisták számára</t>
  </si>
  <si>
    <t>Horváth Zoltán, Városkapu Zrt.</t>
  </si>
  <si>
    <t>Előkészítés alatt 141/2009./V.27./ sz. és a 283/2009./IX.9./ sz. határozatok alapján benyújtva, elutasítva, jogi panasz elutasítva, projekt újraértékelés alatt</t>
  </si>
  <si>
    <t>KDOP-2.2.1/A</t>
  </si>
  <si>
    <t>Helyi turisztikai desztináció Menedzsment szervezet kialakítása</t>
  </si>
  <si>
    <t>141/2009./V.27./ sz. és a 270/2009./VIII.12./ sz. határozatok alapján</t>
  </si>
  <si>
    <t>KDOP-3.1.1/A</t>
  </si>
  <si>
    <t>Értékmegörző és funkcióbővítő városrehabilitáció - Tata, Kossuth tér városközpont rehabilitációja</t>
  </si>
  <si>
    <t>Kiss Zsolt</t>
  </si>
  <si>
    <t>141/2009./V.27./ sz.  és a 282/2009./IX.9./ sz. határozatok , benyújtva, 1. fordulóban nyertes, 2. fordulós dokumentáció előkészítése folyik</t>
  </si>
  <si>
    <t>KDOP-5.2.2./B</t>
  </si>
  <si>
    <t>Új u-i bölcsőde férőhely fejlesztése</t>
  </si>
  <si>
    <t>Nyertes pályázat, szerződés megkötve, előleg folyósítva, projekt zására folyamatban</t>
  </si>
  <si>
    <t>Európai Regionális Fejlesztési Alap, Magyarország-Szlovákia Határon Átnyúló Együttműködési Program 2007-2013</t>
  </si>
  <si>
    <t>Határon átívelő kulturális és sport kapcsolat két testvértelepülés között (Tata-Szőgyén)</t>
  </si>
  <si>
    <t>44 409,97 Euro</t>
  </si>
  <si>
    <t>Támogatási szerződés megkötése folyamatban, 287/2009./IX.9./ sz. határozat, elk. szla megnyitva</t>
  </si>
  <si>
    <t>KEOP-2009-4.2</t>
  </si>
  <si>
    <t>Helyi hő és hűtési igény kielégítése megújuló energiaforrásokkal</t>
  </si>
  <si>
    <t>267/2009./VIII.12./ sz. határozat alapján</t>
  </si>
  <si>
    <t>KEOP-2009-3.1.3</t>
  </si>
  <si>
    <t>Angolkert növényzetének pótlása, ápolása</t>
  </si>
  <si>
    <t>Gerlei Tamás</t>
  </si>
  <si>
    <t>271/2009./VIII.12./ sz. határozat alapján</t>
  </si>
  <si>
    <t>Magyarország-Szlovákia Határon Átnyúló Együttműködési Program 2007-2013 (HUSK09/01)</t>
  </si>
  <si>
    <t>Vándorutak Magyar-Szlovák Kocsi-, Lovas-, ÖKO Sztráda</t>
  </si>
  <si>
    <t>Lakos Zsuzsanna, Horváth Zoltán</t>
  </si>
  <si>
    <t>286/2009./IX.9./ sz. határozat alapján, nem került benyújtásra</t>
  </si>
  <si>
    <t>OKM</t>
  </si>
  <si>
    <t>Közoktatási-fejlesztési célok támogatása (Szakmai és informatikai fejlesztési feladatok)</t>
  </si>
  <si>
    <t>Magyarország-Szlovákia Határon Átnyúló Együttműködési Program 2007-2013  HU-SK 09/01/1.7.1</t>
  </si>
  <si>
    <t>Tata-Szőgyén kapcsolatok, 2010. évi rendezvényekre</t>
  </si>
  <si>
    <t>34 695 Euro</t>
  </si>
  <si>
    <t>287/2009./IX.9./ sz. határozat alapján</t>
  </si>
  <si>
    <t xml:space="preserve">Magyar-szlovák területi együttműködési program 1.5.1 </t>
  </si>
  <si>
    <t xml:space="preserve">Hálózati, partnerségi, program- és projekttervezési és -irányítási kapacitások fejlesztése - Hídépítés </t>
  </si>
  <si>
    <t>289/2009./IX.9./ sz. határozat alapján, Projekt partnerként (Pons Danubii Korlátolt Felelősségű Európai Területi Együttműködési Csoportosulás)</t>
  </si>
  <si>
    <t>KDOP-2009-5.2.2/A</t>
  </si>
  <si>
    <t>Szociális Alapellátó Intézmény fejlesztése, Gondoskodó kistérség</t>
  </si>
  <si>
    <t>261/2009./VII.2./ és a 386/2009./X.28./ sz. határozatok alapján, benyújtva, nyertes, szerződés megkötve, előleg folyósítva</t>
  </si>
  <si>
    <t>SPO-SE-09</t>
  </si>
  <si>
    <t>Szabadidő sportfesztiválok Tatán</t>
  </si>
  <si>
    <t>Támogatási szerződés megkötve SPO-SE-2009 ÖM276</t>
  </si>
  <si>
    <t>Foglalkoztatási és Szociális Hivatal</t>
  </si>
  <si>
    <t>Szociális támogató szolgáltatás</t>
  </si>
  <si>
    <t>Bálint Anita</t>
  </si>
  <si>
    <t>Támogatott, SZOC-BF-08-T0040, Szoc. Alapellátónak</t>
  </si>
  <si>
    <t>Pszichiátriai betegek közösségi ellátásának támogatása</t>
  </si>
  <si>
    <t>Támogatott, SZOC-BF-08-K-0015, Szoc. Alapellátónak</t>
  </si>
  <si>
    <t>Támogatott SZOC-BF-08-T-0040, Szoc. Alapellátónak</t>
  </si>
  <si>
    <t>Támogatott F/000314/09, Szoc. Alapellátónak</t>
  </si>
  <si>
    <t>Szociális és Munkaügyi Minisztérium</t>
  </si>
  <si>
    <t>Kábítószerügyi Egyeztető Fórumok megalakulása, valamint működésük fejlesztése</t>
  </si>
  <si>
    <t>KAB-KEF-09-A-0003, nyertes pályázat</t>
  </si>
  <si>
    <t>2010.</t>
  </si>
  <si>
    <t xml:space="preserve">Education, Audiovisual &amp; Executive Agency, Brüsszel </t>
  </si>
  <si>
    <t>Testvérvárosi ifjúsági találkozó szervezése</t>
  </si>
  <si>
    <t>10 995,14 Euro</t>
  </si>
  <si>
    <t>Elbírálás alatt</t>
  </si>
  <si>
    <t>39.</t>
  </si>
  <si>
    <t>Nemzetközi Visegrádi Alap, Pozsony</t>
  </si>
  <si>
    <t>V4-es konferencia szervezése az iskolai agresszióról</t>
  </si>
  <si>
    <t>4 985 Euro</t>
  </si>
  <si>
    <t>40.</t>
  </si>
  <si>
    <t>KÖZOP 2008-3.2.</t>
  </si>
  <si>
    <t>Által-ér Völgyi kerékpárút</t>
  </si>
  <si>
    <t>117/2010./IV.28./ sz. határozat alapján, nyertes KÖZOP-3.2.0/c-08-2010-0003, támogatási szerződés aláírás alatt</t>
  </si>
  <si>
    <t>41.</t>
  </si>
  <si>
    <t>Normatív pályázat</t>
  </si>
  <si>
    <t>Készségfejlesztés az önkormányzatoknál</t>
  </si>
  <si>
    <t>148/2010./IV.28./ sz. határozat alapján</t>
  </si>
  <si>
    <t>42.</t>
  </si>
  <si>
    <t>Magyar Államkincstár Közép-Dunántúli Regionális Igazgatóság</t>
  </si>
  <si>
    <t>Vis maior (Öreg-tó part, János patak, Fazekas Általános Iskola tető)</t>
  </si>
  <si>
    <t>Szabó István</t>
  </si>
  <si>
    <t>225/2010./VI.30./ sz. határozat alapján</t>
  </si>
  <si>
    <t>43.</t>
  </si>
  <si>
    <t>ÁROP-1.1.6/A</t>
  </si>
  <si>
    <t>Partnerség a közjóért</t>
  </si>
  <si>
    <t>255/2010./VI.30./ sz határozat alapján</t>
  </si>
  <si>
    <t>44.</t>
  </si>
  <si>
    <t>Könyvtári és közművelődési érdekeltségnövelő támogatás</t>
  </si>
  <si>
    <t>KOM/20556/4/2010 ikt. számú értesítés szerint</t>
  </si>
  <si>
    <t>45.</t>
  </si>
  <si>
    <t>Gyermekszegénység elleni program keretében nyári étkeztetés biztosítása</t>
  </si>
  <si>
    <t>Zubor Zsuzsa</t>
  </si>
  <si>
    <t>KOM/20675/4/2010 ikt. számú értesítés szerint</t>
  </si>
  <si>
    <t>46.</t>
  </si>
  <si>
    <t>Alapfokú művészetoktatási intézmények támogatása (Menner Bernát Zeneiskola)</t>
  </si>
  <si>
    <t>HEPI-PÖO/5386/2010 sz. értesítés alapján</t>
  </si>
  <si>
    <t>47.</t>
  </si>
  <si>
    <t>Pedagógus szakvizsga, továbbképzés támogatása</t>
  </si>
  <si>
    <t>HEPI-PÖO/4981/2010 sz. értesítés alapján</t>
  </si>
  <si>
    <t>48.</t>
  </si>
  <si>
    <t>Osztályfőnöki pótlékra</t>
  </si>
  <si>
    <t>HEPI-PÖO-4248/2010 sz. értesítés alapján</t>
  </si>
  <si>
    <t>49.</t>
  </si>
  <si>
    <t>50.</t>
  </si>
  <si>
    <t>Jelzőrendszeres házi segítségnyújtás</t>
  </si>
  <si>
    <t>JHS-SZ-133/1-2010</t>
  </si>
  <si>
    <t>51.</t>
  </si>
  <si>
    <t>Nemzeti Erőforrás Minisztérium</t>
  </si>
  <si>
    <t>Prémiumévek program</t>
  </si>
  <si>
    <t>Takács Zoltán</t>
  </si>
  <si>
    <t>KOM/20105/10/2010</t>
  </si>
  <si>
    <t>52.</t>
  </si>
  <si>
    <t>Pedagógiai szakszolgálatok szervezésének támogatása</t>
  </si>
  <si>
    <t>KOM/20644/4/2010</t>
  </si>
  <si>
    <t>53.</t>
  </si>
  <si>
    <t>Közigazgatási és Igazságügyi Minisztérium</t>
  </si>
  <si>
    <t>Települési kisebbségi Önkormányzatok feladatalapú támogatása - Cigány Kisebbségi Önkormányzat</t>
  </si>
  <si>
    <t>Mericza Nóra</t>
  </si>
  <si>
    <t>54.</t>
  </si>
  <si>
    <t>Települési kisebbségi Önkormányzatok feladatalapú támogatása - Lengyel Kisebbségi Önkormányzat</t>
  </si>
  <si>
    <t>55.</t>
  </si>
  <si>
    <t>Települési kisebbségi Önkormányzatok feladatalapú támogatása - Német Kisebbségi Önkormányzat</t>
  </si>
  <si>
    <t>56.</t>
  </si>
  <si>
    <t>Belügyminisztérium</t>
  </si>
  <si>
    <t>Helyi közlekedés normatív támogatása</t>
  </si>
  <si>
    <t>57.</t>
  </si>
  <si>
    <t>KDOP-4.1.1/E-10-2010-0011</t>
  </si>
  <si>
    <t>Csapadékvíz elvezető rendszer a Deák F. és Erkel F. utcákban</t>
  </si>
  <si>
    <t>Lakos Zsuzsa Valusek Helga</t>
  </si>
  <si>
    <t xml:space="preserve"> 346/2010/X.27./ sz. határozat alapján benyújtva, elustasítva</t>
  </si>
  <si>
    <t>58.</t>
  </si>
  <si>
    <t>Magyar Művelődési Intézet és Képzőművészeti Lektorátus - Nemzeti Erőforrás Minisztérium</t>
  </si>
  <si>
    <t>1510-es emlékmű</t>
  </si>
  <si>
    <t>2287-1/2010</t>
  </si>
  <si>
    <t>59.</t>
  </si>
  <si>
    <t>2011.</t>
  </si>
  <si>
    <t>Tata, 1. sz. fő út és a Baji út, a Hattyúliget u. és erzsébet tér csomópontok közlekedésbiztonsági beavatkozásának áttrevezésére</t>
  </si>
  <si>
    <t>19/2011. (I. 26.) sz. határozat alapján</t>
  </si>
  <si>
    <t>60.</t>
  </si>
  <si>
    <t>Tata, 8119 sz. összekötő út (Május 1. út) 60+169 km szelvényében jelzőlámpás forgalomirányítás kivitelezésére</t>
  </si>
  <si>
    <t>20/2011. (I. 26.) sz. határozat alapján</t>
  </si>
  <si>
    <t>Tájékoztatás a 2010. december 31. napján folyamatban lévő peres ügyekről</t>
  </si>
  <si>
    <r>
      <t>§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Augusztin Kft. felperes által, Tata Város Önkormányzata alperes ellen, földhasználati jog és telki szolgalmi jog megállapítása iránt indított per, a Tatai Városi Bíróság előtt van folyamatban I. fokon, mely eljárást a bíróság felfüggesztette a vázrajz záradékoltatásáig. Fenti használati jogokért az Önkormányzat viszont keresetében ellenértéket kért. A pertárgy értéke: 2.000.000.-Ft. Jelenleg a per szünetel.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</si>
  <si>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Táncsics Mihály u. 16. Társasházközösség tagjai (Tata Város Önkormányzata is tag) és társai alperesek ellen, a Kommuna Vagyonkezelő Zrt. felperes pert indított átjárási szolgalmi jog megállapítása iránt, mely per folyamatban van I. fokon, a Tatai Városi Bíróság előtt.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</si>
  <si>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Pszota Attila és Balogh Edina felperesek által Észak-dunántúli Vízmű Zrt. I.r. és Tata Város Önkormányzata II. r. 5.680.000. kártérítés megfizetése iránt indított perben a Tata Városi Bíróság I. fokon a jogalap tekintetében közbenső ítéletet hozott és megállapította, hogy az alpereseket felperesek irányában egyetemlegesen kártérítési kötelezettség terheli. A közbenső ítélet ellen fellebbeztem, ekként az még nem jogerős.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</si>
  <si>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A Merkantil Car Zrt. felperes által Tata Város Önkormányzata I.r. és Pannon Takarékszövetkezet II.r. alperesek ellen indult végrehajtási igényperben a Tatai Városi Bíróság a felperes kereseti kérelmét elutasító ítéletet hozott, mely ítélet még nem jogerős.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</si>
  <si>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A Centrum-ház Project Kft. felperes által Tata Város Önkormányzata alperes ellen, 22.000.000.-Ft kártérítés megfizetése és járulékai iránt indított, per a KEM Bíróságon van folyamatban I. fokon.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</si>
  <si>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Helyi Ipari és Városgazdasági Dolgozók Szakszervezete 2000 felperes által Tata Város Önkormányzata alperes ellen, elbirtoklással történő tulajdonszerzés iránt indított per a KEM Bíróságon van folyamatban I. fokon. Jelenleg az eljárás szünetel.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</si>
  <si>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A Kuti-Épker Kft. felperesnek, Tata Város Önkormányzata alperes ellen, szerződés érvénytelenségének megállapítása iránt indított per a KEM Bíróságon van folyamatban I. fokon. Jelenleg az eljárás szünetel.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</si>
  <si>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Tata Város Önkormányzata felperes, az alábbiakban felsorolt alperesek ellen lakás kiürítése és bérleti díjtartozás megfizetése iránt indított pereket, melyek a Tatai Városi Bíróságon I fokon folyamatban vannak:</t>
    </r>
  </si>
  <si>
    <t>Bősze Petra és Kovács Oszkár, Szélkút u. 5. 1/1.</t>
  </si>
  <si>
    <t>Székely Szabolcs és felesége, Kossuth tér 8.</t>
  </si>
  <si>
    <t>Balogh Renáta és Rigó Zoltán, Szélkút u. 5. ½.</t>
  </si>
  <si>
    <t>Szórádi László és felesége, Mindszenty tér 12. fsz. 1.</t>
  </si>
  <si>
    <t>Bányai Tibor és felesége, Mindszenty tér 9. 1/3.</t>
  </si>
  <si>
    <t>Würth Krisztina, Szélkút u. 9. 1/1.</t>
  </si>
  <si>
    <t>Körmendi Zoltán Józsefné, Mindszenty tér 15. fsz. 2.</t>
  </si>
  <si>
    <t>Dévald Diána és Májer Zsolt, Mindszentí tér 13. fsz. 2.</t>
  </si>
  <si>
    <t>Galgóczy Tamás, Május 1 út 49.</t>
  </si>
  <si>
    <t>Izsáki Judit, Ady Endre u. 19.</t>
  </si>
  <si>
    <t>Heider Attila, Mindszenty tér 10. 1/3.</t>
  </si>
  <si>
    <t>Mester Miklós, Kossuth tér 8.</t>
  </si>
  <si>
    <t>Kocsi-Horváthné Farkas Magdolna, Szélkút u. 7. fsz. 1.</t>
  </si>
  <si>
    <t>Jassa Jánosné, Szélkút u. 5. fsz. 1.</t>
  </si>
  <si>
    <r>
      <t>§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EC Multienergie Kft., mint felperes pert indított Tata Város Önkormányzata ellen, ami értelmében a Kft. az Önkormányzattól követel 72.483.303.-Ft összeget, azonban ezt az összeget, egy újabb beadványában 83.721.893.-Ft+ÁFA összegre kívánja módosítani. A pert a Kft. azért indította, mert az Önkormányzat a 123/2009./IV.29./ sz. határozatával 2009. május 20-ig azonnali hatállyal felmondta a Kft.-vel fennálló szerződést, a per I. fokon folyamatban van, az Önkormányzat képviselője Dr. Szabó Iván Ügyvédi Iroda.</t>
    </r>
  </si>
  <si>
    <r>
      <t>§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Tata Város Önkormányzati Képviselő-testülete a 267/2009./VIII.12./ sz. határozatával azonnali hatállyal felmondta a Menert spol. S.r.o. (Kft.)-val 2009.március 25-én megkötött koncessziós szerződést és kártérítés érvényesítése iránt pert indított. A kereset követelés 271.989.034.- Ft. A per jelenleg is folyamatban van I. fokon a Komárom-Esztergom Megyei Bíróság előtt, az Önkormányzat képviselője Dr. Szabó Iván Ügyvédi Iroda.</t>
    </r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</si>
</sst>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0"/>
    <numFmt numFmtId="166" formatCode="#,##0"/>
    <numFmt numFmtId="167" formatCode="@"/>
    <numFmt numFmtId="168" formatCode="#,##0;\-#,##0"/>
    <numFmt numFmtId="169" formatCode="0"/>
    <numFmt numFmtId="170" formatCode="DDDD&quot;, &quot;MMMM\ DD&quot;, &quot;YYYY"/>
    <numFmt numFmtId="171" formatCode="0.0"/>
    <numFmt numFmtId="172" formatCode="YYYY\-MM\-DD"/>
    <numFmt numFmtId="173" formatCode="#,##0.000"/>
    <numFmt numFmtId="174" formatCode="#,##0.00"/>
    <numFmt numFmtId="175" formatCode="0.00%"/>
  </numFmts>
  <fonts count="58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9"/>
      <name val="Times New Roman"/>
      <family val="1"/>
    </font>
    <font>
      <b/>
      <i/>
      <sz val="9"/>
      <name val="Times New Roman CE"/>
      <family val="1"/>
    </font>
    <font>
      <i/>
      <sz val="9"/>
      <name val="Times New Roman"/>
      <family val="1"/>
    </font>
    <font>
      <b/>
      <i/>
      <sz val="12"/>
      <name val="Times New Roman CE"/>
      <family val="1"/>
    </font>
    <font>
      <b/>
      <i/>
      <sz val="18"/>
      <name val="Times New Roman"/>
      <family val="1"/>
    </font>
    <font>
      <b/>
      <sz val="16"/>
      <name val="Times New Roman"/>
      <family val="1"/>
    </font>
    <font>
      <b/>
      <sz val="16"/>
      <name val="Times New Roman CE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2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</cellStyleXfs>
  <cellXfs count="1085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Border="1" applyAlignment="1">
      <alignment horizontal="center"/>
    </xf>
    <xf numFmtId="166" fontId="3" fillId="0" borderId="0" xfId="0" applyNumberFormat="1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4" fontId="4" fillId="0" borderId="10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4" fontId="4" fillId="0" borderId="0" xfId="0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right" vertical="center" wrapText="1"/>
    </xf>
    <xf numFmtId="165" fontId="5" fillId="0" borderId="13" xfId="0" applyNumberFormat="1" applyFont="1" applyBorder="1" applyAlignment="1">
      <alignment horizontal="right" vertical="center" wrapText="1"/>
    </xf>
    <xf numFmtId="164" fontId="4" fillId="0" borderId="14" xfId="0" applyFont="1" applyBorder="1" applyAlignment="1">
      <alignment/>
    </xf>
    <xf numFmtId="166" fontId="4" fillId="0" borderId="15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166" fontId="4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4" fontId="3" fillId="0" borderId="18" xfId="0" applyFont="1" applyBorder="1" applyAlignment="1">
      <alignment horizontal="left"/>
    </xf>
    <xf numFmtId="164" fontId="3" fillId="0" borderId="19" xfId="0" applyFont="1" applyBorder="1" applyAlignment="1">
      <alignment horizontal="left"/>
    </xf>
    <xf numFmtId="166" fontId="3" fillId="0" borderId="13" xfId="0" applyNumberFormat="1" applyFont="1" applyBorder="1" applyAlignment="1">
      <alignment horizontal="right" vertical="center" wrapText="1"/>
    </xf>
    <xf numFmtId="164" fontId="4" fillId="0" borderId="20" xfId="0" applyFont="1" applyBorder="1" applyAlignment="1">
      <alignment/>
    </xf>
    <xf numFmtId="166" fontId="3" fillId="0" borderId="21" xfId="0" applyNumberFormat="1" applyFont="1" applyBorder="1" applyAlignment="1">
      <alignment/>
    </xf>
    <xf numFmtId="166" fontId="3" fillId="0" borderId="20" xfId="0" applyNumberFormat="1" applyFont="1" applyBorder="1" applyAlignment="1">
      <alignment/>
    </xf>
    <xf numFmtId="166" fontId="3" fillId="0" borderId="22" xfId="0" applyNumberFormat="1" applyFont="1" applyBorder="1" applyAlignment="1">
      <alignment/>
    </xf>
    <xf numFmtId="166" fontId="3" fillId="0" borderId="16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4" fillId="0" borderId="21" xfId="0" applyNumberFormat="1" applyFont="1" applyBorder="1" applyAlignment="1">
      <alignment/>
    </xf>
    <xf numFmtId="166" fontId="4" fillId="0" borderId="20" xfId="0" applyNumberFormat="1" applyFont="1" applyBorder="1" applyAlignment="1">
      <alignment/>
    </xf>
    <xf numFmtId="166" fontId="4" fillId="0" borderId="22" xfId="0" applyNumberFormat="1" applyFont="1" applyBorder="1" applyAlignment="1">
      <alignment/>
    </xf>
    <xf numFmtId="164" fontId="3" fillId="0" borderId="18" xfId="0" applyFont="1" applyBorder="1" applyAlignment="1">
      <alignment/>
    </xf>
    <xf numFmtId="164" fontId="3" fillId="0" borderId="19" xfId="0" applyFont="1" applyBorder="1" applyAlignment="1">
      <alignment/>
    </xf>
    <xf numFmtId="166" fontId="5" fillId="0" borderId="19" xfId="0" applyNumberFormat="1" applyFont="1" applyBorder="1" applyAlignment="1">
      <alignment/>
    </xf>
    <xf numFmtId="167" fontId="3" fillId="0" borderId="23" xfId="0" applyNumberFormat="1" applyFont="1" applyBorder="1" applyAlignment="1">
      <alignment/>
    </xf>
    <xf numFmtId="166" fontId="3" fillId="0" borderId="19" xfId="0" applyNumberFormat="1" applyFont="1" applyBorder="1" applyAlignment="1">
      <alignment/>
    </xf>
    <xf numFmtId="167" fontId="3" fillId="0" borderId="19" xfId="0" applyNumberFormat="1" applyFont="1" applyBorder="1" applyAlignment="1">
      <alignment/>
    </xf>
    <xf numFmtId="166" fontId="4" fillId="0" borderId="20" xfId="0" applyNumberFormat="1" applyFont="1" applyBorder="1" applyAlignment="1">
      <alignment/>
    </xf>
    <xf numFmtId="166" fontId="4" fillId="0" borderId="22" xfId="0" applyNumberFormat="1" applyFont="1" applyBorder="1" applyAlignment="1">
      <alignment/>
    </xf>
    <xf numFmtId="164" fontId="3" fillId="0" borderId="20" xfId="0" applyFont="1" applyBorder="1" applyAlignment="1">
      <alignment/>
    </xf>
    <xf numFmtId="166" fontId="3" fillId="0" borderId="24" xfId="0" applyNumberFormat="1" applyFont="1" applyBorder="1" applyAlignment="1">
      <alignment/>
    </xf>
    <xf numFmtId="164" fontId="3" fillId="0" borderId="18" xfId="0" applyFont="1" applyBorder="1" applyAlignment="1">
      <alignment/>
    </xf>
    <xf numFmtId="164" fontId="3" fillId="0" borderId="19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23" xfId="0" applyFont="1" applyBorder="1" applyAlignment="1">
      <alignment/>
    </xf>
    <xf numFmtId="166" fontId="4" fillId="0" borderId="19" xfId="0" applyNumberFormat="1" applyFont="1" applyBorder="1" applyAlignment="1">
      <alignment/>
    </xf>
    <xf numFmtId="164" fontId="4" fillId="0" borderId="19" xfId="0" applyFont="1" applyBorder="1" applyAlignment="1">
      <alignment/>
    </xf>
    <xf numFmtId="166" fontId="4" fillId="0" borderId="24" xfId="0" applyNumberFormat="1" applyFont="1" applyBorder="1" applyAlignment="1">
      <alignment/>
    </xf>
    <xf numFmtId="164" fontId="3" fillId="0" borderId="18" xfId="0" applyFont="1" applyBorder="1" applyAlignment="1">
      <alignment vertical="center"/>
    </xf>
    <xf numFmtId="164" fontId="3" fillId="0" borderId="19" xfId="0" applyFont="1" applyBorder="1" applyAlignment="1">
      <alignment vertical="center"/>
    </xf>
    <xf numFmtId="164" fontId="4" fillId="0" borderId="0" xfId="0" applyFont="1" applyBorder="1" applyAlignment="1">
      <alignment/>
    </xf>
    <xf numFmtId="164" fontId="4" fillId="0" borderId="23" xfId="0" applyFont="1" applyBorder="1" applyAlignment="1">
      <alignment horizontal="left"/>
    </xf>
    <xf numFmtId="167" fontId="3" fillId="0" borderId="18" xfId="0" applyNumberFormat="1" applyFont="1" applyBorder="1" applyAlignment="1">
      <alignment/>
    </xf>
    <xf numFmtId="167" fontId="4" fillId="0" borderId="20" xfId="0" applyNumberFormat="1" applyFont="1" applyBorder="1" applyAlignment="1">
      <alignment/>
    </xf>
    <xf numFmtId="164" fontId="3" fillId="0" borderId="23" xfId="0" applyFont="1" applyBorder="1" applyAlignment="1">
      <alignment/>
    </xf>
    <xf numFmtId="164" fontId="5" fillId="0" borderId="20" xfId="0" applyFont="1" applyBorder="1" applyAlignment="1">
      <alignment/>
    </xf>
    <xf numFmtId="166" fontId="5" fillId="0" borderId="21" xfId="0" applyNumberFormat="1" applyFont="1" applyBorder="1" applyAlignment="1">
      <alignment/>
    </xf>
    <xf numFmtId="166" fontId="5" fillId="0" borderId="20" xfId="0" applyNumberFormat="1" applyFont="1" applyBorder="1" applyAlignment="1">
      <alignment/>
    </xf>
    <xf numFmtId="166" fontId="5" fillId="0" borderId="22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164" fontId="0" fillId="0" borderId="19" xfId="0" applyBorder="1" applyAlignment="1">
      <alignment/>
    </xf>
    <xf numFmtId="164" fontId="3" fillId="0" borderId="23" xfId="0" applyFont="1" applyBorder="1" applyAlignment="1">
      <alignment/>
    </xf>
    <xf numFmtId="166" fontId="3" fillId="0" borderId="0" xfId="0" applyNumberFormat="1" applyFont="1" applyBorder="1" applyAlignment="1">
      <alignment/>
    </xf>
    <xf numFmtId="164" fontId="4" fillId="0" borderId="20" xfId="0" applyFont="1" applyBorder="1" applyAlignment="1">
      <alignment wrapText="1"/>
    </xf>
    <xf numFmtId="164" fontId="4" fillId="0" borderId="18" xfId="0" applyFont="1" applyBorder="1" applyAlignment="1">
      <alignment/>
    </xf>
    <xf numFmtId="164" fontId="4" fillId="0" borderId="23" xfId="0" applyFont="1" applyBorder="1" applyAlignment="1">
      <alignment wrapText="1"/>
    </xf>
    <xf numFmtId="166" fontId="3" fillId="0" borderId="21" xfId="0" applyNumberFormat="1" applyFont="1" applyBorder="1" applyAlignment="1">
      <alignment/>
    </xf>
    <xf numFmtId="167" fontId="4" fillId="0" borderId="23" xfId="0" applyNumberFormat="1" applyFont="1" applyBorder="1" applyAlignment="1">
      <alignment wrapText="1"/>
    </xf>
    <xf numFmtId="166" fontId="6" fillId="0" borderId="20" xfId="0" applyNumberFormat="1" applyFont="1" applyBorder="1" applyAlignment="1">
      <alignment/>
    </xf>
    <xf numFmtId="164" fontId="3" fillId="0" borderId="22" xfId="0" applyFont="1" applyBorder="1" applyAlignment="1">
      <alignment/>
    </xf>
    <xf numFmtId="167" fontId="4" fillId="0" borderId="18" xfId="0" applyNumberFormat="1" applyFont="1" applyBorder="1" applyAlignment="1">
      <alignment wrapText="1"/>
    </xf>
    <xf numFmtId="164" fontId="3" fillId="0" borderId="19" xfId="0" applyFont="1" applyBorder="1" applyAlignment="1">
      <alignment wrapText="1"/>
    </xf>
    <xf numFmtId="166" fontId="6" fillId="0" borderId="14" xfId="0" applyNumberFormat="1" applyFont="1" applyBorder="1" applyAlignment="1">
      <alignment/>
    </xf>
    <xf numFmtId="164" fontId="3" fillId="0" borderId="21" xfId="0" applyFont="1" applyBorder="1" applyAlignment="1">
      <alignment/>
    </xf>
    <xf numFmtId="167" fontId="4" fillId="0" borderId="23" xfId="0" applyNumberFormat="1" applyFont="1" applyBorder="1" applyAlignment="1">
      <alignment horizontal="left" wrapText="1"/>
    </xf>
    <xf numFmtId="167" fontId="4" fillId="0" borderId="19" xfId="0" applyNumberFormat="1" applyFont="1" applyBorder="1" applyAlignment="1">
      <alignment/>
    </xf>
    <xf numFmtId="167" fontId="4" fillId="0" borderId="25" xfId="0" applyNumberFormat="1" applyFont="1" applyBorder="1" applyAlignment="1">
      <alignment/>
    </xf>
    <xf numFmtId="164" fontId="4" fillId="0" borderId="26" xfId="0" applyFont="1" applyBorder="1" applyAlignment="1">
      <alignment/>
    </xf>
    <xf numFmtId="166" fontId="4" fillId="0" borderId="27" xfId="0" applyNumberFormat="1" applyFont="1" applyBorder="1" applyAlignment="1">
      <alignment/>
    </xf>
    <xf numFmtId="164" fontId="3" fillId="0" borderId="27" xfId="0" applyFont="1" applyBorder="1" applyAlignment="1">
      <alignment/>
    </xf>
    <xf numFmtId="164" fontId="3" fillId="0" borderId="28" xfId="0" applyFont="1" applyBorder="1" applyAlignment="1">
      <alignment/>
    </xf>
    <xf numFmtId="166" fontId="4" fillId="0" borderId="26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4" fontId="3" fillId="0" borderId="29" xfId="0" applyFont="1" applyBorder="1" applyAlignment="1">
      <alignment/>
    </xf>
    <xf numFmtId="164" fontId="3" fillId="0" borderId="20" xfId="0" applyFont="1" applyBorder="1" applyAlignment="1">
      <alignment/>
    </xf>
    <xf numFmtId="166" fontId="3" fillId="0" borderId="26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4" fontId="4" fillId="0" borderId="30" xfId="0" applyFont="1" applyBorder="1" applyAlignment="1">
      <alignment/>
    </xf>
    <xf numFmtId="164" fontId="3" fillId="0" borderId="7" xfId="0" applyFont="1" applyBorder="1" applyAlignment="1">
      <alignment/>
    </xf>
    <xf numFmtId="166" fontId="4" fillId="0" borderId="7" xfId="0" applyNumberFormat="1" applyFont="1" applyBorder="1" applyAlignment="1">
      <alignment/>
    </xf>
    <xf numFmtId="165" fontId="5" fillId="0" borderId="7" xfId="0" applyNumberFormat="1" applyFont="1" applyBorder="1" applyAlignment="1">
      <alignment horizontal="right" vertical="center" wrapText="1"/>
    </xf>
    <xf numFmtId="166" fontId="4" fillId="0" borderId="31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32" xfId="0" applyFont="1" applyBorder="1" applyAlignment="1">
      <alignment/>
    </xf>
    <xf numFmtId="164" fontId="3" fillId="0" borderId="0" xfId="21" applyFont="1">
      <alignment/>
      <protection/>
    </xf>
    <xf numFmtId="164" fontId="7" fillId="0" borderId="0" xfId="21" applyFont="1" applyAlignment="1">
      <alignment horizontal="left"/>
      <protection/>
    </xf>
    <xf numFmtId="164" fontId="3" fillId="0" borderId="0" xfId="21" applyFont="1" applyAlignment="1">
      <alignment horizontal="left"/>
      <protection/>
    </xf>
    <xf numFmtId="164" fontId="3" fillId="0" borderId="0" xfId="21" applyFont="1" applyAlignment="1">
      <alignment/>
      <protection/>
    </xf>
    <xf numFmtId="164" fontId="7" fillId="0" borderId="0" xfId="21" applyFont="1" applyBorder="1" applyAlignment="1">
      <alignment horizontal="center"/>
      <protection/>
    </xf>
    <xf numFmtId="164" fontId="4" fillId="0" borderId="0" xfId="21" applyFont="1">
      <alignment/>
      <protection/>
    </xf>
    <xf numFmtId="164" fontId="8" fillId="0" borderId="0" xfId="21" applyFont="1">
      <alignment/>
      <protection/>
    </xf>
    <xf numFmtId="164" fontId="7" fillId="0" borderId="33" xfId="21" applyFont="1" applyBorder="1" applyAlignment="1">
      <alignment horizontal="center"/>
      <protection/>
    </xf>
    <xf numFmtId="164" fontId="7" fillId="0" borderId="34" xfId="21" applyFont="1" applyBorder="1" applyAlignment="1">
      <alignment horizontal="center"/>
      <protection/>
    </xf>
    <xf numFmtId="164" fontId="4" fillId="0" borderId="34" xfId="21" applyFont="1" applyBorder="1" applyAlignment="1">
      <alignment horizontal="center"/>
      <protection/>
    </xf>
    <xf numFmtId="164" fontId="4" fillId="0" borderId="35" xfId="21" applyFont="1" applyBorder="1" applyAlignment="1">
      <alignment horizontal="center"/>
      <protection/>
    </xf>
    <xf numFmtId="164" fontId="7" fillId="0" borderId="35" xfId="21" applyFont="1" applyBorder="1" applyAlignment="1">
      <alignment horizontal="center"/>
      <protection/>
    </xf>
    <xf numFmtId="164" fontId="8" fillId="0" borderId="33" xfId="21" applyFont="1" applyBorder="1">
      <alignment/>
      <protection/>
    </xf>
    <xf numFmtId="166" fontId="8" fillId="0" borderId="36" xfId="21" applyNumberFormat="1" applyFont="1" applyBorder="1">
      <alignment/>
      <protection/>
    </xf>
    <xf numFmtId="164" fontId="8" fillId="0" borderId="37" xfId="21" applyFont="1" applyBorder="1" applyAlignment="1">
      <alignment horizontal="left"/>
      <protection/>
    </xf>
    <xf numFmtId="166" fontId="8" fillId="0" borderId="37" xfId="21" applyNumberFormat="1" applyFont="1" applyBorder="1">
      <alignment/>
      <protection/>
    </xf>
    <xf numFmtId="164" fontId="8" fillId="0" borderId="38" xfId="21" applyFont="1" applyBorder="1">
      <alignment/>
      <protection/>
    </xf>
    <xf numFmtId="164" fontId="8" fillId="0" borderId="37" xfId="21" applyFont="1" applyBorder="1">
      <alignment/>
      <protection/>
    </xf>
    <xf numFmtId="166" fontId="8" fillId="0" borderId="38" xfId="21" applyNumberFormat="1" applyFont="1" applyBorder="1">
      <alignment/>
      <protection/>
    </xf>
    <xf numFmtId="164" fontId="8" fillId="0" borderId="37" xfId="21" applyFont="1" applyBorder="1" applyAlignment="1">
      <alignment/>
      <protection/>
    </xf>
    <xf numFmtId="164" fontId="8" fillId="0" borderId="38" xfId="21" applyFont="1" applyBorder="1" applyAlignment="1">
      <alignment horizontal="left"/>
      <protection/>
    </xf>
    <xf numFmtId="166" fontId="8" fillId="0" borderId="39" xfId="21" applyNumberFormat="1" applyFont="1" applyBorder="1">
      <alignment/>
      <protection/>
    </xf>
    <xf numFmtId="164" fontId="8" fillId="0" borderId="38" xfId="0" applyFont="1" applyBorder="1" applyAlignment="1">
      <alignment/>
    </xf>
    <xf numFmtId="164" fontId="8" fillId="0" borderId="40" xfId="21" applyFont="1" applyBorder="1">
      <alignment/>
      <protection/>
    </xf>
    <xf numFmtId="166" fontId="8" fillId="0" borderId="40" xfId="21" applyNumberFormat="1" applyFont="1" applyBorder="1">
      <alignment/>
      <protection/>
    </xf>
    <xf numFmtId="164" fontId="8" fillId="0" borderId="40" xfId="0" applyFont="1" applyBorder="1" applyAlignment="1">
      <alignment/>
    </xf>
    <xf numFmtId="164" fontId="8" fillId="0" borderId="38" xfId="0" applyFont="1" applyBorder="1" applyAlignment="1">
      <alignment shrinkToFit="1"/>
    </xf>
    <xf numFmtId="164" fontId="8" fillId="0" borderId="37" xfId="0" applyFont="1" applyBorder="1" applyAlignment="1">
      <alignment shrinkToFit="1"/>
    </xf>
    <xf numFmtId="164" fontId="8" fillId="0" borderId="22" xfId="0" applyFont="1" applyBorder="1" applyAlignment="1">
      <alignment shrinkToFit="1"/>
    </xf>
    <xf numFmtId="164" fontId="8" fillId="0" borderId="41" xfId="21" applyFont="1" applyBorder="1">
      <alignment/>
      <protection/>
    </xf>
    <xf numFmtId="166" fontId="8" fillId="0" borderId="41" xfId="21" applyNumberFormat="1" applyFont="1" applyBorder="1">
      <alignment/>
      <protection/>
    </xf>
    <xf numFmtId="164" fontId="8" fillId="0" borderId="42" xfId="21" applyFont="1" applyBorder="1">
      <alignment/>
      <protection/>
    </xf>
    <xf numFmtId="164" fontId="8" fillId="0" borderId="39" xfId="21" applyFont="1" applyBorder="1">
      <alignment/>
      <protection/>
    </xf>
    <xf numFmtId="164" fontId="8" fillId="0" borderId="43" xfId="21" applyFont="1" applyBorder="1">
      <alignment/>
      <protection/>
    </xf>
    <xf numFmtId="166" fontId="8" fillId="0" borderId="43" xfId="21" applyNumberFormat="1" applyFont="1" applyBorder="1">
      <alignment/>
      <protection/>
    </xf>
    <xf numFmtId="164" fontId="7" fillId="0" borderId="44" xfId="21" applyFont="1" applyBorder="1">
      <alignment/>
      <protection/>
    </xf>
    <xf numFmtId="166" fontId="7" fillId="0" borderId="44" xfId="21" applyNumberFormat="1" applyFont="1" applyBorder="1">
      <alignment/>
      <protection/>
    </xf>
    <xf numFmtId="164" fontId="3" fillId="0" borderId="0" xfId="21" applyFont="1" applyBorder="1">
      <alignment/>
      <protection/>
    </xf>
    <xf numFmtId="164" fontId="8" fillId="0" borderId="0" xfId="0" applyFont="1" applyAlignment="1">
      <alignment/>
    </xf>
    <xf numFmtId="164" fontId="8" fillId="0" borderId="0" xfId="21" applyFont="1" applyBorder="1">
      <alignment/>
      <protection/>
    </xf>
    <xf numFmtId="164" fontId="8" fillId="0" borderId="0" xfId="21" applyFont="1" applyAlignment="1">
      <alignment horizontal="left"/>
      <protection/>
    </xf>
    <xf numFmtId="164" fontId="8" fillId="0" borderId="0" xfId="21" applyFont="1" applyAlignment="1">
      <alignment/>
      <protection/>
    </xf>
    <xf numFmtId="164" fontId="7" fillId="0" borderId="0" xfId="21" applyFont="1" applyAlignment="1">
      <alignment horizontal="center"/>
      <protection/>
    </xf>
    <xf numFmtId="164" fontId="7" fillId="0" borderId="45" xfId="21" applyFont="1" applyBorder="1" applyAlignment="1">
      <alignment horizontal="center"/>
      <protection/>
    </xf>
    <xf numFmtId="164" fontId="7" fillId="0" borderId="43" xfId="21" applyFont="1" applyBorder="1" applyAlignment="1">
      <alignment horizontal="center"/>
      <protection/>
    </xf>
    <xf numFmtId="166" fontId="8" fillId="0" borderId="42" xfId="21" applyNumberFormat="1" applyFont="1" applyBorder="1">
      <alignment/>
      <protection/>
    </xf>
    <xf numFmtId="166" fontId="8" fillId="0" borderId="46" xfId="21" applyNumberFormat="1" applyFont="1" applyBorder="1">
      <alignment/>
      <protection/>
    </xf>
    <xf numFmtId="164" fontId="8" fillId="0" borderId="34" xfId="21" applyFont="1" applyBorder="1">
      <alignment/>
      <protection/>
    </xf>
    <xf numFmtId="166" fontId="8" fillId="0" borderId="35" xfId="21" applyNumberFormat="1" applyFont="1" applyBorder="1">
      <alignment/>
      <protection/>
    </xf>
    <xf numFmtId="166" fontId="4" fillId="0" borderId="0" xfId="21" applyNumberFormat="1" applyFont="1" applyBorder="1">
      <alignment/>
      <protection/>
    </xf>
    <xf numFmtId="166" fontId="3" fillId="0" borderId="0" xfId="21" applyNumberFormat="1" applyFont="1" applyAlignment="1">
      <alignment horizontal="right"/>
      <protection/>
    </xf>
    <xf numFmtId="166" fontId="3" fillId="0" borderId="0" xfId="21" applyNumberFormat="1" applyFont="1">
      <alignment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7" fillId="0" borderId="0" xfId="0" applyFont="1" applyBorder="1" applyAlignment="1">
      <alignment horizontal="center" shrinkToFit="1"/>
    </xf>
    <xf numFmtId="164" fontId="4" fillId="0" borderId="47" xfId="0" applyFont="1" applyBorder="1" applyAlignment="1">
      <alignment horizontal="center" vertical="center"/>
    </xf>
    <xf numFmtId="164" fontId="11" fillId="0" borderId="48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/>
    </xf>
    <xf numFmtId="164" fontId="3" fillId="0" borderId="23" xfId="0" applyFont="1" applyBorder="1" applyAlignment="1">
      <alignment horizontal="center" vertical="center"/>
    </xf>
    <xf numFmtId="164" fontId="4" fillId="0" borderId="20" xfId="0" applyFont="1" applyBorder="1" applyAlignment="1">
      <alignment horizontal="center" vertical="center" wrapText="1"/>
    </xf>
    <xf numFmtId="164" fontId="4" fillId="0" borderId="21" xfId="0" applyFont="1" applyBorder="1" applyAlignment="1">
      <alignment horizontal="center" vertical="center" wrapText="1"/>
    </xf>
    <xf numFmtId="164" fontId="4" fillId="0" borderId="21" xfId="0" applyFont="1" applyBorder="1" applyAlignment="1">
      <alignment horizontal="center"/>
    </xf>
    <xf numFmtId="164" fontId="11" fillId="0" borderId="49" xfId="0" applyFont="1" applyBorder="1" applyAlignment="1">
      <alignment horizontal="center"/>
    </xf>
    <xf numFmtId="164" fontId="3" fillId="0" borderId="23" xfId="0" applyFont="1" applyBorder="1" applyAlignment="1">
      <alignment horizontal="left" vertical="center"/>
    </xf>
    <xf numFmtId="166" fontId="3" fillId="0" borderId="20" xfId="0" applyNumberFormat="1" applyFont="1" applyBorder="1" applyAlignment="1">
      <alignment horizontal="right" vertical="center" wrapText="1"/>
    </xf>
    <xf numFmtId="166" fontId="3" fillId="0" borderId="21" xfId="0" applyNumberFormat="1" applyFont="1" applyBorder="1" applyAlignment="1">
      <alignment horizontal="right" vertical="center" wrapText="1"/>
    </xf>
    <xf numFmtId="166" fontId="12" fillId="0" borderId="49" xfId="0" applyNumberFormat="1" applyFont="1" applyBorder="1" applyAlignment="1">
      <alignment/>
    </xf>
    <xf numFmtId="164" fontId="5" fillId="0" borderId="23" xfId="0" applyFont="1" applyBorder="1" applyAlignment="1">
      <alignment/>
    </xf>
    <xf numFmtId="166" fontId="13" fillId="0" borderId="49" xfId="0" applyNumberFormat="1" applyFont="1" applyBorder="1" applyAlignment="1">
      <alignment/>
    </xf>
    <xf numFmtId="166" fontId="4" fillId="0" borderId="21" xfId="0" applyNumberFormat="1" applyFont="1" applyBorder="1" applyAlignment="1">
      <alignment/>
    </xf>
    <xf numFmtId="166" fontId="11" fillId="0" borderId="49" xfId="0" applyNumberFormat="1" applyFont="1" applyBorder="1" applyAlignment="1">
      <alignment/>
    </xf>
    <xf numFmtId="164" fontId="4" fillId="0" borderId="23" xfId="0" applyFont="1" applyBorder="1" applyAlignment="1">
      <alignment shrinkToFit="1"/>
    </xf>
    <xf numFmtId="166" fontId="4" fillId="0" borderId="49" xfId="0" applyNumberFormat="1" applyFont="1" applyBorder="1" applyAlignment="1">
      <alignment/>
    </xf>
    <xf numFmtId="164" fontId="4" fillId="0" borderId="25" xfId="0" applyFont="1" applyBorder="1" applyAlignment="1">
      <alignment shrinkToFit="1"/>
    </xf>
    <xf numFmtId="166" fontId="4" fillId="0" borderId="50" xfId="0" applyNumberFormat="1" applyFont="1" applyBorder="1" applyAlignment="1">
      <alignment/>
    </xf>
    <xf numFmtId="166" fontId="4" fillId="0" borderId="51" xfId="0" applyNumberFormat="1" applyFont="1" applyBorder="1" applyAlignment="1">
      <alignment/>
    </xf>
    <xf numFmtId="164" fontId="4" fillId="0" borderId="30" xfId="0" applyFont="1" applyBorder="1" applyAlignment="1">
      <alignment shrinkToFit="1"/>
    </xf>
    <xf numFmtId="166" fontId="4" fillId="0" borderId="10" xfId="0" applyNumberFormat="1" applyFont="1" applyBorder="1" applyAlignment="1">
      <alignment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15" fillId="0" borderId="46" xfId="0" applyFont="1" applyBorder="1" applyAlignment="1">
      <alignment/>
    </xf>
    <xf numFmtId="164" fontId="15" fillId="0" borderId="0" xfId="0" applyFont="1" applyBorder="1" applyAlignment="1">
      <alignment/>
    </xf>
    <xf numFmtId="164" fontId="4" fillId="0" borderId="47" xfId="0" applyFont="1" applyBorder="1" applyAlignment="1">
      <alignment horizontal="center" vertical="center" wrapText="1"/>
    </xf>
    <xf numFmtId="164" fontId="15" fillId="0" borderId="14" xfId="0" applyFont="1" applyBorder="1" applyAlignment="1">
      <alignment/>
    </xf>
    <xf numFmtId="164" fontId="15" fillId="0" borderId="15" xfId="0" applyFont="1" applyBorder="1" applyAlignment="1">
      <alignment/>
    </xf>
    <xf numFmtId="164" fontId="4" fillId="0" borderId="23" xfId="0" applyFont="1" applyBorder="1" applyAlignment="1">
      <alignment vertical="top" wrapText="1"/>
    </xf>
    <xf numFmtId="166" fontId="4" fillId="0" borderId="20" xfId="0" applyNumberFormat="1" applyFont="1" applyBorder="1" applyAlignment="1">
      <alignment horizontal="center" wrapText="1"/>
    </xf>
    <xf numFmtId="166" fontId="4" fillId="0" borderId="21" xfId="0" applyNumberFormat="1" applyFont="1" applyBorder="1" applyAlignment="1">
      <alignment horizontal="center" wrapText="1"/>
    </xf>
    <xf numFmtId="164" fontId="4" fillId="0" borderId="49" xfId="0" applyFont="1" applyBorder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46" xfId="0" applyFont="1" applyBorder="1" applyAlignment="1">
      <alignment/>
    </xf>
    <xf numFmtId="164" fontId="17" fillId="0" borderId="0" xfId="0" applyFont="1" applyBorder="1" applyAlignment="1">
      <alignment/>
    </xf>
    <xf numFmtId="164" fontId="4" fillId="0" borderId="52" xfId="0" applyFont="1" applyBorder="1" applyAlignment="1">
      <alignment/>
    </xf>
    <xf numFmtId="166" fontId="4" fillId="0" borderId="14" xfId="0" applyNumberFormat="1" applyFont="1" applyBorder="1" applyAlignment="1">
      <alignment wrapText="1"/>
    </xf>
    <xf numFmtId="166" fontId="4" fillId="0" borderId="15" xfId="0" applyNumberFormat="1" applyFont="1" applyBorder="1" applyAlignment="1">
      <alignment wrapText="1"/>
    </xf>
    <xf numFmtId="164" fontId="4" fillId="0" borderId="23" xfId="0" applyFont="1" applyBorder="1" applyAlignment="1">
      <alignment/>
    </xf>
    <xf numFmtId="166" fontId="4" fillId="0" borderId="20" xfId="0" applyNumberFormat="1" applyFont="1" applyBorder="1" applyAlignment="1">
      <alignment wrapText="1"/>
    </xf>
    <xf numFmtId="166" fontId="4" fillId="0" borderId="21" xfId="0" applyNumberFormat="1" applyFont="1" applyBorder="1" applyAlignment="1">
      <alignment wrapText="1"/>
    </xf>
    <xf numFmtId="166" fontId="3" fillId="0" borderId="20" xfId="0" applyNumberFormat="1" applyFont="1" applyBorder="1" applyAlignment="1">
      <alignment wrapText="1"/>
    </xf>
    <xf numFmtId="166" fontId="3" fillId="0" borderId="21" xfId="0" applyNumberFormat="1" applyFont="1" applyBorder="1" applyAlignment="1">
      <alignment wrapText="1"/>
    </xf>
    <xf numFmtId="166" fontId="3" fillId="0" borderId="49" xfId="0" applyNumberFormat="1" applyFont="1" applyBorder="1" applyAlignment="1">
      <alignment/>
    </xf>
    <xf numFmtId="168" fontId="4" fillId="0" borderId="20" xfId="0" applyNumberFormat="1" applyFont="1" applyBorder="1" applyAlignment="1">
      <alignment wrapText="1"/>
    </xf>
    <xf numFmtId="164" fontId="4" fillId="0" borderId="25" xfId="0" applyFont="1" applyBorder="1" applyAlignment="1">
      <alignment wrapText="1"/>
    </xf>
    <xf numFmtId="164" fontId="3" fillId="0" borderId="23" xfId="0" applyFont="1" applyBorder="1" applyAlignment="1">
      <alignment wrapText="1"/>
    </xf>
    <xf numFmtId="164" fontId="3" fillId="0" borderId="52" xfId="0" applyFont="1" applyBorder="1" applyAlignment="1">
      <alignment wrapText="1"/>
    </xf>
    <xf numFmtId="164" fontId="17" fillId="0" borderId="45" xfId="0" applyFont="1" applyBorder="1" applyAlignment="1">
      <alignment/>
    </xf>
    <xf numFmtId="164" fontId="17" fillId="0" borderId="53" xfId="0" applyFont="1" applyBorder="1" applyAlignment="1">
      <alignment/>
    </xf>
    <xf numFmtId="164" fontId="17" fillId="0" borderId="0" xfId="0" applyFont="1" applyAlignment="1">
      <alignment/>
    </xf>
    <xf numFmtId="164" fontId="4" fillId="0" borderId="25" xfId="0" applyFont="1" applyBorder="1" applyAlignment="1">
      <alignment/>
    </xf>
    <xf numFmtId="168" fontId="4" fillId="0" borderId="21" xfId="0" applyNumberFormat="1" applyFont="1" applyBorder="1" applyAlignment="1">
      <alignment wrapText="1"/>
    </xf>
    <xf numFmtId="164" fontId="3" fillId="0" borderId="25" xfId="0" applyFont="1" applyBorder="1" applyAlignment="1">
      <alignment wrapText="1"/>
    </xf>
    <xf numFmtId="166" fontId="3" fillId="0" borderId="50" xfId="0" applyNumberFormat="1" applyFont="1" applyBorder="1" applyAlignment="1">
      <alignment wrapText="1"/>
    </xf>
    <xf numFmtId="166" fontId="3" fillId="0" borderId="51" xfId="0" applyNumberFormat="1" applyFont="1" applyBorder="1" applyAlignment="1">
      <alignment wrapText="1"/>
    </xf>
    <xf numFmtId="166" fontId="4" fillId="0" borderId="51" xfId="0" applyNumberFormat="1" applyFont="1" applyBorder="1" applyAlignment="1">
      <alignment wrapText="1"/>
    </xf>
    <xf numFmtId="166" fontId="4" fillId="0" borderId="50" xfId="0" applyNumberFormat="1" applyFont="1" applyBorder="1" applyAlignment="1">
      <alignment wrapText="1"/>
    </xf>
    <xf numFmtId="164" fontId="4" fillId="0" borderId="30" xfId="0" applyFont="1" applyBorder="1" applyAlignment="1">
      <alignment wrapText="1"/>
    </xf>
    <xf numFmtId="168" fontId="4" fillId="0" borderId="7" xfId="0" applyNumberFormat="1" applyFont="1" applyBorder="1" applyAlignment="1">
      <alignment vertical="center" wrapText="1"/>
    </xf>
    <xf numFmtId="168" fontId="4" fillId="0" borderId="10" xfId="0" applyNumberFormat="1" applyFont="1" applyBorder="1" applyAlignment="1">
      <alignment vertical="center" wrapText="1"/>
    </xf>
    <xf numFmtId="164" fontId="12" fillId="0" borderId="0" xfId="20" applyFont="1" applyAlignment="1">
      <alignment horizontal="right"/>
      <protection/>
    </xf>
    <xf numFmtId="164" fontId="12" fillId="0" borderId="0" xfId="20" applyFont="1">
      <alignment/>
      <protection/>
    </xf>
    <xf numFmtId="164" fontId="18" fillId="0" borderId="0" xfId="20" applyFont="1" applyAlignment="1">
      <alignment horizontal="center"/>
      <protection/>
    </xf>
    <xf numFmtId="164" fontId="12" fillId="0" borderId="0" xfId="20" applyFont="1" applyAlignment="1">
      <alignment horizontal="center"/>
      <protection/>
    </xf>
    <xf numFmtId="166" fontId="12" fillId="0" borderId="0" xfId="20" applyNumberFormat="1" applyFont="1">
      <alignment/>
      <protection/>
    </xf>
    <xf numFmtId="164" fontId="11" fillId="0" borderId="0" xfId="20" applyFont="1" applyAlignment="1">
      <alignment/>
      <protection/>
    </xf>
    <xf numFmtId="164" fontId="19" fillId="0" borderId="0" xfId="20" applyFont="1" applyBorder="1" applyAlignment="1">
      <alignment horizontal="center"/>
      <protection/>
    </xf>
    <xf numFmtId="164" fontId="20" fillId="0" borderId="0" xfId="20" applyFont="1" applyBorder="1" applyAlignment="1">
      <alignment horizontal="center"/>
      <protection/>
    </xf>
    <xf numFmtId="166" fontId="11" fillId="0" borderId="0" xfId="20" applyNumberFormat="1" applyFont="1" applyAlignment="1">
      <alignment horizontal="right"/>
      <protection/>
    </xf>
    <xf numFmtId="164" fontId="11" fillId="0" borderId="54" xfId="20" applyFont="1" applyBorder="1" applyAlignment="1">
      <alignment horizontal="center" vertical="center"/>
      <protection/>
    </xf>
    <xf numFmtId="164" fontId="11" fillId="0" borderId="55" xfId="0" applyFont="1" applyBorder="1" applyAlignment="1">
      <alignment horizontal="center" vertical="center"/>
    </xf>
    <xf numFmtId="164" fontId="11" fillId="0" borderId="55" xfId="20" applyFont="1" applyBorder="1" applyAlignment="1">
      <alignment horizontal="center" vertical="center"/>
      <protection/>
    </xf>
    <xf numFmtId="164" fontId="11" fillId="0" borderId="48" xfId="20" applyFont="1" applyBorder="1" applyAlignment="1">
      <alignment horizontal="center"/>
      <protection/>
    </xf>
    <xf numFmtId="164" fontId="11" fillId="0" borderId="55" xfId="20" applyFont="1" applyBorder="1" applyAlignment="1">
      <alignment horizontal="center" vertical="center" wrapText="1"/>
      <protection/>
    </xf>
    <xf numFmtId="166" fontId="11" fillId="0" borderId="56" xfId="20" applyNumberFormat="1" applyFont="1" applyBorder="1" applyAlignment="1">
      <alignment horizontal="center" vertical="center" wrapText="1"/>
      <protection/>
    </xf>
    <xf numFmtId="164" fontId="18" fillId="0" borderId="0" xfId="20" applyFont="1">
      <alignment/>
      <protection/>
    </xf>
    <xf numFmtId="164" fontId="11" fillId="0" borderId="7" xfId="20" applyFont="1" applyBorder="1" applyAlignment="1">
      <alignment horizontal="center" vertical="center" wrapText="1"/>
      <protection/>
    </xf>
    <xf numFmtId="164" fontId="11" fillId="0" borderId="7" xfId="20" applyFont="1" applyBorder="1" applyAlignment="1">
      <alignment horizontal="center" vertical="center"/>
      <protection/>
    </xf>
    <xf numFmtId="167" fontId="12" fillId="0" borderId="52" xfId="20" applyNumberFormat="1" applyFont="1" applyBorder="1" applyAlignment="1">
      <alignment horizontal="center"/>
      <protection/>
    </xf>
    <xf numFmtId="164" fontId="12" fillId="0" borderId="14" xfId="20" applyFont="1" applyBorder="1" applyAlignment="1">
      <alignment/>
      <protection/>
    </xf>
    <xf numFmtId="164" fontId="18" fillId="0" borderId="14" xfId="20" applyFont="1" applyBorder="1">
      <alignment/>
      <protection/>
    </xf>
    <xf numFmtId="166" fontId="12" fillId="0" borderId="14" xfId="20" applyNumberFormat="1" applyFont="1" applyBorder="1">
      <alignment/>
      <protection/>
    </xf>
    <xf numFmtId="166" fontId="12" fillId="0" borderId="17" xfId="20" applyNumberFormat="1" applyFont="1" applyBorder="1">
      <alignment/>
      <protection/>
    </xf>
    <xf numFmtId="169" fontId="12" fillId="0" borderId="23" xfId="20" applyNumberFormat="1" applyFont="1" applyBorder="1" applyAlignment="1">
      <alignment horizontal="center"/>
      <protection/>
    </xf>
    <xf numFmtId="164" fontId="12" fillId="0" borderId="20" xfId="20" applyFont="1" applyBorder="1" applyAlignment="1">
      <alignment horizontal="left"/>
      <protection/>
    </xf>
    <xf numFmtId="164" fontId="18" fillId="0" borderId="20" xfId="20" applyFont="1" applyBorder="1">
      <alignment/>
      <protection/>
    </xf>
    <xf numFmtId="166" fontId="12" fillId="0" borderId="20" xfId="20" applyNumberFormat="1" applyFont="1" applyBorder="1">
      <alignment/>
      <protection/>
    </xf>
    <xf numFmtId="166" fontId="12" fillId="0" borderId="49" xfId="20" applyNumberFormat="1" applyFont="1" applyBorder="1">
      <alignment/>
      <protection/>
    </xf>
    <xf numFmtId="164" fontId="12" fillId="0" borderId="20" xfId="20" applyFont="1" applyBorder="1" applyAlignment="1">
      <alignment/>
      <protection/>
    </xf>
    <xf numFmtId="166" fontId="11" fillId="0" borderId="20" xfId="20" applyNumberFormat="1" applyFont="1" applyBorder="1">
      <alignment/>
      <protection/>
    </xf>
    <xf numFmtId="169" fontId="12" fillId="0" borderId="23" xfId="0" applyNumberFormat="1" applyFont="1" applyBorder="1" applyAlignment="1">
      <alignment horizontal="center" vertical="center"/>
    </xf>
    <xf numFmtId="164" fontId="12" fillId="0" borderId="20" xfId="0" applyFont="1" applyBorder="1" applyAlignment="1">
      <alignment horizontal="left" vertical="center"/>
    </xf>
    <xf numFmtId="166" fontId="12" fillId="0" borderId="20" xfId="20" applyNumberFormat="1" applyFont="1" applyBorder="1" applyAlignment="1">
      <alignment horizontal="right"/>
      <protection/>
    </xf>
    <xf numFmtId="166" fontId="12" fillId="0" borderId="49" xfId="20" applyNumberFormat="1" applyFont="1" applyBorder="1" applyAlignment="1">
      <alignment horizontal="right"/>
      <protection/>
    </xf>
    <xf numFmtId="169" fontId="12" fillId="0" borderId="25" xfId="20" applyNumberFormat="1" applyFont="1" applyBorder="1" applyAlignment="1">
      <alignment horizontal="center"/>
      <protection/>
    </xf>
    <xf numFmtId="164" fontId="12" fillId="0" borderId="50" xfId="20" applyFont="1" applyBorder="1" applyAlignment="1">
      <alignment/>
      <protection/>
    </xf>
    <xf numFmtId="164" fontId="18" fillId="0" borderId="50" xfId="20" applyFont="1" applyBorder="1">
      <alignment/>
      <protection/>
    </xf>
    <xf numFmtId="166" fontId="12" fillId="0" borderId="50" xfId="20" applyNumberFormat="1" applyFont="1" applyBorder="1">
      <alignment/>
      <protection/>
    </xf>
    <xf numFmtId="166" fontId="12" fillId="0" borderId="50" xfId="20" applyNumberFormat="1" applyFont="1" applyBorder="1" applyAlignment="1">
      <alignment horizontal="right"/>
      <protection/>
    </xf>
    <xf numFmtId="166" fontId="12" fillId="0" borderId="57" xfId="20" applyNumberFormat="1" applyFont="1" applyBorder="1" applyAlignment="1">
      <alignment horizontal="right"/>
      <protection/>
    </xf>
    <xf numFmtId="169" fontId="12" fillId="0" borderId="30" xfId="20" applyNumberFormat="1" applyFont="1" applyBorder="1" applyAlignment="1">
      <alignment horizontal="center"/>
      <protection/>
    </xf>
    <xf numFmtId="164" fontId="12" fillId="0" borderId="7" xfId="20" applyFont="1" applyBorder="1" applyAlignment="1">
      <alignment/>
      <protection/>
    </xf>
    <xf numFmtId="164" fontId="18" fillId="0" borderId="7" xfId="20" applyFont="1" applyBorder="1">
      <alignment/>
      <protection/>
    </xf>
    <xf numFmtId="166" fontId="12" fillId="0" borderId="7" xfId="20" applyNumberFormat="1" applyFont="1" applyBorder="1">
      <alignment/>
      <protection/>
    </xf>
    <xf numFmtId="166" fontId="12" fillId="0" borderId="7" xfId="20" applyNumberFormat="1" applyFont="1" applyBorder="1" applyAlignment="1">
      <alignment horizontal="right"/>
      <protection/>
    </xf>
    <xf numFmtId="166" fontId="12" fillId="0" borderId="10" xfId="20" applyNumberFormat="1" applyFont="1" applyBorder="1" applyAlignment="1">
      <alignment horizontal="right"/>
      <protection/>
    </xf>
    <xf numFmtId="169" fontId="12" fillId="0" borderId="52" xfId="20" applyNumberFormat="1" applyFont="1" applyBorder="1" applyAlignment="1">
      <alignment horizontal="center"/>
      <protection/>
    </xf>
    <xf numFmtId="166" fontId="12" fillId="0" borderId="14" xfId="20" applyNumberFormat="1" applyFont="1" applyBorder="1" applyAlignment="1">
      <alignment horizontal="right"/>
      <protection/>
    </xf>
    <xf numFmtId="166" fontId="12" fillId="0" borderId="17" xfId="20" applyNumberFormat="1" applyFont="1" applyBorder="1" applyAlignment="1">
      <alignment horizontal="right"/>
      <protection/>
    </xf>
    <xf numFmtId="164" fontId="12" fillId="0" borderId="20" xfId="20" applyFont="1" applyBorder="1" applyAlignment="1">
      <alignment horizontal="right"/>
      <protection/>
    </xf>
    <xf numFmtId="164" fontId="12" fillId="0" borderId="14" xfId="20" applyFont="1" applyBorder="1" applyAlignment="1">
      <alignment horizontal="right"/>
      <protection/>
    </xf>
    <xf numFmtId="166" fontId="12" fillId="0" borderId="57" xfId="20" applyNumberFormat="1" applyFont="1" applyBorder="1">
      <alignment/>
      <protection/>
    </xf>
    <xf numFmtId="166" fontId="12" fillId="0" borderId="10" xfId="20" applyNumberFormat="1" applyFont="1" applyBorder="1">
      <alignment/>
      <protection/>
    </xf>
    <xf numFmtId="164" fontId="18" fillId="0" borderId="0" xfId="20" applyFont="1" applyBorder="1">
      <alignment/>
      <protection/>
    </xf>
    <xf numFmtId="164" fontId="12" fillId="0" borderId="50" xfId="20" applyFont="1" applyBorder="1" applyAlignment="1">
      <alignment horizontal="right"/>
      <protection/>
    </xf>
    <xf numFmtId="164" fontId="12" fillId="0" borderId="7" xfId="20" applyFont="1" applyBorder="1" applyAlignment="1">
      <alignment horizontal="right"/>
      <protection/>
    </xf>
    <xf numFmtId="169" fontId="12" fillId="0" borderId="58" xfId="20" applyNumberFormat="1" applyFont="1" applyBorder="1" applyAlignment="1">
      <alignment horizontal="center"/>
      <protection/>
    </xf>
    <xf numFmtId="164" fontId="12" fillId="0" borderId="59" xfId="20" applyFont="1" applyBorder="1" applyAlignment="1">
      <alignment/>
      <protection/>
    </xf>
    <xf numFmtId="166" fontId="12" fillId="0" borderId="59" xfId="20" applyNumberFormat="1" applyFont="1" applyBorder="1">
      <alignment/>
      <protection/>
    </xf>
    <xf numFmtId="166" fontId="12" fillId="0" borderId="60" xfId="20" applyNumberFormat="1" applyFont="1" applyBorder="1">
      <alignment/>
      <protection/>
    </xf>
    <xf numFmtId="164" fontId="11" fillId="0" borderId="23" xfId="20" applyFont="1" applyBorder="1" applyAlignment="1">
      <alignment horizontal="left"/>
      <protection/>
    </xf>
    <xf numFmtId="164" fontId="21" fillId="0" borderId="20" xfId="20" applyFont="1" applyBorder="1">
      <alignment/>
      <protection/>
    </xf>
    <xf numFmtId="166" fontId="11" fillId="0" borderId="49" xfId="20" applyNumberFormat="1" applyFont="1" applyBorder="1">
      <alignment/>
      <protection/>
    </xf>
    <xf numFmtId="164" fontId="11" fillId="0" borderId="52" xfId="20" applyFont="1" applyBorder="1" applyAlignment="1">
      <alignment horizontal="left"/>
      <protection/>
    </xf>
    <xf numFmtId="164" fontId="11" fillId="0" borderId="14" xfId="20" applyFont="1" applyBorder="1" applyAlignment="1">
      <alignment horizontal="left"/>
      <protection/>
    </xf>
    <xf numFmtId="164" fontId="21" fillId="0" borderId="14" xfId="20" applyFont="1" applyBorder="1">
      <alignment/>
      <protection/>
    </xf>
    <xf numFmtId="166" fontId="11" fillId="0" borderId="14" xfId="20" applyNumberFormat="1" applyFont="1" applyBorder="1">
      <alignment/>
      <protection/>
    </xf>
    <xf numFmtId="166" fontId="11" fillId="0" borderId="14" xfId="20" applyNumberFormat="1" applyFont="1" applyBorder="1" applyAlignment="1">
      <alignment horizontal="right"/>
      <protection/>
    </xf>
    <xf numFmtId="166" fontId="11" fillId="0" borderId="17" xfId="20" applyNumberFormat="1" applyFont="1" applyBorder="1" applyAlignment="1">
      <alignment horizontal="right"/>
      <protection/>
    </xf>
    <xf numFmtId="164" fontId="21" fillId="0" borderId="0" xfId="20" applyFont="1">
      <alignment/>
      <protection/>
    </xf>
    <xf numFmtId="164" fontId="11" fillId="0" borderId="20" xfId="0" applyFont="1" applyBorder="1" applyAlignment="1">
      <alignment horizontal="left"/>
    </xf>
    <xf numFmtId="166" fontId="11" fillId="0" borderId="20" xfId="20" applyNumberFormat="1" applyFont="1" applyBorder="1" applyAlignment="1">
      <alignment horizontal="right"/>
      <protection/>
    </xf>
    <xf numFmtId="166" fontId="11" fillId="0" borderId="49" xfId="20" applyNumberFormat="1" applyFont="1" applyBorder="1" applyAlignment="1">
      <alignment horizontal="right"/>
      <protection/>
    </xf>
    <xf numFmtId="167" fontId="11" fillId="0" borderId="23" xfId="20" applyNumberFormat="1" applyFont="1" applyBorder="1" applyAlignment="1">
      <alignment horizontal="left"/>
      <protection/>
    </xf>
    <xf numFmtId="167" fontId="12" fillId="0" borderId="23" xfId="20" applyNumberFormat="1" applyFont="1" applyBorder="1" applyAlignment="1">
      <alignment horizontal="center"/>
      <protection/>
    </xf>
    <xf numFmtId="164" fontId="11" fillId="0" borderId="25" xfId="20" applyFont="1" applyBorder="1" applyAlignment="1">
      <alignment horizontal="left"/>
      <protection/>
    </xf>
    <xf numFmtId="164" fontId="22" fillId="0" borderId="50" xfId="0" applyFont="1" applyBorder="1" applyAlignment="1">
      <alignment horizontal="left"/>
    </xf>
    <xf numFmtId="166" fontId="11" fillId="0" borderId="50" xfId="20" applyNumberFormat="1" applyFont="1" applyBorder="1">
      <alignment/>
      <protection/>
    </xf>
    <xf numFmtId="164" fontId="21" fillId="0" borderId="50" xfId="20" applyFont="1" applyBorder="1">
      <alignment/>
      <protection/>
    </xf>
    <xf numFmtId="166" fontId="11" fillId="0" borderId="50" xfId="20" applyNumberFormat="1" applyFont="1" applyBorder="1" applyAlignment="1">
      <alignment horizontal="right"/>
      <protection/>
    </xf>
    <xf numFmtId="166" fontId="11" fillId="0" borderId="57" xfId="20" applyNumberFormat="1" applyFont="1" applyBorder="1" applyAlignment="1">
      <alignment horizontal="right"/>
      <protection/>
    </xf>
    <xf numFmtId="164" fontId="12" fillId="0" borderId="58" xfId="20" applyFont="1" applyBorder="1" applyAlignment="1">
      <alignment horizontal="right"/>
      <protection/>
    </xf>
    <xf numFmtId="164" fontId="12" fillId="0" borderId="59" xfId="20" applyFont="1" applyBorder="1">
      <alignment/>
      <protection/>
    </xf>
    <xf numFmtId="164" fontId="12" fillId="0" borderId="30" xfId="20" applyFont="1" applyBorder="1" applyAlignment="1">
      <alignment horizontal="right"/>
      <protection/>
    </xf>
    <xf numFmtId="164" fontId="12" fillId="0" borderId="7" xfId="20" applyFont="1" applyBorder="1">
      <alignment/>
      <protection/>
    </xf>
    <xf numFmtId="164" fontId="21" fillId="0" borderId="7" xfId="20" applyFont="1" applyBorder="1">
      <alignment/>
      <protection/>
    </xf>
    <xf numFmtId="166" fontId="11" fillId="0" borderId="7" xfId="20" applyNumberFormat="1" applyFont="1" applyBorder="1" applyAlignment="1">
      <alignment horizontal="right"/>
      <protection/>
    </xf>
    <xf numFmtId="166" fontId="11" fillId="0" borderId="10" xfId="20" applyNumberFormat="1" applyFont="1" applyBorder="1" applyAlignment="1">
      <alignment horizontal="right"/>
      <protection/>
    </xf>
    <xf numFmtId="166" fontId="12" fillId="0" borderId="0" xfId="20" applyNumberFormat="1" applyFont="1" applyAlignment="1">
      <alignment horizontal="right"/>
      <protection/>
    </xf>
    <xf numFmtId="164" fontId="23" fillId="0" borderId="0" xfId="0" applyFont="1" applyFill="1" applyAlignment="1">
      <alignment vertical="center" wrapText="1"/>
    </xf>
    <xf numFmtId="164" fontId="23" fillId="0" borderId="0" xfId="0" applyFont="1" applyFill="1" applyAlignment="1">
      <alignment horizontal="center" vertical="center"/>
    </xf>
    <xf numFmtId="164" fontId="23" fillId="0" borderId="0" xfId="0" applyFont="1" applyFill="1" applyAlignment="1">
      <alignment vertical="center"/>
    </xf>
    <xf numFmtId="164" fontId="24" fillId="0" borderId="0" xfId="0" applyFont="1" applyFill="1" applyAlignment="1">
      <alignment vertical="center"/>
    </xf>
    <xf numFmtId="164" fontId="23" fillId="0" borderId="0" xfId="0" applyFont="1" applyFill="1" applyBorder="1" applyAlignment="1">
      <alignment vertical="center"/>
    </xf>
    <xf numFmtId="164" fontId="23" fillId="0" borderId="0" xfId="0" applyFont="1" applyFill="1" applyBorder="1" applyAlignment="1">
      <alignment horizontal="center" vertical="center"/>
    </xf>
    <xf numFmtId="164" fontId="25" fillId="0" borderId="47" xfId="0" applyFont="1" applyFill="1" applyBorder="1" applyAlignment="1">
      <alignment horizontal="center" vertical="center" wrapText="1"/>
    </xf>
    <xf numFmtId="164" fontId="25" fillId="0" borderId="48" xfId="0" applyFont="1" applyFill="1" applyBorder="1" applyAlignment="1">
      <alignment horizontal="center" vertical="center" wrapText="1"/>
    </xf>
    <xf numFmtId="164" fontId="25" fillId="0" borderId="3" xfId="0" applyFont="1" applyFill="1" applyBorder="1" applyAlignment="1">
      <alignment horizontal="center" vertical="center" wrapText="1"/>
    </xf>
    <xf numFmtId="164" fontId="25" fillId="0" borderId="48" xfId="0" applyFont="1" applyFill="1" applyBorder="1" applyAlignment="1">
      <alignment horizontal="center" vertical="center"/>
    </xf>
    <xf numFmtId="164" fontId="26" fillId="0" borderId="0" xfId="0" applyFont="1" applyFill="1" applyAlignment="1">
      <alignment vertical="center"/>
    </xf>
    <xf numFmtId="164" fontId="25" fillId="0" borderId="20" xfId="0" applyFont="1" applyFill="1" applyBorder="1" applyAlignment="1">
      <alignment horizontal="center" vertical="center" wrapText="1"/>
    </xf>
    <xf numFmtId="164" fontId="26" fillId="0" borderId="0" xfId="0" applyFont="1" applyFill="1" applyAlignment="1">
      <alignment horizontal="center" vertical="center" wrapText="1"/>
    </xf>
    <xf numFmtId="165" fontId="23" fillId="0" borderId="23" xfId="0" applyNumberFormat="1" applyFont="1" applyFill="1" applyBorder="1" applyAlignment="1">
      <alignment horizontal="left" vertical="center"/>
    </xf>
    <xf numFmtId="164" fontId="23" fillId="0" borderId="20" xfId="0" applyFont="1" applyFill="1" applyBorder="1" applyAlignment="1">
      <alignment horizontal="center" vertical="center"/>
    </xf>
    <xf numFmtId="166" fontId="23" fillId="0" borderId="20" xfId="0" applyNumberFormat="1" applyFont="1" applyFill="1" applyBorder="1" applyAlignment="1">
      <alignment horizontal="right" vertical="center"/>
    </xf>
    <xf numFmtId="166" fontId="24" fillId="0" borderId="49" xfId="0" applyNumberFormat="1" applyFont="1" applyFill="1" applyBorder="1" applyAlignment="1">
      <alignment horizontal="right" vertical="center"/>
    </xf>
    <xf numFmtId="165" fontId="23" fillId="0" borderId="23" xfId="0" applyNumberFormat="1" applyFont="1" applyFill="1" applyBorder="1" applyAlignment="1">
      <alignment horizontal="left" vertical="center" wrapText="1"/>
    </xf>
    <xf numFmtId="165" fontId="23" fillId="0" borderId="30" xfId="0" applyNumberFormat="1" applyFont="1" applyFill="1" applyBorder="1" applyAlignment="1">
      <alignment horizontal="left" vertical="center"/>
    </xf>
    <xf numFmtId="165" fontId="23" fillId="0" borderId="30" xfId="0" applyNumberFormat="1" applyFont="1" applyFill="1" applyBorder="1" applyAlignment="1">
      <alignment horizontal="left" vertical="center" wrapText="1"/>
    </xf>
    <xf numFmtId="164" fontId="23" fillId="0" borderId="7" xfId="0" applyFont="1" applyFill="1" applyBorder="1" applyAlignment="1">
      <alignment horizontal="center" vertical="center"/>
    </xf>
    <xf numFmtId="166" fontId="23" fillId="0" borderId="7" xfId="0" applyNumberFormat="1" applyFont="1" applyFill="1" applyBorder="1" applyAlignment="1">
      <alignment horizontal="right" vertical="center"/>
    </xf>
    <xf numFmtId="166" fontId="24" fillId="0" borderId="10" xfId="0" applyNumberFormat="1" applyFont="1" applyFill="1" applyBorder="1" applyAlignment="1">
      <alignment horizontal="right" vertical="center"/>
    </xf>
    <xf numFmtId="165" fontId="23" fillId="0" borderId="47" xfId="0" applyNumberFormat="1" applyFont="1" applyFill="1" applyBorder="1" applyAlignment="1">
      <alignment horizontal="left" vertical="center"/>
    </xf>
    <xf numFmtId="164" fontId="23" fillId="0" borderId="48" xfId="0" applyFont="1" applyFill="1" applyBorder="1" applyAlignment="1">
      <alignment horizontal="center" vertical="center"/>
    </xf>
    <xf numFmtId="166" fontId="23" fillId="0" borderId="48" xfId="0" applyNumberFormat="1" applyFont="1" applyFill="1" applyBorder="1" applyAlignment="1">
      <alignment horizontal="right" vertical="center"/>
    </xf>
    <xf numFmtId="166" fontId="24" fillId="0" borderId="3" xfId="0" applyNumberFormat="1" applyFont="1" applyFill="1" applyBorder="1" applyAlignment="1">
      <alignment horizontal="right" vertical="center"/>
    </xf>
    <xf numFmtId="165" fontId="23" fillId="0" borderId="47" xfId="0" applyNumberFormat="1" applyFont="1" applyFill="1" applyBorder="1" applyAlignment="1">
      <alignment horizontal="left" vertical="center" wrapText="1"/>
    </xf>
    <xf numFmtId="165" fontId="23" fillId="0" borderId="25" xfId="0" applyNumberFormat="1" applyFont="1" applyFill="1" applyBorder="1" applyAlignment="1">
      <alignment horizontal="left" vertical="center" wrapText="1"/>
    </xf>
    <xf numFmtId="165" fontId="24" fillId="0" borderId="23" xfId="0" applyNumberFormat="1" applyFont="1" applyFill="1" applyBorder="1" applyAlignment="1">
      <alignment horizontal="left" vertical="center"/>
    </xf>
    <xf numFmtId="166" fontId="24" fillId="0" borderId="20" xfId="0" applyNumberFormat="1" applyFont="1" applyFill="1" applyBorder="1" applyAlignment="1">
      <alignment horizontal="right" vertical="center"/>
    </xf>
    <xf numFmtId="165" fontId="24" fillId="0" borderId="23" xfId="0" applyNumberFormat="1" applyFont="1" applyFill="1" applyBorder="1" applyAlignment="1">
      <alignment horizontal="left" vertical="center" wrapText="1"/>
    </xf>
    <xf numFmtId="164" fontId="23" fillId="0" borderId="23" xfId="0" applyFont="1" applyFill="1" applyBorder="1" applyAlignment="1">
      <alignment horizontal="left" vertical="center" wrapText="1"/>
    </xf>
    <xf numFmtId="164" fontId="23" fillId="0" borderId="23" xfId="0" applyFont="1" applyFill="1" applyBorder="1" applyAlignment="1">
      <alignment horizontal="left" vertical="center"/>
    </xf>
    <xf numFmtId="164" fontId="24" fillId="0" borderId="20" xfId="0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vertical="center"/>
    </xf>
    <xf numFmtId="166" fontId="24" fillId="0" borderId="19" xfId="0" applyNumberFormat="1" applyFont="1" applyFill="1" applyBorder="1" applyAlignment="1">
      <alignment vertical="center"/>
    </xf>
    <xf numFmtId="166" fontId="24" fillId="0" borderId="20" xfId="0" applyNumberFormat="1" applyFont="1" applyFill="1" applyBorder="1" applyAlignment="1">
      <alignment vertical="center"/>
    </xf>
    <xf numFmtId="166" fontId="24" fillId="0" borderId="49" xfId="0" applyNumberFormat="1" applyFont="1" applyFill="1" applyBorder="1" applyAlignment="1">
      <alignment vertical="center"/>
    </xf>
    <xf numFmtId="165" fontId="23" fillId="0" borderId="25" xfId="0" applyNumberFormat="1" applyFont="1" applyFill="1" applyBorder="1" applyAlignment="1">
      <alignment horizontal="left" vertical="center"/>
    </xf>
    <xf numFmtId="164" fontId="24" fillId="0" borderId="0" xfId="0" applyFont="1" applyFill="1" applyAlignment="1">
      <alignment horizontal="center" vertical="center"/>
    </xf>
    <xf numFmtId="164" fontId="23" fillId="0" borderId="50" xfId="0" applyFont="1" applyFill="1" applyBorder="1" applyAlignment="1">
      <alignment horizontal="center" vertical="center"/>
    </xf>
    <xf numFmtId="165" fontId="24" fillId="0" borderId="30" xfId="0" applyNumberFormat="1" applyFont="1" applyFill="1" applyBorder="1" applyAlignment="1">
      <alignment horizontal="left" vertical="center" wrapText="1"/>
    </xf>
    <xf numFmtId="166" fontId="24" fillId="0" borderId="19" xfId="0" applyNumberFormat="1" applyFont="1" applyFill="1" applyBorder="1" applyAlignment="1">
      <alignment horizontal="right" vertical="center"/>
    </xf>
    <xf numFmtId="166" fontId="24" fillId="0" borderId="0" xfId="0" applyNumberFormat="1" applyFont="1" applyFill="1" applyAlignment="1">
      <alignment vertical="center"/>
    </xf>
    <xf numFmtId="166" fontId="24" fillId="0" borderId="20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Alignment="1">
      <alignment vertical="center"/>
    </xf>
    <xf numFmtId="164" fontId="24" fillId="0" borderId="7" xfId="0" applyFont="1" applyFill="1" applyBorder="1" applyAlignment="1">
      <alignment horizontal="center" vertical="center"/>
    </xf>
    <xf numFmtId="166" fontId="24" fillId="0" borderId="5" xfId="0" applyNumberFormat="1" applyFont="1" applyFill="1" applyBorder="1" applyAlignment="1">
      <alignment horizontal="right" vertical="center"/>
    </xf>
    <xf numFmtId="166" fontId="24" fillId="0" borderId="61" xfId="0" applyNumberFormat="1" applyFont="1" applyFill="1" applyBorder="1" applyAlignment="1">
      <alignment horizontal="right" vertical="center"/>
    </xf>
    <xf numFmtId="166" fontId="24" fillId="0" borderId="7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Alignment="1">
      <alignment horizontal="left" vertical="center" wrapText="1"/>
    </xf>
    <xf numFmtId="166" fontId="0" fillId="0" borderId="0" xfId="0" applyNumberForma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27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47" xfId="0" applyFont="1" applyBorder="1" applyAlignment="1">
      <alignment/>
    </xf>
    <xf numFmtId="164" fontId="11" fillId="0" borderId="2" xfId="0" applyFont="1" applyBorder="1" applyAlignment="1">
      <alignment horizontal="center"/>
    </xf>
    <xf numFmtId="166" fontId="11" fillId="0" borderId="48" xfId="0" applyNumberFormat="1" applyFont="1" applyBorder="1" applyAlignment="1">
      <alignment horizontal="center"/>
    </xf>
    <xf numFmtId="166" fontId="11" fillId="0" borderId="62" xfId="0" applyNumberFormat="1" applyFont="1" applyBorder="1" applyAlignment="1">
      <alignment horizontal="center"/>
    </xf>
    <xf numFmtId="164" fontId="28" fillId="0" borderId="23" xfId="0" applyFont="1" applyBorder="1" applyAlignment="1">
      <alignment/>
    </xf>
    <xf numFmtId="166" fontId="29" fillId="0" borderId="21" xfId="0" applyNumberFormat="1" applyFont="1" applyBorder="1" applyAlignment="1">
      <alignment horizontal="right"/>
    </xf>
    <xf numFmtId="166" fontId="29" fillId="0" borderId="20" xfId="0" applyNumberFormat="1" applyFont="1" applyBorder="1" applyAlignment="1">
      <alignment horizontal="right"/>
    </xf>
    <xf numFmtId="166" fontId="29" fillId="0" borderId="63" xfId="0" applyNumberFormat="1" applyFont="1" applyBorder="1" applyAlignment="1">
      <alignment horizontal="right"/>
    </xf>
    <xf numFmtId="164" fontId="29" fillId="0" borderId="0" xfId="0" applyFont="1" applyAlignment="1">
      <alignment/>
    </xf>
    <xf numFmtId="164" fontId="29" fillId="0" borderId="23" xfId="0" applyFont="1" applyBorder="1" applyAlignment="1">
      <alignment/>
    </xf>
    <xf numFmtId="166" fontId="12" fillId="0" borderId="20" xfId="0" applyNumberFormat="1" applyFont="1" applyBorder="1" applyAlignment="1">
      <alignment/>
    </xf>
    <xf numFmtId="166" fontId="12" fillId="0" borderId="63" xfId="0" applyNumberFormat="1" applyFont="1" applyBorder="1" applyAlignment="1">
      <alignment/>
    </xf>
    <xf numFmtId="164" fontId="11" fillId="0" borderId="23" xfId="0" applyFont="1" applyBorder="1" applyAlignment="1">
      <alignment shrinkToFit="1"/>
    </xf>
    <xf numFmtId="166" fontId="12" fillId="0" borderId="21" xfId="0" applyNumberFormat="1" applyFont="1" applyBorder="1" applyAlignment="1">
      <alignment/>
    </xf>
    <xf numFmtId="164" fontId="12" fillId="0" borderId="23" xfId="0" applyFont="1" applyBorder="1" applyAlignment="1">
      <alignment shrinkToFit="1"/>
    </xf>
    <xf numFmtId="166" fontId="12" fillId="0" borderId="0" xfId="0" applyNumberFormat="1" applyFont="1" applyAlignment="1">
      <alignment/>
    </xf>
    <xf numFmtId="166" fontId="11" fillId="0" borderId="21" xfId="0" applyNumberFormat="1" applyFont="1" applyBorder="1" applyAlignment="1">
      <alignment/>
    </xf>
    <xf numFmtId="166" fontId="11" fillId="0" borderId="20" xfId="0" applyNumberFormat="1" applyFont="1" applyBorder="1" applyAlignment="1">
      <alignment/>
    </xf>
    <xf numFmtId="166" fontId="11" fillId="0" borderId="63" xfId="0" applyNumberFormat="1" applyFont="1" applyBorder="1" applyAlignment="1">
      <alignment/>
    </xf>
    <xf numFmtId="164" fontId="12" fillId="0" borderId="23" xfId="0" applyFont="1" applyBorder="1" applyAlignment="1">
      <alignment/>
    </xf>
    <xf numFmtId="166" fontId="12" fillId="0" borderId="21" xfId="0" applyNumberFormat="1" applyFont="1" applyBorder="1" applyAlignment="1">
      <alignment horizontal="right"/>
    </xf>
    <xf numFmtId="164" fontId="12" fillId="0" borderId="25" xfId="0" applyFont="1" applyBorder="1" applyAlignment="1">
      <alignment shrinkToFit="1"/>
    </xf>
    <xf numFmtId="166" fontId="12" fillId="0" borderId="51" xfId="0" applyNumberFormat="1" applyFont="1" applyBorder="1" applyAlignment="1">
      <alignment/>
    </xf>
    <xf numFmtId="164" fontId="12" fillId="0" borderId="52" xfId="0" applyFont="1" applyBorder="1" applyAlignment="1">
      <alignment shrinkToFit="1"/>
    </xf>
    <xf numFmtId="164" fontId="11" fillId="0" borderId="15" xfId="0" applyFont="1" applyBorder="1" applyAlignment="1">
      <alignment horizontal="center"/>
    </xf>
    <xf numFmtId="164" fontId="29" fillId="0" borderId="23" xfId="0" applyFont="1" applyBorder="1" applyAlignment="1">
      <alignment shrinkToFit="1"/>
    </xf>
    <xf numFmtId="166" fontId="29" fillId="0" borderId="21" xfId="0" applyNumberFormat="1" applyFont="1" applyBorder="1" applyAlignment="1">
      <alignment/>
    </xf>
    <xf numFmtId="166" fontId="29" fillId="0" borderId="20" xfId="0" applyNumberFormat="1" applyFont="1" applyBorder="1" applyAlignment="1">
      <alignment/>
    </xf>
    <xf numFmtId="166" fontId="29" fillId="0" borderId="63" xfId="0" applyNumberFormat="1" applyFont="1" applyBorder="1" applyAlignment="1">
      <alignment/>
    </xf>
    <xf numFmtId="164" fontId="12" fillId="0" borderId="23" xfId="0" applyFont="1" applyBorder="1" applyAlignment="1">
      <alignment wrapText="1"/>
    </xf>
    <xf numFmtId="166" fontId="12" fillId="0" borderId="21" xfId="0" applyNumberFormat="1" applyFont="1" applyBorder="1" applyAlignment="1">
      <alignment wrapText="1"/>
    </xf>
    <xf numFmtId="164" fontId="12" fillId="0" borderId="23" xfId="0" applyFont="1" applyBorder="1" applyAlignment="1">
      <alignment/>
    </xf>
    <xf numFmtId="164" fontId="11" fillId="0" borderId="30" xfId="0" applyFont="1" applyBorder="1" applyAlignment="1">
      <alignment shrinkToFit="1"/>
    </xf>
    <xf numFmtId="166" fontId="11" fillId="0" borderId="8" xfId="0" applyNumberFormat="1" applyFont="1" applyBorder="1" applyAlignment="1">
      <alignment/>
    </xf>
    <xf numFmtId="166" fontId="11" fillId="0" borderId="7" xfId="0" applyNumberFormat="1" applyFont="1" applyBorder="1" applyAlignment="1">
      <alignment/>
    </xf>
    <xf numFmtId="166" fontId="11" fillId="0" borderId="61" xfId="0" applyNumberFormat="1" applyFont="1" applyBorder="1" applyAlignment="1">
      <alignment/>
    </xf>
    <xf numFmtId="164" fontId="30" fillId="0" borderId="0" xfId="0" applyFont="1" applyAlignment="1">
      <alignment/>
    </xf>
    <xf numFmtId="164" fontId="11" fillId="0" borderId="48" xfId="0" applyFont="1" applyBorder="1" applyAlignment="1">
      <alignment horizontal="center"/>
    </xf>
    <xf numFmtId="164" fontId="11" fillId="0" borderId="62" xfId="0" applyFont="1" applyBorder="1" applyAlignment="1">
      <alignment horizontal="center"/>
    </xf>
    <xf numFmtId="164" fontId="11" fillId="0" borderId="21" xfId="0" applyFont="1" applyBorder="1" applyAlignment="1">
      <alignment horizontal="center"/>
    </xf>
    <xf numFmtId="164" fontId="31" fillId="0" borderId="0" xfId="0" applyFont="1" applyAlignment="1">
      <alignment/>
    </xf>
    <xf numFmtId="166" fontId="11" fillId="0" borderId="21" xfId="0" applyNumberFormat="1" applyFont="1" applyBorder="1" applyAlignment="1">
      <alignment horizontal="right"/>
    </xf>
    <xf numFmtId="164" fontId="11" fillId="0" borderId="23" xfId="0" applyFont="1" applyBorder="1" applyAlignment="1">
      <alignment/>
    </xf>
    <xf numFmtId="164" fontId="12" fillId="0" borderId="30" xfId="0" applyFont="1" applyBorder="1" applyAlignment="1">
      <alignment shrinkToFit="1"/>
    </xf>
    <xf numFmtId="166" fontId="12" fillId="0" borderId="8" xfId="0" applyNumberFormat="1" applyFont="1" applyBorder="1" applyAlignment="1">
      <alignment/>
    </xf>
    <xf numFmtId="166" fontId="12" fillId="0" borderId="7" xfId="0" applyNumberFormat="1" applyFont="1" applyBorder="1" applyAlignment="1">
      <alignment/>
    </xf>
    <xf numFmtId="166" fontId="12" fillId="0" borderId="28" xfId="0" applyNumberFormat="1" applyFont="1" applyBorder="1" applyAlignment="1">
      <alignment/>
    </xf>
    <xf numFmtId="164" fontId="11" fillId="0" borderId="25" xfId="0" applyFont="1" applyBorder="1" applyAlignment="1">
      <alignment/>
    </xf>
    <xf numFmtId="166" fontId="11" fillId="0" borderId="51" xfId="0" applyNumberFormat="1" applyFont="1" applyBorder="1" applyAlignment="1">
      <alignment horizontal="right"/>
    </xf>
    <xf numFmtId="166" fontId="11" fillId="0" borderId="20" xfId="0" applyNumberFormat="1" applyFont="1" applyBorder="1" applyAlignment="1">
      <alignment horizontal="right"/>
    </xf>
    <xf numFmtId="166" fontId="11" fillId="0" borderId="63" xfId="0" applyNumberFormat="1" applyFont="1" applyBorder="1" applyAlignment="1">
      <alignment horizontal="right"/>
    </xf>
    <xf numFmtId="166" fontId="11" fillId="0" borderId="28" xfId="0" applyNumberFormat="1" applyFont="1" applyBorder="1" applyAlignment="1">
      <alignment horizontal="right"/>
    </xf>
    <xf numFmtId="164" fontId="11" fillId="0" borderId="23" xfId="0" applyFont="1" applyBorder="1" applyAlignment="1">
      <alignment/>
    </xf>
    <xf numFmtId="164" fontId="28" fillId="0" borderId="23" xfId="0" applyFont="1" applyBorder="1" applyAlignment="1">
      <alignment shrinkToFit="1"/>
    </xf>
    <xf numFmtId="164" fontId="28" fillId="0" borderId="0" xfId="0" applyFont="1" applyAlignment="1">
      <alignment/>
    </xf>
    <xf numFmtId="164" fontId="32" fillId="0" borderId="0" xfId="0" applyFont="1" applyAlignment="1">
      <alignment/>
    </xf>
    <xf numFmtId="164" fontId="29" fillId="0" borderId="30" xfId="0" applyFont="1" applyBorder="1" applyAlignment="1">
      <alignment shrinkToFit="1"/>
    </xf>
    <xf numFmtId="166" fontId="29" fillId="0" borderId="8" xfId="0" applyNumberFormat="1" applyFont="1" applyBorder="1" applyAlignment="1">
      <alignment/>
    </xf>
    <xf numFmtId="166" fontId="29" fillId="0" borderId="7" xfId="0" applyNumberFormat="1" applyFont="1" applyBorder="1" applyAlignment="1">
      <alignment/>
    </xf>
    <xf numFmtId="166" fontId="29" fillId="0" borderId="61" xfId="0" applyNumberFormat="1" applyFont="1" applyBorder="1" applyAlignment="1">
      <alignment/>
    </xf>
    <xf numFmtId="164" fontId="22" fillId="0" borderId="0" xfId="0" applyFont="1" applyAlignment="1">
      <alignment/>
    </xf>
    <xf numFmtId="164" fontId="3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 wrapText="1"/>
    </xf>
    <xf numFmtId="164" fontId="11" fillId="0" borderId="48" xfId="0" applyFont="1" applyBorder="1" applyAlignment="1">
      <alignment horizontal="center" vertical="center"/>
    </xf>
    <xf numFmtId="166" fontId="4" fillId="0" borderId="48" xfId="0" applyNumberFormat="1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 wrapText="1"/>
    </xf>
    <xf numFmtId="164" fontId="3" fillId="0" borderId="23" xfId="0" applyFont="1" applyBorder="1" applyAlignment="1">
      <alignment horizontal="left" vertical="center" wrapText="1"/>
    </xf>
    <xf numFmtId="166" fontId="3" fillId="0" borderId="21" xfId="0" applyNumberFormat="1" applyFont="1" applyBorder="1" applyAlignment="1">
      <alignment horizontal="right" vertical="center"/>
    </xf>
    <xf numFmtId="166" fontId="3" fillId="0" borderId="20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right" vertical="center"/>
    </xf>
    <xf numFmtId="166" fontId="3" fillId="0" borderId="49" xfId="0" applyNumberFormat="1" applyFont="1" applyBorder="1" applyAlignment="1">
      <alignment horizontal="right" vertical="center"/>
    </xf>
    <xf numFmtId="164" fontId="3" fillId="0" borderId="23" xfId="0" applyFont="1" applyBorder="1" applyAlignment="1">
      <alignment vertical="top" wrapText="1"/>
    </xf>
    <xf numFmtId="166" fontId="4" fillId="0" borderId="21" xfId="0" applyNumberFormat="1" applyFont="1" applyBorder="1" applyAlignment="1">
      <alignment horizontal="right" vertical="center"/>
    </xf>
    <xf numFmtId="166" fontId="4" fillId="0" borderId="20" xfId="0" applyNumberFormat="1" applyFont="1" applyBorder="1" applyAlignment="1">
      <alignment horizontal="right" vertical="center"/>
    </xf>
    <xf numFmtId="166" fontId="4" fillId="0" borderId="22" xfId="0" applyNumberFormat="1" applyFont="1" applyBorder="1" applyAlignment="1">
      <alignment horizontal="right" vertical="center"/>
    </xf>
    <xf numFmtId="166" fontId="4" fillId="0" borderId="49" xfId="0" applyNumberFormat="1" applyFont="1" applyBorder="1" applyAlignment="1">
      <alignment horizontal="right" vertical="center"/>
    </xf>
    <xf numFmtId="164" fontId="6" fillId="0" borderId="23" xfId="0" applyFont="1" applyBorder="1" applyAlignment="1">
      <alignment vertical="top" wrapText="1"/>
    </xf>
    <xf numFmtId="166" fontId="6" fillId="0" borderId="21" xfId="0" applyNumberFormat="1" applyFont="1" applyBorder="1" applyAlignment="1">
      <alignment horizontal="right" vertical="center"/>
    </xf>
    <xf numFmtId="166" fontId="12" fillId="0" borderId="20" xfId="0" applyNumberFormat="1" applyFont="1" applyBorder="1" applyAlignment="1">
      <alignment horizontal="right" vertical="center"/>
    </xf>
    <xf numFmtId="166" fontId="12" fillId="0" borderId="19" xfId="0" applyNumberFormat="1" applyFont="1" applyBorder="1" applyAlignment="1">
      <alignment horizontal="right" vertical="center"/>
    </xf>
    <xf numFmtId="166" fontId="12" fillId="0" borderId="49" xfId="0" applyNumberFormat="1" applyFont="1" applyBorder="1" applyAlignment="1">
      <alignment horizontal="right" vertical="center"/>
    </xf>
    <xf numFmtId="166" fontId="11" fillId="0" borderId="20" xfId="0" applyNumberFormat="1" applyFont="1" applyBorder="1" applyAlignment="1">
      <alignment horizontal="right" vertical="center"/>
    </xf>
    <xf numFmtId="166" fontId="11" fillId="0" borderId="19" xfId="0" applyNumberFormat="1" applyFont="1" applyBorder="1" applyAlignment="1">
      <alignment horizontal="right" vertical="center"/>
    </xf>
    <xf numFmtId="166" fontId="11" fillId="0" borderId="49" xfId="0" applyNumberFormat="1" applyFont="1" applyBorder="1" applyAlignment="1">
      <alignment horizontal="right" vertical="center"/>
    </xf>
    <xf numFmtId="164" fontId="6" fillId="0" borderId="30" xfId="0" applyFont="1" applyBorder="1" applyAlignment="1">
      <alignment/>
    </xf>
    <xf numFmtId="166" fontId="6" fillId="0" borderId="8" xfId="0" applyNumberFormat="1" applyFont="1" applyBorder="1" applyAlignment="1">
      <alignment horizontal="right" vertical="center"/>
    </xf>
    <xf numFmtId="166" fontId="6" fillId="0" borderId="7" xfId="0" applyNumberFormat="1" applyFont="1" applyBorder="1" applyAlignment="1">
      <alignment horizontal="right" vertical="center"/>
    </xf>
    <xf numFmtId="166" fontId="6" fillId="0" borderId="9" xfId="0" applyNumberFormat="1" applyFont="1" applyBorder="1" applyAlignment="1">
      <alignment horizontal="right" vertical="center"/>
    </xf>
    <xf numFmtId="166" fontId="6" fillId="0" borderId="10" xfId="0" applyNumberFormat="1" applyFont="1" applyBorder="1" applyAlignment="1">
      <alignment horizontal="right" vertical="center"/>
    </xf>
    <xf numFmtId="164" fontId="34" fillId="0" borderId="0" xfId="0" applyFont="1" applyAlignment="1">
      <alignment/>
    </xf>
    <xf numFmtId="164" fontId="33" fillId="0" borderId="0" xfId="0" applyFont="1" applyBorder="1" applyAlignment="1">
      <alignment horizontal="center"/>
    </xf>
    <xf numFmtId="164" fontId="4" fillId="0" borderId="47" xfId="0" applyFont="1" applyBorder="1" applyAlignment="1">
      <alignment vertical="top" wrapText="1"/>
    </xf>
    <xf numFmtId="164" fontId="3" fillId="0" borderId="52" xfId="0" applyFont="1" applyBorder="1" applyAlignment="1">
      <alignment vertical="top" wrapText="1"/>
    </xf>
    <xf numFmtId="164" fontId="3" fillId="0" borderId="58" xfId="0" applyFont="1" applyBorder="1" applyAlignment="1">
      <alignment vertical="top" wrapText="1"/>
    </xf>
    <xf numFmtId="166" fontId="3" fillId="0" borderId="51" xfId="0" applyNumberFormat="1" applyFont="1" applyBorder="1" applyAlignment="1">
      <alignment/>
    </xf>
    <xf numFmtId="164" fontId="3" fillId="0" borderId="25" xfId="0" applyFont="1" applyBorder="1" applyAlignment="1">
      <alignment vertical="top" wrapText="1"/>
    </xf>
    <xf numFmtId="164" fontId="4" fillId="0" borderId="25" xfId="0" applyFont="1" applyBorder="1" applyAlignment="1">
      <alignment vertical="top" wrapText="1"/>
    </xf>
    <xf numFmtId="166" fontId="4" fillId="0" borderId="21" xfId="0" applyNumberFormat="1" applyFont="1" applyBorder="1" applyAlignment="1">
      <alignment horizontal="right" vertical="center" wrapText="1"/>
    </xf>
    <xf numFmtId="166" fontId="4" fillId="0" borderId="20" xfId="0" applyNumberFormat="1" applyFont="1" applyBorder="1" applyAlignment="1">
      <alignment horizontal="right" vertical="center" wrapText="1"/>
    </xf>
    <xf numFmtId="166" fontId="4" fillId="0" borderId="63" xfId="0" applyNumberFormat="1" applyFont="1" applyBorder="1" applyAlignment="1">
      <alignment horizontal="right" vertical="center" wrapText="1"/>
    </xf>
    <xf numFmtId="164" fontId="4" fillId="0" borderId="30" xfId="0" applyFont="1" applyBorder="1" applyAlignment="1">
      <alignment vertical="top" wrapText="1"/>
    </xf>
    <xf numFmtId="166" fontId="4" fillId="0" borderId="8" xfId="0" applyNumberFormat="1" applyFont="1" applyBorder="1" applyAlignment="1">
      <alignment horizontal="right" vertical="center" wrapText="1"/>
    </xf>
    <xf numFmtId="166" fontId="12" fillId="0" borderId="61" xfId="0" applyNumberFormat="1" applyFont="1" applyBorder="1" applyAlignment="1">
      <alignment/>
    </xf>
    <xf numFmtId="164" fontId="4" fillId="0" borderId="52" xfId="0" applyFont="1" applyBorder="1" applyAlignment="1">
      <alignment vertical="top" wrapText="1"/>
    </xf>
    <xf numFmtId="166" fontId="4" fillId="0" borderId="63" xfId="0" applyNumberFormat="1" applyFont="1" applyBorder="1" applyAlignment="1">
      <alignment/>
    </xf>
    <xf numFmtId="164" fontId="4" fillId="0" borderId="64" xfId="0" applyFont="1" applyBorder="1" applyAlignment="1">
      <alignment vertical="top" wrapText="1"/>
    </xf>
    <xf numFmtId="166" fontId="4" fillId="0" borderId="8" xfId="0" applyNumberFormat="1" applyFont="1" applyBorder="1" applyAlignment="1">
      <alignment/>
    </xf>
    <xf numFmtId="166" fontId="4" fillId="0" borderId="61" xfId="0" applyNumberFormat="1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0" fillId="0" borderId="0" xfId="0" applyAlignment="1">
      <alignment/>
    </xf>
    <xf numFmtId="164" fontId="3" fillId="0" borderId="47" xfId="0" applyFont="1" applyBorder="1" applyAlignment="1">
      <alignment/>
    </xf>
    <xf numFmtId="164" fontId="12" fillId="0" borderId="20" xfId="0" applyFont="1" applyBorder="1" applyAlignment="1">
      <alignment/>
    </xf>
    <xf numFmtId="164" fontId="12" fillId="0" borderId="63" xfId="0" applyFont="1" applyBorder="1" applyAlignment="1">
      <alignment/>
    </xf>
    <xf numFmtId="164" fontId="3" fillId="0" borderId="23" xfId="0" applyFont="1" applyBorder="1" applyAlignment="1">
      <alignment shrinkToFit="1"/>
    </xf>
    <xf numFmtId="164" fontId="6" fillId="0" borderId="23" xfId="0" applyFont="1" applyBorder="1" applyAlignment="1">
      <alignment/>
    </xf>
    <xf numFmtId="166" fontId="6" fillId="0" borderId="21" xfId="0" applyNumberFormat="1" applyFont="1" applyBorder="1" applyAlignment="1">
      <alignment/>
    </xf>
    <xf numFmtId="166" fontId="6" fillId="0" borderId="20" xfId="0" applyNumberFormat="1" applyFont="1" applyBorder="1" applyAlignment="1">
      <alignment/>
    </xf>
    <xf numFmtId="166" fontId="6" fillId="0" borderId="63" xfId="0" applyNumberFormat="1" applyFont="1" applyBorder="1" applyAlignment="1">
      <alignment/>
    </xf>
    <xf numFmtId="164" fontId="3" fillId="0" borderId="23" xfId="0" applyFont="1" applyBorder="1" applyAlignment="1">
      <alignment vertical="top" wrapText="1" shrinkToFit="1"/>
    </xf>
    <xf numFmtId="164" fontId="4" fillId="0" borderId="30" xfId="0" applyFont="1" applyBorder="1" applyAlignment="1">
      <alignment/>
    </xf>
    <xf numFmtId="164" fontId="35" fillId="0" borderId="0" xfId="0" applyFont="1" applyAlignment="1">
      <alignment/>
    </xf>
    <xf numFmtId="166" fontId="30" fillId="0" borderId="0" xfId="0" applyNumberFormat="1" applyFont="1" applyAlignment="1">
      <alignment horizontal="left"/>
    </xf>
    <xf numFmtId="164" fontId="36" fillId="0" borderId="0" xfId="0" applyFont="1" applyAlignment="1">
      <alignment/>
    </xf>
    <xf numFmtId="164" fontId="30" fillId="0" borderId="47" xfId="0" applyFont="1" applyBorder="1" applyAlignment="1">
      <alignment/>
    </xf>
    <xf numFmtId="164" fontId="37" fillId="0" borderId="62" xfId="0" applyFont="1" applyBorder="1" applyAlignment="1">
      <alignment horizontal="left"/>
    </xf>
    <xf numFmtId="164" fontId="30" fillId="0" borderId="23" xfId="0" applyFont="1" applyBorder="1" applyAlignment="1">
      <alignment/>
    </xf>
    <xf numFmtId="170" fontId="30" fillId="0" borderId="63" xfId="0" applyNumberFormat="1" applyFont="1" applyBorder="1" applyAlignment="1">
      <alignment horizontal="left"/>
    </xf>
    <xf numFmtId="166" fontId="30" fillId="0" borderId="63" xfId="0" applyNumberFormat="1" applyFont="1" applyBorder="1" applyAlignment="1">
      <alignment horizontal="left"/>
    </xf>
    <xf numFmtId="166" fontId="27" fillId="0" borderId="22" xfId="0" applyNumberFormat="1" applyFont="1" applyBorder="1" applyAlignment="1">
      <alignment horizontal="right" indent="1"/>
    </xf>
    <xf numFmtId="164" fontId="30" fillId="0" borderId="22" xfId="0" applyFont="1" applyBorder="1" applyAlignment="1">
      <alignment horizontal="left"/>
    </xf>
    <xf numFmtId="166" fontId="27" fillId="0" borderId="22" xfId="0" applyNumberFormat="1" applyFont="1" applyBorder="1" applyAlignment="1">
      <alignment horizontal="left"/>
    </xf>
    <xf numFmtId="164" fontId="30" fillId="0" borderId="63" xfId="0" applyFont="1" applyBorder="1" applyAlignment="1">
      <alignment/>
    </xf>
    <xf numFmtId="166" fontId="30" fillId="0" borderId="22" xfId="0" applyNumberFormat="1" applyFont="1" applyBorder="1" applyAlignment="1">
      <alignment horizontal="right" indent="1"/>
    </xf>
    <xf numFmtId="166" fontId="30" fillId="0" borderId="22" xfId="0" applyNumberFormat="1" applyFont="1" applyBorder="1" applyAlignment="1">
      <alignment horizontal="left"/>
    </xf>
    <xf numFmtId="164" fontId="30" fillId="0" borderId="18" xfId="0" applyFont="1" applyBorder="1" applyAlignment="1">
      <alignment/>
    </xf>
    <xf numFmtId="164" fontId="30" fillId="0" borderId="27" xfId="0" applyFont="1" applyBorder="1" applyAlignment="1">
      <alignment/>
    </xf>
    <xf numFmtId="166" fontId="30" fillId="0" borderId="27" xfId="0" applyNumberFormat="1" applyFont="1" applyBorder="1" applyAlignment="1">
      <alignment horizontal="left"/>
    </xf>
    <xf numFmtId="164" fontId="30" fillId="0" borderId="28" xfId="0" applyFont="1" applyBorder="1" applyAlignment="1">
      <alignment/>
    </xf>
    <xf numFmtId="166" fontId="37" fillId="0" borderId="63" xfId="0" applyNumberFormat="1" applyFont="1" applyBorder="1" applyAlignment="1">
      <alignment horizontal="left"/>
    </xf>
    <xf numFmtId="166" fontId="37" fillId="0" borderId="22" xfId="0" applyNumberFormat="1" applyFont="1" applyBorder="1" applyAlignment="1">
      <alignment horizontal="left"/>
    </xf>
    <xf numFmtId="164" fontId="30" fillId="0" borderId="22" xfId="0" applyFont="1" applyBorder="1" applyAlignment="1">
      <alignment/>
    </xf>
    <xf numFmtId="164" fontId="30" fillId="0" borderId="23" xfId="0" applyFont="1" applyBorder="1" applyAlignment="1">
      <alignment horizontal="left" vertical="center" wrapText="1"/>
    </xf>
    <xf numFmtId="166" fontId="37" fillId="0" borderId="63" xfId="0" applyNumberFormat="1" applyFont="1" applyBorder="1" applyAlignment="1">
      <alignment horizontal="left" vertical="center" wrapText="1"/>
    </xf>
    <xf numFmtId="169" fontId="30" fillId="0" borderId="63" xfId="0" applyNumberFormat="1" applyFont="1" applyBorder="1" applyAlignment="1">
      <alignment horizontal="left"/>
    </xf>
    <xf numFmtId="169" fontId="30" fillId="0" borderId="63" xfId="0" applyNumberFormat="1" applyFont="1" applyBorder="1" applyAlignment="1">
      <alignment horizontal="left" wrapText="1"/>
    </xf>
    <xf numFmtId="164" fontId="30" fillId="0" borderId="52" xfId="0" applyFont="1" applyBorder="1" applyAlignment="1">
      <alignment horizontal="left" vertical="center" wrapText="1"/>
    </xf>
    <xf numFmtId="166" fontId="37" fillId="0" borderId="65" xfId="0" applyNumberFormat="1" applyFont="1" applyBorder="1" applyAlignment="1">
      <alignment horizontal="left" vertical="center" wrapText="1"/>
    </xf>
    <xf numFmtId="164" fontId="30" fillId="0" borderId="30" xfId="0" applyFont="1" applyBorder="1" applyAlignment="1">
      <alignment/>
    </xf>
    <xf numFmtId="166" fontId="27" fillId="0" borderId="9" xfId="0" applyNumberFormat="1" applyFont="1" applyBorder="1" applyAlignment="1">
      <alignment horizontal="right" indent="1"/>
    </xf>
    <xf numFmtId="164" fontId="30" fillId="0" borderId="9" xfId="0" applyFont="1" applyBorder="1" applyAlignment="1">
      <alignment horizontal="left"/>
    </xf>
    <xf numFmtId="166" fontId="27" fillId="0" borderId="9" xfId="0" applyNumberFormat="1" applyFont="1" applyBorder="1" applyAlignment="1">
      <alignment horizontal="left"/>
    </xf>
    <xf numFmtId="164" fontId="30" fillId="0" borderId="61" xfId="0" applyFont="1" applyBorder="1" applyAlignment="1">
      <alignment/>
    </xf>
    <xf numFmtId="164" fontId="30" fillId="0" borderId="47" xfId="0" applyFont="1" applyBorder="1" applyAlignment="1">
      <alignment horizontal="left" vertical="center" wrapText="1"/>
    </xf>
    <xf numFmtId="166" fontId="37" fillId="0" borderId="62" xfId="0" applyNumberFormat="1" applyFont="1" applyBorder="1" applyAlignment="1">
      <alignment horizontal="left" vertical="center" wrapText="1"/>
    </xf>
    <xf numFmtId="166" fontId="37" fillId="0" borderId="63" xfId="0" applyNumberFormat="1" applyFont="1" applyBorder="1" applyAlignment="1">
      <alignment horizontal="left" wrapText="1"/>
    </xf>
    <xf numFmtId="164" fontId="30" fillId="0" borderId="66" xfId="0" applyFont="1" applyBorder="1" applyAlignment="1">
      <alignment/>
    </xf>
    <xf numFmtId="164" fontId="30" fillId="0" borderId="67" xfId="0" applyFont="1" applyBorder="1" applyAlignment="1">
      <alignment/>
    </xf>
    <xf numFmtId="166" fontId="30" fillId="0" borderId="67" xfId="0" applyNumberFormat="1" applyFont="1" applyBorder="1" applyAlignment="1">
      <alignment horizontal="left"/>
    </xf>
    <xf numFmtId="164" fontId="36" fillId="0" borderId="0" xfId="0" applyFont="1" applyBorder="1" applyAlignment="1">
      <alignment/>
    </xf>
    <xf numFmtId="164" fontId="30" fillId="0" borderId="0" xfId="0" applyFont="1" applyBorder="1" applyAlignment="1">
      <alignment/>
    </xf>
    <xf numFmtId="166" fontId="30" fillId="0" borderId="0" xfId="0" applyNumberFormat="1" applyFont="1" applyBorder="1" applyAlignment="1">
      <alignment horizontal="left"/>
    </xf>
    <xf numFmtId="164" fontId="38" fillId="0" borderId="62" xfId="0" applyFont="1" applyBorder="1" applyAlignment="1">
      <alignment horizontal="left"/>
    </xf>
    <xf numFmtId="164" fontId="37" fillId="0" borderId="63" xfId="0" applyFont="1" applyBorder="1" applyAlignment="1">
      <alignment horizontal="left"/>
    </xf>
    <xf numFmtId="164" fontId="38" fillId="0" borderId="63" xfId="0" applyFont="1" applyBorder="1" applyAlignment="1">
      <alignment horizontal="left"/>
    </xf>
    <xf numFmtId="164" fontId="19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39" fillId="0" borderId="0" xfId="0" applyFont="1" applyAlignment="1">
      <alignment/>
    </xf>
    <xf numFmtId="164" fontId="19" fillId="0" borderId="0" xfId="0" applyFont="1" applyAlignment="1">
      <alignment/>
    </xf>
    <xf numFmtId="164" fontId="11" fillId="0" borderId="47" xfId="0" applyFont="1" applyBorder="1" applyAlignment="1">
      <alignment horizontal="center" vertical="top" wrapText="1"/>
    </xf>
    <xf numFmtId="164" fontId="11" fillId="0" borderId="68" xfId="0" applyFont="1" applyBorder="1" applyAlignment="1">
      <alignment horizontal="center" vertical="center" wrapText="1"/>
    </xf>
    <xf numFmtId="164" fontId="11" fillId="0" borderId="21" xfId="0" applyFont="1" applyBorder="1" applyAlignment="1">
      <alignment horizontal="center" vertical="center" wrapText="1"/>
    </xf>
    <xf numFmtId="164" fontId="11" fillId="0" borderId="20" xfId="0" applyFont="1" applyBorder="1" applyAlignment="1">
      <alignment horizontal="center"/>
    </xf>
    <xf numFmtId="164" fontId="11" fillId="0" borderId="63" xfId="0" applyFont="1" applyBorder="1" applyAlignment="1">
      <alignment horizontal="center"/>
    </xf>
    <xf numFmtId="164" fontId="12" fillId="0" borderId="52" xfId="0" applyFont="1" applyBorder="1" applyAlignment="1">
      <alignment horizontal="justify" vertical="top" wrapText="1"/>
    </xf>
    <xf numFmtId="165" fontId="12" fillId="0" borderId="15" xfId="0" applyNumberFormat="1" applyFont="1" applyBorder="1" applyAlignment="1">
      <alignment horizontal="center" vertical="center" wrapText="1"/>
    </xf>
    <xf numFmtId="165" fontId="12" fillId="0" borderId="20" xfId="0" applyNumberFormat="1" applyFont="1" applyBorder="1" applyAlignment="1">
      <alignment horizontal="center"/>
    </xf>
    <xf numFmtId="165" fontId="12" fillId="0" borderId="63" xfId="0" applyNumberFormat="1" applyFont="1" applyBorder="1" applyAlignment="1">
      <alignment horizontal="center"/>
    </xf>
    <xf numFmtId="164" fontId="12" fillId="0" borderId="23" xfId="0" applyFont="1" applyBorder="1" applyAlignment="1">
      <alignment horizontal="justify" vertical="top" wrapText="1"/>
    </xf>
    <xf numFmtId="165" fontId="12" fillId="0" borderId="21" xfId="0" applyNumberFormat="1" applyFont="1" applyBorder="1" applyAlignment="1">
      <alignment horizontal="center" vertical="center" wrapText="1"/>
    </xf>
    <xf numFmtId="164" fontId="13" fillId="0" borderId="52" xfId="0" applyFont="1" applyBorder="1" applyAlignment="1">
      <alignment horizontal="justify" vertical="top" wrapText="1"/>
    </xf>
    <xf numFmtId="165" fontId="13" fillId="0" borderId="15" xfId="0" applyNumberFormat="1" applyFont="1" applyBorder="1" applyAlignment="1">
      <alignment horizontal="center" vertical="center" wrapText="1"/>
    </xf>
    <xf numFmtId="165" fontId="13" fillId="0" borderId="20" xfId="0" applyNumberFormat="1" applyFont="1" applyBorder="1" applyAlignment="1">
      <alignment horizontal="center" vertical="center" wrapText="1"/>
    </xf>
    <xf numFmtId="165" fontId="13" fillId="0" borderId="63" xfId="0" applyNumberFormat="1" applyFont="1" applyBorder="1" applyAlignment="1">
      <alignment horizontal="center" vertical="center" wrapText="1"/>
    </xf>
    <xf numFmtId="164" fontId="13" fillId="0" borderId="52" xfId="0" applyFont="1" applyBorder="1" applyAlignment="1">
      <alignment horizontal="left" vertical="center" wrapText="1"/>
    </xf>
    <xf numFmtId="165" fontId="13" fillId="0" borderId="69" xfId="0" applyNumberFormat="1" applyFont="1" applyBorder="1" applyAlignment="1">
      <alignment horizontal="center" vertical="center" wrapText="1"/>
    </xf>
    <xf numFmtId="165" fontId="13" fillId="0" borderId="70" xfId="0" applyNumberFormat="1" applyFont="1" applyBorder="1" applyAlignment="1">
      <alignment horizontal="center"/>
    </xf>
    <xf numFmtId="165" fontId="13" fillId="0" borderId="71" xfId="0" applyNumberFormat="1" applyFont="1" applyBorder="1" applyAlignment="1">
      <alignment horizontal="center"/>
    </xf>
    <xf numFmtId="164" fontId="11" fillId="0" borderId="52" xfId="0" applyFont="1" applyBorder="1" applyAlignment="1">
      <alignment horizontal="justify" vertical="top" wrapText="1"/>
    </xf>
    <xf numFmtId="165" fontId="11" fillId="0" borderId="15" xfId="0" applyNumberFormat="1" applyFont="1" applyBorder="1" applyAlignment="1">
      <alignment horizontal="center" vertical="center" wrapText="1"/>
    </xf>
    <xf numFmtId="165" fontId="11" fillId="0" borderId="72" xfId="0" applyNumberFormat="1" applyFont="1" applyBorder="1" applyAlignment="1">
      <alignment horizontal="center" vertical="center" wrapText="1"/>
    </xf>
    <xf numFmtId="165" fontId="11" fillId="0" borderId="73" xfId="0" applyNumberFormat="1" applyFont="1" applyBorder="1" applyAlignment="1">
      <alignment horizontal="center" vertical="center" wrapText="1"/>
    </xf>
    <xf numFmtId="165" fontId="12" fillId="0" borderId="20" xfId="0" applyNumberFormat="1" applyFont="1" applyBorder="1" applyAlignment="1">
      <alignment/>
    </xf>
    <xf numFmtId="165" fontId="12" fillId="0" borderId="63" xfId="0" applyNumberFormat="1" applyFont="1" applyBorder="1" applyAlignment="1">
      <alignment/>
    </xf>
    <xf numFmtId="165" fontId="12" fillId="0" borderId="69" xfId="0" applyNumberFormat="1" applyFont="1" applyBorder="1" applyAlignment="1">
      <alignment horizontal="center" vertical="center" wrapText="1"/>
    </xf>
    <xf numFmtId="165" fontId="12" fillId="0" borderId="70" xfId="0" applyNumberFormat="1" applyFont="1" applyBorder="1" applyAlignment="1">
      <alignment horizontal="center"/>
    </xf>
    <xf numFmtId="165" fontId="12" fillId="0" borderId="71" xfId="0" applyNumberFormat="1" applyFont="1" applyBorder="1" applyAlignment="1">
      <alignment horizontal="center"/>
    </xf>
    <xf numFmtId="164" fontId="29" fillId="0" borderId="52" xfId="0" applyFont="1" applyBorder="1" applyAlignment="1">
      <alignment horizontal="justify" vertical="top" wrapText="1"/>
    </xf>
    <xf numFmtId="165" fontId="29" fillId="0" borderId="15" xfId="0" applyNumberFormat="1" applyFont="1" applyBorder="1" applyAlignment="1">
      <alignment horizontal="center" vertical="center" wrapText="1"/>
    </xf>
    <xf numFmtId="165" fontId="29" fillId="0" borderId="14" xfId="0" applyNumberFormat="1" applyFont="1" applyBorder="1" applyAlignment="1">
      <alignment horizontal="center" vertical="center" wrapText="1"/>
    </xf>
    <xf numFmtId="165" fontId="29" fillId="0" borderId="65" xfId="0" applyNumberFormat="1" applyFont="1" applyBorder="1" applyAlignment="1">
      <alignment horizontal="center" vertical="center" wrapText="1"/>
    </xf>
    <xf numFmtId="165" fontId="12" fillId="0" borderId="70" xfId="0" applyNumberFormat="1" applyFont="1" applyBorder="1" applyAlignment="1">
      <alignment/>
    </xf>
    <xf numFmtId="165" fontId="12" fillId="0" borderId="71" xfId="0" applyNumberFormat="1" applyFont="1" applyBorder="1" applyAlignment="1">
      <alignment/>
    </xf>
    <xf numFmtId="164" fontId="11" fillId="0" borderId="64" xfId="0" applyFont="1" applyBorder="1" applyAlignment="1">
      <alignment horizontal="justify" vertical="top" wrapText="1"/>
    </xf>
    <xf numFmtId="165" fontId="11" fillId="0" borderId="31" xfId="0" applyNumberFormat="1" applyFont="1" applyBorder="1" applyAlignment="1">
      <alignment horizontal="center" vertical="center" wrapText="1"/>
    </xf>
    <xf numFmtId="165" fontId="11" fillId="0" borderId="74" xfId="0" applyNumberFormat="1" applyFont="1" applyBorder="1" applyAlignment="1">
      <alignment horizontal="center" vertical="center" wrapText="1"/>
    </xf>
    <xf numFmtId="165" fontId="11" fillId="0" borderId="32" xfId="0" applyNumberFormat="1" applyFont="1" applyBorder="1" applyAlignment="1">
      <alignment horizontal="center" vertical="center" wrapText="1"/>
    </xf>
    <xf numFmtId="164" fontId="40" fillId="0" borderId="0" xfId="0" applyFont="1" applyAlignment="1">
      <alignment horizontal="justify"/>
    </xf>
    <xf numFmtId="171" fontId="12" fillId="0" borderId="0" xfId="0" applyNumberFormat="1" applyFont="1" applyAlignment="1">
      <alignment/>
    </xf>
    <xf numFmtId="164" fontId="11" fillId="0" borderId="47" xfId="0" applyFont="1" applyBorder="1" applyAlignment="1">
      <alignment horizontal="center" vertical="center"/>
    </xf>
    <xf numFmtId="164" fontId="11" fillId="0" borderId="3" xfId="0" applyFont="1" applyBorder="1" applyAlignment="1">
      <alignment horizontal="center"/>
    </xf>
    <xf numFmtId="164" fontId="12" fillId="0" borderId="21" xfId="0" applyFont="1" applyBorder="1" applyAlignment="1">
      <alignment horizontal="center"/>
    </xf>
    <xf numFmtId="164" fontId="12" fillId="0" borderId="20" xfId="0" applyFont="1" applyBorder="1" applyAlignment="1">
      <alignment horizontal="center"/>
    </xf>
    <xf numFmtId="164" fontId="12" fillId="0" borderId="63" xfId="0" applyFont="1" applyBorder="1" applyAlignment="1">
      <alignment horizontal="center"/>
    </xf>
    <xf numFmtId="164" fontId="12" fillId="0" borderId="51" xfId="0" applyFont="1" applyBorder="1" applyAlignment="1">
      <alignment horizontal="center"/>
    </xf>
    <xf numFmtId="164" fontId="12" fillId="0" borderId="70" xfId="0" applyFont="1" applyBorder="1" applyAlignment="1">
      <alignment horizontal="center"/>
    </xf>
    <xf numFmtId="164" fontId="12" fillId="0" borderId="71" xfId="0" applyFont="1" applyBorder="1" applyAlignment="1">
      <alignment horizontal="center"/>
    </xf>
    <xf numFmtId="164" fontId="11" fillId="0" borderId="30" xfId="0" applyFont="1" applyBorder="1" applyAlignment="1">
      <alignment/>
    </xf>
    <xf numFmtId="164" fontId="11" fillId="0" borderId="75" xfId="0" applyFont="1" applyBorder="1" applyAlignment="1">
      <alignment horizontal="center"/>
    </xf>
    <xf numFmtId="164" fontId="11" fillId="0" borderId="74" xfId="0" applyFont="1" applyBorder="1" applyAlignment="1">
      <alignment horizontal="center"/>
    </xf>
    <xf numFmtId="164" fontId="11" fillId="0" borderId="32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31" fillId="0" borderId="47" xfId="0" applyFont="1" applyBorder="1" applyAlignment="1">
      <alignment/>
    </xf>
    <xf numFmtId="164" fontId="29" fillId="0" borderId="23" xfId="0" applyFont="1" applyBorder="1" applyAlignment="1">
      <alignment/>
    </xf>
    <xf numFmtId="166" fontId="29" fillId="0" borderId="49" xfId="0" applyNumberFormat="1" applyFont="1" applyBorder="1" applyAlignment="1">
      <alignment/>
    </xf>
    <xf numFmtId="166" fontId="12" fillId="0" borderId="20" xfId="0" applyNumberFormat="1" applyFont="1" applyBorder="1" applyAlignment="1">
      <alignment horizontal="right"/>
    </xf>
    <xf numFmtId="166" fontId="12" fillId="0" borderId="49" xfId="0" applyNumberFormat="1" applyFont="1" applyBorder="1" applyAlignment="1">
      <alignment horizontal="right"/>
    </xf>
    <xf numFmtId="164" fontId="12" fillId="0" borderId="49" xfId="0" applyFont="1" applyBorder="1" applyAlignment="1">
      <alignment/>
    </xf>
    <xf numFmtId="164" fontId="31" fillId="0" borderId="23" xfId="0" applyFont="1" applyBorder="1" applyAlignment="1">
      <alignment horizontal="left" vertical="center"/>
    </xf>
    <xf numFmtId="164" fontId="11" fillId="0" borderId="20" xfId="0" applyFont="1" applyBorder="1" applyAlignment="1">
      <alignment horizontal="center" vertical="center" wrapText="1"/>
    </xf>
    <xf numFmtId="164" fontId="11" fillId="0" borderId="20" xfId="0" applyFont="1" applyBorder="1" applyAlignment="1">
      <alignment horizontal="center" vertical="center"/>
    </xf>
    <xf numFmtId="164" fontId="11" fillId="0" borderId="49" xfId="0" applyFont="1" applyBorder="1" applyAlignment="1">
      <alignment horizontal="center" vertical="center"/>
    </xf>
    <xf numFmtId="164" fontId="29" fillId="0" borderId="23" xfId="0" applyFont="1" applyBorder="1" applyAlignment="1">
      <alignment horizontal="left" vertical="center"/>
    </xf>
    <xf numFmtId="166" fontId="29" fillId="0" borderId="20" xfId="0" applyNumberFormat="1" applyFont="1" applyBorder="1" applyAlignment="1">
      <alignment horizontal="right" vertical="center" wrapText="1"/>
    </xf>
    <xf numFmtId="164" fontId="13" fillId="0" borderId="0" xfId="0" applyFont="1" applyAlignment="1">
      <alignment/>
    </xf>
    <xf numFmtId="164" fontId="31" fillId="0" borderId="23" xfId="0" applyFont="1" applyBorder="1" applyAlignment="1">
      <alignment/>
    </xf>
    <xf numFmtId="167" fontId="12" fillId="0" borderId="23" xfId="0" applyNumberFormat="1" applyFont="1" applyBorder="1" applyAlignment="1">
      <alignment/>
    </xf>
    <xf numFmtId="164" fontId="13" fillId="0" borderId="23" xfId="0" applyFont="1" applyBorder="1" applyAlignment="1">
      <alignment/>
    </xf>
    <xf numFmtId="166" fontId="13" fillId="0" borderId="20" xfId="0" applyNumberFormat="1" applyFont="1" applyBorder="1" applyAlignment="1">
      <alignment/>
    </xf>
    <xf numFmtId="166" fontId="12" fillId="0" borderId="23" xfId="0" applyNumberFormat="1" applyFont="1" applyBorder="1" applyAlignment="1">
      <alignment/>
    </xf>
    <xf numFmtId="166" fontId="13" fillId="0" borderId="23" xfId="0" applyNumberFormat="1" applyFont="1" applyBorder="1" applyAlignment="1">
      <alignment/>
    </xf>
    <xf numFmtId="166" fontId="13" fillId="0" borderId="20" xfId="0" applyNumberFormat="1" applyFont="1" applyBorder="1" applyAlignment="1">
      <alignment/>
    </xf>
    <xf numFmtId="166" fontId="13" fillId="0" borderId="49" xfId="0" applyNumberFormat="1" applyFont="1" applyBorder="1" applyAlignment="1">
      <alignment/>
    </xf>
    <xf numFmtId="164" fontId="0" fillId="0" borderId="20" xfId="0" applyBorder="1" applyAlignment="1">
      <alignment/>
    </xf>
    <xf numFmtId="164" fontId="12" fillId="0" borderId="30" xfId="0" applyFont="1" applyBorder="1" applyAlignment="1">
      <alignment/>
    </xf>
    <xf numFmtId="164" fontId="12" fillId="0" borderId="7" xfId="0" applyFont="1" applyBorder="1" applyAlignment="1">
      <alignment/>
    </xf>
    <xf numFmtId="166" fontId="12" fillId="0" borderId="10" xfId="0" applyNumberFormat="1" applyFont="1" applyBorder="1" applyAlignment="1">
      <alignment/>
    </xf>
    <xf numFmtId="166" fontId="11" fillId="0" borderId="48" xfId="0" applyNumberFormat="1" applyFont="1" applyBorder="1" applyAlignment="1">
      <alignment/>
    </xf>
    <xf numFmtId="166" fontId="12" fillId="0" borderId="48" xfId="0" applyNumberFormat="1" applyFont="1" applyBorder="1" applyAlignment="1">
      <alignment/>
    </xf>
    <xf numFmtId="166" fontId="12" fillId="0" borderId="3" xfId="0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164" fontId="11" fillId="0" borderId="67" xfId="0" applyFont="1" applyBorder="1" applyAlignment="1">
      <alignment/>
    </xf>
    <xf numFmtId="166" fontId="11" fillId="0" borderId="67" xfId="0" applyNumberFormat="1" applyFont="1" applyBorder="1" applyAlignment="1">
      <alignment/>
    </xf>
    <xf numFmtId="164" fontId="41" fillId="0" borderId="0" xfId="0" applyFont="1" applyBorder="1" applyAlignment="1">
      <alignment/>
    </xf>
    <xf numFmtId="166" fontId="12" fillId="0" borderId="0" xfId="0" applyNumberFormat="1" applyFont="1" applyBorder="1" applyAlignment="1">
      <alignment/>
    </xf>
    <xf numFmtId="164" fontId="11" fillId="0" borderId="0" xfId="0" applyFont="1" applyBorder="1" applyAlignment="1">
      <alignment/>
    </xf>
    <xf numFmtId="166" fontId="11" fillId="0" borderId="0" xfId="0" applyNumberFormat="1" applyFont="1" applyBorder="1" applyAlignment="1">
      <alignment/>
    </xf>
    <xf numFmtId="164" fontId="29" fillId="0" borderId="0" xfId="0" applyFont="1" applyBorder="1" applyAlignment="1">
      <alignment/>
    </xf>
    <xf numFmtId="166" fontId="29" fillId="0" borderId="0" xfId="0" applyNumberFormat="1" applyFont="1" applyBorder="1" applyAlignment="1">
      <alignment/>
    </xf>
    <xf numFmtId="164" fontId="4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42" fillId="0" borderId="0" xfId="0" applyFont="1" applyAlignment="1">
      <alignment/>
    </xf>
    <xf numFmtId="164" fontId="42" fillId="0" borderId="47" xfId="0" applyFont="1" applyBorder="1" applyAlignment="1">
      <alignment horizontal="center" vertical="center"/>
    </xf>
    <xf numFmtId="164" fontId="42" fillId="0" borderId="48" xfId="0" applyFont="1" applyBorder="1" applyAlignment="1">
      <alignment horizontal="center" vertical="center"/>
    </xf>
    <xf numFmtId="164" fontId="42" fillId="0" borderId="48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/>
    </xf>
    <xf numFmtId="164" fontId="42" fillId="0" borderId="23" xfId="0" applyFont="1" applyBorder="1" applyAlignment="1">
      <alignment horizontal="left"/>
    </xf>
    <xf numFmtId="164" fontId="0" fillId="0" borderId="20" xfId="0" applyBorder="1" applyAlignment="1">
      <alignment horizontal="center"/>
    </xf>
    <xf numFmtId="164" fontId="0" fillId="0" borderId="49" xfId="0" applyBorder="1" applyAlignment="1">
      <alignment/>
    </xf>
    <xf numFmtId="164" fontId="0" fillId="0" borderId="23" xfId="0" applyFont="1" applyBorder="1" applyAlignment="1">
      <alignment horizontal="left"/>
    </xf>
    <xf numFmtId="164" fontId="42" fillId="0" borderId="20" xfId="0" applyFont="1" applyBorder="1" applyAlignment="1">
      <alignment/>
    </xf>
    <xf numFmtId="164" fontId="42" fillId="0" borderId="49" xfId="0" applyFont="1" applyBorder="1" applyAlignment="1">
      <alignment/>
    </xf>
    <xf numFmtId="164" fontId="0" fillId="0" borderId="23" xfId="0" applyFont="1" applyBorder="1" applyAlignment="1">
      <alignment horizontal="left" vertical="center"/>
    </xf>
    <xf numFmtId="164" fontId="42" fillId="0" borderId="23" xfId="0" applyFont="1" applyBorder="1" applyAlignment="1">
      <alignment horizontal="left" vertical="center"/>
    </xf>
    <xf numFmtId="164" fontId="42" fillId="0" borderId="30" xfId="0" applyFont="1" applyBorder="1" applyAlignment="1">
      <alignment horizontal="left"/>
    </xf>
    <xf numFmtId="164" fontId="0" fillId="0" borderId="7" xfId="0" applyBorder="1" applyAlignment="1">
      <alignment horizontal="center"/>
    </xf>
    <xf numFmtId="164" fontId="42" fillId="0" borderId="7" xfId="0" applyFont="1" applyBorder="1" applyAlignment="1">
      <alignment/>
    </xf>
    <xf numFmtId="164" fontId="42" fillId="0" borderId="10" xfId="0" applyFont="1" applyBorder="1" applyAlignment="1">
      <alignment/>
    </xf>
    <xf numFmtId="164" fontId="42" fillId="0" borderId="0" xfId="0" applyFont="1" applyBorder="1" applyAlignment="1">
      <alignment/>
    </xf>
    <xf numFmtId="164" fontId="42" fillId="0" borderId="0" xfId="0" applyFont="1" applyAlignment="1">
      <alignment horizontal="right"/>
    </xf>
    <xf numFmtId="164" fontId="42" fillId="0" borderId="0" xfId="0" applyFont="1" applyAlignment="1">
      <alignment horizontal="center"/>
    </xf>
    <xf numFmtId="164" fontId="43" fillId="0" borderId="0" xfId="0" applyFont="1" applyAlignment="1">
      <alignment/>
    </xf>
    <xf numFmtId="164" fontId="44" fillId="0" borderId="0" xfId="0" applyFont="1" applyAlignment="1">
      <alignment/>
    </xf>
    <xf numFmtId="172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42" fillId="0" borderId="47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/>
    </xf>
    <xf numFmtId="164" fontId="42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4" fontId="40" fillId="0" borderId="0" xfId="0" applyFont="1" applyBorder="1" applyAlignment="1">
      <alignment horizontal="center"/>
    </xf>
    <xf numFmtId="164" fontId="22" fillId="0" borderId="44" xfId="0" applyFont="1" applyBorder="1" applyAlignment="1">
      <alignment horizontal="center" vertical="center"/>
    </xf>
    <xf numFmtId="164" fontId="4" fillId="0" borderId="44" xfId="0" applyFont="1" applyFill="1" applyBorder="1" applyAlignment="1">
      <alignment horizontal="center" vertical="center" wrapText="1"/>
    </xf>
    <xf numFmtId="164" fontId="11" fillId="0" borderId="44" xfId="0" applyFont="1" applyFill="1" applyBorder="1" applyAlignment="1">
      <alignment horizontal="center" vertical="top"/>
    </xf>
    <xf numFmtId="164" fontId="11" fillId="0" borderId="44" xfId="0" applyFont="1" applyFill="1" applyBorder="1" applyAlignment="1">
      <alignment horizontal="center" vertical="top" wrapText="1"/>
    </xf>
    <xf numFmtId="164" fontId="3" fillId="0" borderId="44" xfId="0" applyFont="1" applyBorder="1" applyAlignment="1">
      <alignment/>
    </xf>
    <xf numFmtId="164" fontId="3" fillId="0" borderId="44" xfId="0" applyFont="1" applyBorder="1" applyAlignment="1">
      <alignment horizontal="center"/>
    </xf>
    <xf numFmtId="166" fontId="3" fillId="0" borderId="44" xfId="0" applyNumberFormat="1" applyFont="1" applyBorder="1" applyAlignment="1">
      <alignment horizontal="right"/>
    </xf>
    <xf numFmtId="169" fontId="3" fillId="0" borderId="44" xfId="0" applyNumberFormat="1" applyFont="1" applyBorder="1" applyAlignment="1">
      <alignment horizontal="center"/>
    </xf>
    <xf numFmtId="166" fontId="3" fillId="0" borderId="44" xfId="0" applyNumberFormat="1" applyFont="1" applyBorder="1" applyAlignment="1">
      <alignment/>
    </xf>
    <xf numFmtId="166" fontId="4" fillId="0" borderId="44" xfId="0" applyNumberFormat="1" applyFont="1" applyFill="1" applyBorder="1" applyAlignment="1">
      <alignment horizontal="right"/>
    </xf>
    <xf numFmtId="164" fontId="12" fillId="0" borderId="44" xfId="0" applyFont="1" applyBorder="1" applyAlignment="1">
      <alignment horizontal="center"/>
    </xf>
    <xf numFmtId="166" fontId="12" fillId="0" borderId="44" xfId="0" applyNumberFormat="1" applyFont="1" applyBorder="1" applyAlignment="1">
      <alignment horizontal="right"/>
    </xf>
    <xf numFmtId="169" fontId="12" fillId="0" borderId="44" xfId="0" applyNumberFormat="1" applyFont="1" applyBorder="1" applyAlignment="1">
      <alignment horizontal="center"/>
    </xf>
    <xf numFmtId="166" fontId="12" fillId="0" borderId="44" xfId="0" applyNumberFormat="1" applyFont="1" applyBorder="1" applyAlignment="1">
      <alignment/>
    </xf>
    <xf numFmtId="166" fontId="11" fillId="0" borderId="44" xfId="0" applyNumberFormat="1" applyFont="1" applyFill="1" applyBorder="1" applyAlignment="1">
      <alignment horizontal="right"/>
    </xf>
    <xf numFmtId="164" fontId="4" fillId="0" borderId="44" xfId="0" applyFont="1" applyBorder="1" applyAlignment="1">
      <alignment/>
    </xf>
    <xf numFmtId="164" fontId="11" fillId="0" borderId="44" xfId="0" applyFont="1" applyBorder="1" applyAlignment="1">
      <alignment horizontal="center"/>
    </xf>
    <xf numFmtId="166" fontId="11" fillId="0" borderId="44" xfId="0" applyNumberFormat="1" applyFont="1" applyBorder="1" applyAlignment="1">
      <alignment horizontal="right"/>
    </xf>
    <xf numFmtId="169" fontId="11" fillId="0" borderId="44" xfId="0" applyNumberFormat="1" applyFont="1" applyBorder="1" applyAlignment="1">
      <alignment horizontal="center"/>
    </xf>
    <xf numFmtId="166" fontId="11" fillId="0" borderId="44" xfId="0" applyNumberFormat="1" applyFont="1" applyBorder="1" applyAlignment="1">
      <alignment/>
    </xf>
    <xf numFmtId="164" fontId="27" fillId="0" borderId="76" xfId="0" applyFont="1" applyBorder="1" applyAlignment="1">
      <alignment horizontal="center" vertical="center" wrapText="1"/>
    </xf>
    <xf numFmtId="164" fontId="27" fillId="0" borderId="77" xfId="0" applyFont="1" applyBorder="1" applyAlignment="1">
      <alignment horizontal="center" vertical="center" wrapText="1"/>
    </xf>
    <xf numFmtId="164" fontId="27" fillId="0" borderId="78" xfId="0" applyFont="1" applyBorder="1" applyAlignment="1">
      <alignment horizontal="center" vertical="center" wrapText="1"/>
    </xf>
    <xf numFmtId="164" fontId="30" fillId="0" borderId="79" xfId="0" applyFont="1" applyBorder="1" applyAlignment="1">
      <alignment/>
    </xf>
    <xf numFmtId="164" fontId="30" fillId="0" borderId="37" xfId="0" applyFont="1" applyBorder="1" applyAlignment="1">
      <alignment horizontal="center"/>
    </xf>
    <xf numFmtId="166" fontId="30" fillId="0" borderId="37" xfId="0" applyNumberFormat="1" applyFont="1" applyBorder="1" applyAlignment="1">
      <alignment/>
    </xf>
    <xf numFmtId="166" fontId="30" fillId="0" borderId="80" xfId="0" applyNumberFormat="1" applyFont="1" applyBorder="1" applyAlignment="1">
      <alignment/>
    </xf>
    <xf numFmtId="164" fontId="30" fillId="0" borderId="81" xfId="0" applyFont="1" applyBorder="1" applyAlignment="1">
      <alignment/>
    </xf>
    <xf numFmtId="164" fontId="30" fillId="0" borderId="38" xfId="0" applyFont="1" applyBorder="1" applyAlignment="1">
      <alignment horizontal="center"/>
    </xf>
    <xf numFmtId="166" fontId="30" fillId="0" borderId="38" xfId="0" applyNumberFormat="1" applyFont="1" applyBorder="1" applyAlignment="1">
      <alignment/>
    </xf>
    <xf numFmtId="166" fontId="30" fillId="0" borderId="82" xfId="0" applyNumberFormat="1" applyFont="1" applyBorder="1" applyAlignment="1">
      <alignment/>
    </xf>
    <xf numFmtId="164" fontId="30" fillId="0" borderId="83" xfId="0" applyFont="1" applyBorder="1" applyAlignment="1">
      <alignment/>
    </xf>
    <xf numFmtId="164" fontId="30" fillId="0" borderId="40" xfId="0" applyFont="1" applyBorder="1" applyAlignment="1">
      <alignment horizontal="center"/>
    </xf>
    <xf numFmtId="166" fontId="30" fillId="0" borderId="40" xfId="0" applyNumberFormat="1" applyFont="1" applyBorder="1" applyAlignment="1">
      <alignment/>
    </xf>
    <xf numFmtId="166" fontId="30" fillId="0" borderId="84" xfId="0" applyNumberFormat="1" applyFont="1" applyBorder="1" applyAlignment="1">
      <alignment/>
    </xf>
    <xf numFmtId="164" fontId="27" fillId="0" borderId="85" xfId="0" applyFont="1" applyBorder="1" applyAlignment="1">
      <alignment/>
    </xf>
    <xf numFmtId="164" fontId="30" fillId="0" borderId="86" xfId="0" applyFont="1" applyBorder="1" applyAlignment="1">
      <alignment horizontal="center"/>
    </xf>
    <xf numFmtId="166" fontId="27" fillId="0" borderId="86" xfId="0" applyNumberFormat="1" applyFont="1" applyBorder="1" applyAlignment="1">
      <alignment/>
    </xf>
    <xf numFmtId="166" fontId="27" fillId="0" borderId="87" xfId="0" applyNumberFormat="1" applyFont="1" applyBorder="1" applyAlignment="1">
      <alignment/>
    </xf>
    <xf numFmtId="166" fontId="30" fillId="0" borderId="0" xfId="0" applyNumberFormat="1" applyFont="1" applyAlignment="1">
      <alignment/>
    </xf>
    <xf numFmtId="164" fontId="45" fillId="0" borderId="0" xfId="0" applyFont="1" applyAlignment="1">
      <alignment/>
    </xf>
    <xf numFmtId="164" fontId="19" fillId="0" borderId="47" xfId="0" applyFont="1" applyBorder="1" applyAlignment="1">
      <alignment horizontal="center" vertical="center" wrapText="1"/>
    </xf>
    <xf numFmtId="164" fontId="46" fillId="0" borderId="12" xfId="0" applyFont="1" applyBorder="1" applyAlignment="1">
      <alignment horizontal="center" vertical="center" wrapText="1"/>
    </xf>
    <xf numFmtId="164" fontId="19" fillId="0" borderId="12" xfId="0" applyFont="1" applyBorder="1" applyAlignment="1">
      <alignment horizontal="center" vertical="center" wrapText="1"/>
    </xf>
    <xf numFmtId="164" fontId="19" fillId="0" borderId="48" xfId="0" applyFont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center" wrapText="1"/>
    </xf>
    <xf numFmtId="164" fontId="39" fillId="0" borderId="23" xfId="0" applyFont="1" applyBorder="1" applyAlignment="1">
      <alignment vertical="top" wrapText="1"/>
    </xf>
    <xf numFmtId="164" fontId="39" fillId="0" borderId="13" xfId="0" applyFont="1" applyBorder="1" applyAlignment="1">
      <alignment horizontal="center" vertical="top" wrapText="1"/>
    </xf>
    <xf numFmtId="166" fontId="39" fillId="0" borderId="13" xfId="0" applyNumberFormat="1" applyFont="1" applyBorder="1" applyAlignment="1">
      <alignment horizontal="right" vertical="top" wrapText="1"/>
    </xf>
    <xf numFmtId="166" fontId="19" fillId="0" borderId="65" xfId="0" applyNumberFormat="1" applyFont="1" applyBorder="1" applyAlignment="1">
      <alignment horizontal="right" vertical="top" wrapText="1"/>
    </xf>
    <xf numFmtId="164" fontId="19" fillId="2" borderId="23" xfId="0" applyFont="1" applyFill="1" applyBorder="1" applyAlignment="1">
      <alignment vertical="top" wrapText="1"/>
    </xf>
    <xf numFmtId="166" fontId="19" fillId="2" borderId="13" xfId="0" applyNumberFormat="1" applyFont="1" applyFill="1" applyBorder="1" applyAlignment="1">
      <alignment horizontal="right" vertical="top" wrapText="1"/>
    </xf>
    <xf numFmtId="164" fontId="39" fillId="2" borderId="23" xfId="0" applyFont="1" applyFill="1" applyBorder="1" applyAlignment="1">
      <alignment vertical="top" wrapText="1"/>
    </xf>
    <xf numFmtId="166" fontId="39" fillId="2" borderId="13" xfId="0" applyNumberFormat="1" applyFont="1" applyFill="1" applyBorder="1" applyAlignment="1">
      <alignment horizontal="right" vertical="top" wrapText="1"/>
    </xf>
    <xf numFmtId="166" fontId="39" fillId="0" borderId="65" xfId="0" applyNumberFormat="1" applyFont="1" applyBorder="1" applyAlignment="1">
      <alignment horizontal="right" vertical="top" wrapText="1"/>
    </xf>
    <xf numFmtId="164" fontId="19" fillId="0" borderId="23" xfId="0" applyFont="1" applyBorder="1" applyAlignment="1">
      <alignment vertical="top" wrapText="1"/>
    </xf>
    <xf numFmtId="166" fontId="19" fillId="0" borderId="13" xfId="0" applyNumberFormat="1" applyFont="1" applyBorder="1" applyAlignment="1">
      <alignment horizontal="right" vertical="top" wrapText="1"/>
    </xf>
    <xf numFmtId="166" fontId="19" fillId="2" borderId="49" xfId="0" applyNumberFormat="1" applyFont="1" applyFill="1" applyBorder="1" applyAlignment="1">
      <alignment horizontal="right" vertical="top" wrapText="1"/>
    </xf>
    <xf numFmtId="164" fontId="39" fillId="0" borderId="25" xfId="0" applyFont="1" applyBorder="1" applyAlignment="1">
      <alignment vertical="top" wrapText="1"/>
    </xf>
    <xf numFmtId="166" fontId="39" fillId="0" borderId="20" xfId="0" applyNumberFormat="1" applyFont="1" applyBorder="1" applyAlignment="1">
      <alignment horizontal="right" vertical="top" wrapText="1"/>
    </xf>
    <xf numFmtId="164" fontId="19" fillId="0" borderId="25" xfId="0" applyFont="1" applyBorder="1" applyAlignment="1">
      <alignment vertical="top" wrapText="1"/>
    </xf>
    <xf numFmtId="166" fontId="19" fillId="0" borderId="20" xfId="0" applyNumberFormat="1" applyFont="1" applyBorder="1" applyAlignment="1">
      <alignment horizontal="right" vertical="top" wrapText="1"/>
    </xf>
    <xf numFmtId="164" fontId="39" fillId="0" borderId="13" xfId="0" applyFont="1" applyBorder="1" applyAlignment="1">
      <alignment horizontal="center" vertical="center" wrapText="1"/>
    </xf>
    <xf numFmtId="166" fontId="39" fillId="0" borderId="20" xfId="0" applyNumberFormat="1" applyFont="1" applyBorder="1" applyAlignment="1">
      <alignment horizontal="right" vertical="center" wrapText="1"/>
    </xf>
    <xf numFmtId="164" fontId="39" fillId="0" borderId="30" xfId="0" applyFont="1" applyBorder="1" applyAlignment="1">
      <alignment vertical="top" wrapText="1"/>
    </xf>
    <xf numFmtId="164" fontId="39" fillId="0" borderId="88" xfId="0" applyFont="1" applyBorder="1" applyAlignment="1">
      <alignment horizontal="center" vertical="top" wrapText="1"/>
    </xf>
    <xf numFmtId="166" fontId="19" fillId="0" borderId="88" xfId="0" applyNumberFormat="1" applyFont="1" applyBorder="1" applyAlignment="1">
      <alignment horizontal="right" vertical="top" wrapText="1"/>
    </xf>
    <xf numFmtId="166" fontId="19" fillId="0" borderId="32" xfId="0" applyNumberFormat="1" applyFont="1" applyBorder="1" applyAlignment="1">
      <alignment horizontal="right" vertical="top" wrapText="1"/>
    </xf>
    <xf numFmtId="164" fontId="3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54" xfId="0" applyFont="1" applyBorder="1" applyAlignment="1">
      <alignment horizontal="center" vertical="center" wrapText="1"/>
    </xf>
    <xf numFmtId="164" fontId="3" fillId="0" borderId="55" xfId="0" applyFont="1" applyBorder="1" applyAlignment="1">
      <alignment horizontal="center" vertical="center" wrapText="1"/>
    </xf>
    <xf numFmtId="164" fontId="3" fillId="0" borderId="89" xfId="0" applyFont="1" applyBorder="1" applyAlignment="1">
      <alignment horizontal="center" vertical="center" wrapText="1"/>
    </xf>
    <xf numFmtId="164" fontId="3" fillId="0" borderId="90" xfId="0" applyFont="1" applyBorder="1" applyAlignment="1">
      <alignment horizontal="center"/>
    </xf>
    <xf numFmtId="164" fontId="3" fillId="0" borderId="48" xfId="0" applyFont="1" applyBorder="1" applyAlignment="1">
      <alignment horizontal="center"/>
    </xf>
    <xf numFmtId="164" fontId="4" fillId="0" borderId="56" xfId="0" applyFont="1" applyBorder="1" applyAlignment="1">
      <alignment horizontal="center" vertical="center" wrapText="1"/>
    </xf>
    <xf numFmtId="164" fontId="3" fillId="0" borderId="24" xfId="0" applyFont="1" applyBorder="1" applyAlignment="1">
      <alignment horizontal="center"/>
    </xf>
    <xf numFmtId="164" fontId="3" fillId="0" borderId="74" xfId="0" applyFont="1" applyBorder="1" applyAlignment="1">
      <alignment horizontal="center" vertical="center" wrapText="1"/>
    </xf>
    <xf numFmtId="164" fontId="3" fillId="0" borderId="59" xfId="0" applyFont="1" applyBorder="1" applyAlignment="1">
      <alignment horizontal="center"/>
    </xf>
    <xf numFmtId="164" fontId="3" fillId="0" borderId="31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74" xfId="0" applyFont="1" applyBorder="1" applyAlignment="1">
      <alignment horizontal="center"/>
    </xf>
    <xf numFmtId="166" fontId="4" fillId="0" borderId="91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164" fontId="3" fillId="0" borderId="52" xfId="0" applyFont="1" applyBorder="1" applyAlignment="1">
      <alignment/>
    </xf>
    <xf numFmtId="166" fontId="3" fillId="0" borderId="91" xfId="0" applyNumberFormat="1" applyFont="1" applyBorder="1" applyAlignment="1">
      <alignment/>
    </xf>
    <xf numFmtId="166" fontId="3" fillId="0" borderId="22" xfId="0" applyNumberFormat="1" applyFont="1" applyBorder="1" applyAlignment="1">
      <alignment horizontal="right"/>
    </xf>
    <xf numFmtId="166" fontId="4" fillId="0" borderId="92" xfId="0" applyNumberFormat="1" applyFont="1" applyBorder="1" applyAlignment="1">
      <alignment/>
    </xf>
    <xf numFmtId="166" fontId="3" fillId="0" borderId="27" xfId="0" applyNumberFormat="1" applyFont="1" applyBorder="1" applyAlignment="1">
      <alignment/>
    </xf>
    <xf numFmtId="166" fontId="3" fillId="0" borderId="50" xfId="0" applyNumberFormat="1" applyFont="1" applyBorder="1" applyAlignment="1">
      <alignment/>
    </xf>
    <xf numFmtId="164" fontId="4" fillId="0" borderId="49" xfId="0" applyFont="1" applyBorder="1" applyAlignment="1">
      <alignment/>
    </xf>
    <xf numFmtId="166" fontId="4" fillId="0" borderId="93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4" fontId="15" fillId="0" borderId="0" xfId="0" applyFont="1" applyAlignment="1">
      <alignment/>
    </xf>
    <xf numFmtId="164" fontId="17" fillId="0" borderId="0" xfId="0" applyFont="1" applyAlignment="1">
      <alignment/>
    </xf>
    <xf numFmtId="166" fontId="15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64" fontId="17" fillId="0" borderId="47" xfId="0" applyFont="1" applyBorder="1" applyAlignment="1">
      <alignment horizontal="center" vertical="center"/>
    </xf>
    <xf numFmtId="164" fontId="17" fillId="0" borderId="2" xfId="0" applyFont="1" applyBorder="1" applyAlignment="1">
      <alignment horizontal="center"/>
    </xf>
    <xf numFmtId="164" fontId="17" fillId="0" borderId="3" xfId="0" applyFont="1" applyBorder="1" applyAlignment="1">
      <alignment horizontal="center"/>
    </xf>
    <xf numFmtId="164" fontId="17" fillId="0" borderId="23" xfId="0" applyFont="1" applyBorder="1" applyAlignment="1">
      <alignment horizontal="center" vertical="center"/>
    </xf>
    <xf numFmtId="164" fontId="17" fillId="0" borderId="15" xfId="0" applyFont="1" applyBorder="1" applyAlignment="1">
      <alignment horizontal="center"/>
    </xf>
    <xf numFmtId="164" fontId="17" fillId="0" borderId="15" xfId="0" applyFont="1" applyBorder="1" applyAlignment="1">
      <alignment/>
    </xf>
    <xf numFmtId="166" fontId="17" fillId="0" borderId="20" xfId="0" applyNumberFormat="1" applyFont="1" applyBorder="1" applyAlignment="1">
      <alignment/>
    </xf>
    <xf numFmtId="166" fontId="17" fillId="0" borderId="21" xfId="0" applyNumberFormat="1" applyFont="1" applyBorder="1" applyAlignment="1">
      <alignment/>
    </xf>
    <xf numFmtId="164" fontId="17" fillId="0" borderId="20" xfId="0" applyFont="1" applyBorder="1" applyAlignment="1">
      <alignment horizontal="left"/>
    </xf>
    <xf numFmtId="164" fontId="17" fillId="0" borderId="49" xfId="0" applyFont="1" applyBorder="1" applyAlignment="1">
      <alignment/>
    </xf>
    <xf numFmtId="164" fontId="17" fillId="0" borderId="23" xfId="0" applyFont="1" applyBorder="1" applyAlignment="1">
      <alignment horizontal="left" vertical="center"/>
    </xf>
    <xf numFmtId="164" fontId="15" fillId="0" borderId="15" xfId="0" applyFont="1" applyBorder="1" applyAlignment="1">
      <alignment/>
    </xf>
    <xf numFmtId="166" fontId="15" fillId="0" borderId="20" xfId="0" applyNumberFormat="1" applyFont="1" applyBorder="1" applyAlignment="1">
      <alignment/>
    </xf>
    <xf numFmtId="164" fontId="15" fillId="0" borderId="49" xfId="0" applyFont="1" applyBorder="1" applyAlignment="1">
      <alignment/>
    </xf>
    <xf numFmtId="164" fontId="15" fillId="0" borderId="23" xfId="0" applyFont="1" applyBorder="1" applyAlignment="1">
      <alignment/>
    </xf>
    <xf numFmtId="166" fontId="15" fillId="0" borderId="21" xfId="0" applyNumberFormat="1" applyFont="1" applyBorder="1" applyAlignment="1">
      <alignment horizontal="right"/>
    </xf>
    <xf numFmtId="166" fontId="15" fillId="0" borderId="21" xfId="0" applyNumberFormat="1" applyFont="1" applyBorder="1" applyAlignment="1">
      <alignment/>
    </xf>
    <xf numFmtId="166" fontId="15" fillId="0" borderId="21" xfId="0" applyNumberFormat="1" applyFont="1" applyBorder="1" applyAlignment="1">
      <alignment/>
    </xf>
    <xf numFmtId="166" fontId="15" fillId="0" borderId="49" xfId="0" applyNumberFormat="1" applyFont="1" applyBorder="1" applyAlignment="1">
      <alignment/>
    </xf>
    <xf numFmtId="166" fontId="15" fillId="0" borderId="21" xfId="0" applyNumberFormat="1" applyFont="1" applyFill="1" applyBorder="1" applyAlignment="1">
      <alignment/>
    </xf>
    <xf numFmtId="166" fontId="18" fillId="0" borderId="21" xfId="0" applyNumberFormat="1" applyFont="1" applyBorder="1" applyAlignment="1">
      <alignment horizontal="right"/>
    </xf>
    <xf numFmtId="166" fontId="18" fillId="0" borderId="20" xfId="0" applyNumberFormat="1" applyFont="1" applyBorder="1" applyAlignment="1">
      <alignment/>
    </xf>
    <xf numFmtId="164" fontId="47" fillId="0" borderId="0" xfId="0" applyFont="1" applyBorder="1" applyAlignment="1">
      <alignment/>
    </xf>
    <xf numFmtId="166" fontId="21" fillId="0" borderId="21" xfId="0" applyNumberFormat="1" applyFont="1" applyBorder="1" applyAlignment="1">
      <alignment horizontal="right"/>
    </xf>
    <xf numFmtId="166" fontId="6" fillId="0" borderId="49" xfId="0" applyNumberFormat="1" applyFont="1" applyBorder="1" applyAlignment="1">
      <alignment/>
    </xf>
    <xf numFmtId="164" fontId="48" fillId="0" borderId="23" xfId="0" applyFont="1" applyBorder="1" applyAlignment="1">
      <alignment/>
    </xf>
    <xf numFmtId="166" fontId="48" fillId="0" borderId="21" xfId="0" applyNumberFormat="1" applyFont="1" applyBorder="1" applyAlignment="1">
      <alignment/>
    </xf>
    <xf numFmtId="164" fontId="48" fillId="0" borderId="23" xfId="0" applyFont="1" applyBorder="1" applyAlignment="1">
      <alignment wrapText="1"/>
    </xf>
    <xf numFmtId="166" fontId="15" fillId="0" borderId="21" xfId="0" applyNumberFormat="1" applyFont="1" applyBorder="1" applyAlignment="1">
      <alignment horizontal="center"/>
    </xf>
    <xf numFmtId="166" fontId="15" fillId="0" borderId="20" xfId="0" applyNumberFormat="1" applyFont="1" applyFill="1" applyBorder="1" applyAlignment="1">
      <alignment/>
    </xf>
    <xf numFmtId="164" fontId="15" fillId="0" borderId="23" xfId="0" applyFont="1" applyFill="1" applyBorder="1" applyAlignment="1">
      <alignment/>
    </xf>
    <xf numFmtId="166" fontId="15" fillId="0" borderId="21" xfId="0" applyNumberFormat="1" applyFont="1" applyFill="1" applyBorder="1" applyAlignment="1">
      <alignment horizontal="right"/>
    </xf>
    <xf numFmtId="166" fontId="15" fillId="0" borderId="21" xfId="0" applyNumberFormat="1" applyFont="1" applyFill="1" applyBorder="1" applyAlignment="1">
      <alignment/>
    </xf>
    <xf numFmtId="166" fontId="17" fillId="0" borderId="21" xfId="0" applyNumberFormat="1" applyFont="1" applyBorder="1" applyAlignment="1">
      <alignment/>
    </xf>
    <xf numFmtId="166" fontId="6" fillId="0" borderId="21" xfId="0" applyNumberFormat="1" applyFont="1" applyBorder="1" applyAlignment="1">
      <alignment/>
    </xf>
    <xf numFmtId="173" fontId="15" fillId="0" borderId="21" xfId="0" applyNumberFormat="1" applyFont="1" applyFill="1" applyBorder="1" applyAlignment="1">
      <alignment horizontal="right"/>
    </xf>
    <xf numFmtId="164" fontId="15" fillId="0" borderId="0" xfId="0" applyFont="1" applyFill="1" applyAlignment="1">
      <alignment/>
    </xf>
    <xf numFmtId="166" fontId="15" fillId="0" borderId="20" xfId="0" applyNumberFormat="1" applyFont="1" applyBorder="1" applyAlignment="1">
      <alignment horizontal="right"/>
    </xf>
    <xf numFmtId="166" fontId="15" fillId="0" borderId="20" xfId="0" applyNumberFormat="1" applyFont="1" applyFill="1" applyBorder="1" applyAlignment="1">
      <alignment horizontal="right"/>
    </xf>
    <xf numFmtId="164" fontId="15" fillId="0" borderId="20" xfId="0" applyFont="1" applyBorder="1" applyAlignment="1">
      <alignment/>
    </xf>
    <xf numFmtId="164" fontId="17" fillId="0" borderId="20" xfId="0" applyFont="1" applyBorder="1" applyAlignment="1">
      <alignment/>
    </xf>
    <xf numFmtId="164" fontId="6" fillId="0" borderId="23" xfId="0" applyFont="1" applyFill="1" applyBorder="1" applyAlignment="1">
      <alignment/>
    </xf>
    <xf numFmtId="164" fontId="3" fillId="0" borderId="20" xfId="0" applyFont="1" applyFill="1" applyBorder="1" applyAlignment="1">
      <alignment/>
    </xf>
    <xf numFmtId="166" fontId="6" fillId="0" borderId="21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166" fontId="6" fillId="0" borderId="21" xfId="0" applyNumberFormat="1" applyFont="1" applyFill="1" applyBorder="1" applyAlignment="1">
      <alignment/>
    </xf>
    <xf numFmtId="166" fontId="6" fillId="0" borderId="20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6" fontId="6" fillId="0" borderId="20" xfId="0" applyNumberFormat="1" applyFont="1" applyFill="1" applyBorder="1" applyAlignment="1">
      <alignment horizontal="right"/>
    </xf>
    <xf numFmtId="166" fontId="6" fillId="0" borderId="20" xfId="0" applyNumberFormat="1" applyFont="1" applyFill="1" applyBorder="1" applyAlignment="1">
      <alignment/>
    </xf>
    <xf numFmtId="166" fontId="6" fillId="0" borderId="20" xfId="0" applyNumberFormat="1" applyFont="1" applyFill="1" applyBorder="1" applyAlignment="1">
      <alignment/>
    </xf>
    <xf numFmtId="164" fontId="6" fillId="0" borderId="0" xfId="0" applyFont="1" applyAlignment="1">
      <alignment/>
    </xf>
    <xf numFmtId="166" fontId="48" fillId="0" borderId="20" xfId="0" applyNumberFormat="1" applyFont="1" applyBorder="1" applyAlignment="1">
      <alignment horizontal="right"/>
    </xf>
    <xf numFmtId="166" fontId="48" fillId="0" borderId="20" xfId="0" applyNumberFormat="1" applyFont="1" applyBorder="1" applyAlignment="1">
      <alignment/>
    </xf>
    <xf numFmtId="166" fontId="48" fillId="0" borderId="20" xfId="0" applyNumberFormat="1" applyFont="1" applyBorder="1" applyAlignment="1">
      <alignment/>
    </xf>
    <xf numFmtId="164" fontId="48" fillId="0" borderId="0" xfId="0" applyFont="1" applyAlignment="1">
      <alignment/>
    </xf>
    <xf numFmtId="164" fontId="29" fillId="0" borderId="30" xfId="0" applyFont="1" applyBorder="1" applyAlignment="1">
      <alignment/>
    </xf>
    <xf numFmtId="166" fontId="47" fillId="0" borderId="7" xfId="0" applyNumberFormat="1" applyFont="1" applyBorder="1" applyAlignment="1">
      <alignment horizontal="right"/>
    </xf>
    <xf numFmtId="166" fontId="29" fillId="0" borderId="7" xfId="0" applyNumberFormat="1" applyFont="1" applyBorder="1" applyAlignment="1">
      <alignment horizontal="right"/>
    </xf>
    <xf numFmtId="166" fontId="49" fillId="0" borderId="7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4" fontId="49" fillId="0" borderId="0" xfId="0" applyFont="1" applyBorder="1" applyAlignment="1">
      <alignment/>
    </xf>
    <xf numFmtId="164" fontId="49" fillId="0" borderId="6" xfId="0" applyFont="1" applyBorder="1" applyAlignment="1">
      <alignment/>
    </xf>
    <xf numFmtId="164" fontId="15" fillId="0" borderId="67" xfId="0" applyFont="1" applyBorder="1" applyAlignment="1">
      <alignment/>
    </xf>
    <xf numFmtId="166" fontId="15" fillId="0" borderId="0" xfId="0" applyNumberFormat="1" applyFont="1" applyBorder="1" applyAlignment="1">
      <alignment horizontal="right"/>
    </xf>
    <xf numFmtId="166" fontId="17" fillId="0" borderId="0" xfId="0" applyNumberFormat="1" applyFont="1" applyBorder="1" applyAlignment="1">
      <alignment/>
    </xf>
    <xf numFmtId="166" fontId="15" fillId="0" borderId="0" xfId="0" applyNumberFormat="1" applyFont="1" applyBorder="1" applyAlignment="1">
      <alignment/>
    </xf>
    <xf numFmtId="166" fontId="17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4" fontId="4" fillId="0" borderId="47" xfId="0" applyFont="1" applyBorder="1" applyAlignment="1">
      <alignment horizontal="left"/>
    </xf>
    <xf numFmtId="164" fontId="0" fillId="0" borderId="3" xfId="0" applyFont="1" applyBorder="1" applyAlignment="1">
      <alignment horizontal="left"/>
    </xf>
    <xf numFmtId="164" fontId="3" fillId="0" borderId="52" xfId="0" applyFont="1" applyBorder="1" applyAlignment="1">
      <alignment horizontal="left"/>
    </xf>
    <xf numFmtId="166" fontId="3" fillId="0" borderId="17" xfId="0" applyNumberFormat="1" applyFont="1" applyBorder="1" applyAlignment="1">
      <alignment/>
    </xf>
    <xf numFmtId="166" fontId="4" fillId="0" borderId="57" xfId="0" applyNumberFormat="1" applyFont="1" applyBorder="1" applyAlignment="1">
      <alignment/>
    </xf>
    <xf numFmtId="166" fontId="3" fillId="0" borderId="57" xfId="0" applyNumberFormat="1" applyFont="1" applyBorder="1" applyAlignment="1">
      <alignment/>
    </xf>
    <xf numFmtId="164" fontId="3" fillId="0" borderId="0" xfId="0" applyFont="1" applyAlignment="1">
      <alignment horizontal="left"/>
    </xf>
    <xf numFmtId="164" fontId="6" fillId="0" borderId="0" xfId="0" applyFont="1" applyBorder="1" applyAlignment="1">
      <alignment horizontal="center"/>
    </xf>
    <xf numFmtId="164" fontId="50" fillId="0" borderId="0" xfId="0" applyFont="1" applyBorder="1" applyAlignment="1">
      <alignment horizontal="center"/>
    </xf>
    <xf numFmtId="164" fontId="50" fillId="0" borderId="0" xfId="0" applyFont="1" applyAlignment="1">
      <alignment horizontal="center"/>
    </xf>
    <xf numFmtId="164" fontId="0" fillId="0" borderId="6" xfId="0" applyBorder="1" applyAlignment="1">
      <alignment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/>
    </xf>
    <xf numFmtId="164" fontId="3" fillId="0" borderId="94" xfId="0" applyFont="1" applyBorder="1" applyAlignment="1">
      <alignment horizontal="left" vertical="top"/>
    </xf>
    <xf numFmtId="164" fontId="3" fillId="0" borderId="94" xfId="0" applyFont="1" applyBorder="1" applyAlignment="1">
      <alignment horizontal="left" vertical="top" wrapText="1"/>
    </xf>
    <xf numFmtId="166" fontId="3" fillId="0" borderId="55" xfId="0" applyNumberFormat="1" applyFont="1" applyBorder="1" applyAlignment="1">
      <alignment horizontal="center" vertical="top" wrapText="1"/>
    </xf>
    <xf numFmtId="166" fontId="3" fillId="0" borderId="56" xfId="0" applyNumberFormat="1" applyFont="1" applyBorder="1" applyAlignment="1">
      <alignment horizontal="center" vertical="top" wrapText="1"/>
    </xf>
    <xf numFmtId="164" fontId="3" fillId="0" borderId="14" xfId="0" applyFont="1" applyBorder="1" applyAlignment="1">
      <alignment/>
    </xf>
    <xf numFmtId="166" fontId="3" fillId="0" borderId="3" xfId="0" applyNumberFormat="1" applyFont="1" applyBorder="1" applyAlignment="1">
      <alignment/>
    </xf>
    <xf numFmtId="164" fontId="3" fillId="0" borderId="30" xfId="0" applyFont="1" applyBorder="1" applyAlignment="1">
      <alignment/>
    </xf>
    <xf numFmtId="166" fontId="3" fillId="0" borderId="5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4" fontId="3" fillId="0" borderId="0" xfId="0" applyFont="1" applyBorder="1" applyAlignment="1">
      <alignment horizontal="left" vertical="top"/>
    </xf>
    <xf numFmtId="164" fontId="3" fillId="0" borderId="0" xfId="0" applyFont="1" applyBorder="1" applyAlignment="1">
      <alignment horizontal="center" vertical="top"/>
    </xf>
    <xf numFmtId="166" fontId="3" fillId="0" borderId="0" xfId="0" applyNumberFormat="1" applyFont="1" applyBorder="1" applyAlignment="1">
      <alignment horizontal="center" vertical="top" wrapText="1"/>
    </xf>
    <xf numFmtId="164" fontId="3" fillId="0" borderId="95" xfId="0" applyFont="1" applyBorder="1" applyAlignment="1">
      <alignment horizontal="center" vertical="top"/>
    </xf>
    <xf numFmtId="166" fontId="3" fillId="0" borderId="48" xfId="0" applyNumberFormat="1" applyFont="1" applyBorder="1" applyAlignment="1">
      <alignment/>
    </xf>
    <xf numFmtId="166" fontId="3" fillId="0" borderId="7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96" xfId="0" applyFont="1" applyBorder="1" applyAlignment="1">
      <alignment horizontal="center"/>
    </xf>
    <xf numFmtId="166" fontId="4" fillId="0" borderId="96" xfId="0" applyNumberFormat="1" applyFont="1" applyBorder="1" applyAlignment="1">
      <alignment horizontal="center"/>
    </xf>
    <xf numFmtId="166" fontId="4" fillId="0" borderId="68" xfId="0" applyNumberFormat="1" applyFont="1" applyBorder="1" applyAlignment="1">
      <alignment horizontal="center"/>
    </xf>
    <xf numFmtId="164" fontId="4" fillId="0" borderId="64" xfId="0" applyFont="1" applyBorder="1" applyAlignment="1">
      <alignment horizontal="center"/>
    </xf>
    <xf numFmtId="164" fontId="4" fillId="0" borderId="74" xfId="0" applyFont="1" applyBorder="1" applyAlignment="1">
      <alignment horizontal="center"/>
    </xf>
    <xf numFmtId="166" fontId="4" fillId="0" borderId="74" xfId="0" applyNumberFormat="1" applyFont="1" applyBorder="1" applyAlignment="1">
      <alignment horizontal="center"/>
    </xf>
    <xf numFmtId="166" fontId="4" fillId="0" borderId="97" xfId="0" applyNumberFormat="1" applyFont="1" applyBorder="1" applyAlignment="1">
      <alignment horizontal="center"/>
    </xf>
    <xf numFmtId="164" fontId="3" fillId="0" borderId="52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6" fillId="0" borderId="20" xfId="0" applyFont="1" applyBorder="1" applyAlignment="1">
      <alignment/>
    </xf>
    <xf numFmtId="164" fontId="6" fillId="0" borderId="20" xfId="0" applyFont="1" applyBorder="1" applyAlignment="1">
      <alignment/>
    </xf>
    <xf numFmtId="166" fontId="4" fillId="0" borderId="49" xfId="0" applyNumberFormat="1" applyFont="1" applyBorder="1" applyAlignment="1">
      <alignment/>
    </xf>
    <xf numFmtId="164" fontId="3" fillId="0" borderId="23" xfId="0" applyFont="1" applyBorder="1" applyAlignment="1">
      <alignment horizontal="center" vertical="top"/>
    </xf>
    <xf numFmtId="164" fontId="3" fillId="0" borderId="20" xfId="0" applyFont="1" applyBorder="1" applyAlignment="1">
      <alignment wrapText="1"/>
    </xf>
    <xf numFmtId="164" fontId="0" fillId="0" borderId="0" xfId="0" applyFill="1" applyAlignment="1">
      <alignment/>
    </xf>
    <xf numFmtId="164" fontId="4" fillId="0" borderId="23" xfId="0" applyFont="1" applyBorder="1" applyAlignment="1">
      <alignment horizontal="center" vertical="center"/>
    </xf>
    <xf numFmtId="164" fontId="4" fillId="0" borderId="25" xfId="0" applyFont="1" applyBorder="1" applyAlignment="1">
      <alignment horizontal="center"/>
    </xf>
    <xf numFmtId="164" fontId="6" fillId="0" borderId="50" xfId="0" applyFont="1" applyBorder="1" applyAlignment="1">
      <alignment/>
    </xf>
    <xf numFmtId="166" fontId="4" fillId="0" borderId="50" xfId="0" applyNumberFormat="1" applyFont="1" applyBorder="1" applyAlignment="1">
      <alignment/>
    </xf>
    <xf numFmtId="166" fontId="4" fillId="0" borderId="57" xfId="0" applyNumberFormat="1" applyFont="1" applyBorder="1" applyAlignment="1">
      <alignment/>
    </xf>
    <xf numFmtId="164" fontId="4" fillId="0" borderId="50" xfId="0" applyFont="1" applyBorder="1" applyAlignment="1">
      <alignment/>
    </xf>
    <xf numFmtId="164" fontId="4" fillId="0" borderId="30" xfId="0" applyFont="1" applyBorder="1" applyAlignment="1">
      <alignment horizontal="center"/>
    </xf>
    <xf numFmtId="164" fontId="4" fillId="0" borderId="7" xfId="0" applyFont="1" applyBorder="1" applyAlignment="1">
      <alignment/>
    </xf>
    <xf numFmtId="164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/>
    </xf>
    <xf numFmtId="164" fontId="3" fillId="0" borderId="0" xfId="0" applyFont="1" applyAlignment="1">
      <alignment horizontal="right"/>
    </xf>
    <xf numFmtId="164" fontId="4" fillId="0" borderId="48" xfId="0" applyFont="1" applyBorder="1" applyAlignment="1">
      <alignment horizontal="center" vertical="center" wrapText="1"/>
    </xf>
    <xf numFmtId="166" fontId="4" fillId="0" borderId="48" xfId="0" applyNumberFormat="1" applyFont="1" applyBorder="1" applyAlignment="1">
      <alignment horizontal="center" vertical="top" wrapText="1"/>
    </xf>
    <xf numFmtId="166" fontId="4" fillId="0" borderId="3" xfId="0" applyNumberFormat="1" applyFont="1" applyBorder="1" applyAlignment="1">
      <alignment horizontal="center" vertical="top" wrapText="1"/>
    </xf>
    <xf numFmtId="164" fontId="3" fillId="0" borderId="20" xfId="0" applyFont="1" applyBorder="1" applyAlignment="1">
      <alignment horizontal="justify"/>
    </xf>
    <xf numFmtId="166" fontId="3" fillId="0" borderId="20" xfId="0" applyNumberFormat="1" applyFont="1" applyFill="1" applyBorder="1" applyAlignment="1">
      <alignment wrapText="1"/>
    </xf>
    <xf numFmtId="166" fontId="3" fillId="0" borderId="49" xfId="0" applyNumberFormat="1" applyFont="1" applyBorder="1" applyAlignment="1">
      <alignment wrapText="1"/>
    </xf>
    <xf numFmtId="164" fontId="3" fillId="0" borderId="20" xfId="0" applyFont="1" applyBorder="1" applyAlignment="1">
      <alignment horizontal="justify" wrapText="1"/>
    </xf>
    <xf numFmtId="164" fontId="3" fillId="0" borderId="20" xfId="0" applyFont="1" applyBorder="1" applyAlignment="1">
      <alignment horizontal="justify" vertical="top"/>
    </xf>
    <xf numFmtId="164" fontId="6" fillId="0" borderId="20" xfId="0" applyFont="1" applyBorder="1" applyAlignment="1">
      <alignment vertical="top"/>
    </xf>
    <xf numFmtId="166" fontId="4" fillId="0" borderId="20" xfId="0" applyNumberFormat="1" applyFont="1" applyFill="1" applyBorder="1" applyAlignment="1">
      <alignment wrapText="1"/>
    </xf>
    <xf numFmtId="166" fontId="4" fillId="0" borderId="49" xfId="0" applyNumberFormat="1" applyFont="1" applyBorder="1" applyAlignment="1">
      <alignment wrapText="1"/>
    </xf>
    <xf numFmtId="164" fontId="4" fillId="0" borderId="20" xfId="0" applyFont="1" applyBorder="1" applyAlignment="1">
      <alignment horizontal="justify" wrapText="1"/>
    </xf>
    <xf numFmtId="166" fontId="4" fillId="0" borderId="49" xfId="0" applyNumberFormat="1" applyFont="1" applyFill="1" applyBorder="1" applyAlignment="1">
      <alignment wrapText="1"/>
    </xf>
    <xf numFmtId="164" fontId="4" fillId="0" borderId="20" xfId="0" applyFont="1" applyBorder="1" applyAlignment="1">
      <alignment vertical="top" wrapText="1"/>
    </xf>
    <xf numFmtId="164" fontId="3" fillId="0" borderId="23" xfId="0" applyFont="1" applyFill="1" applyBorder="1" applyAlignment="1">
      <alignment horizontal="center" vertical="center"/>
    </xf>
    <xf numFmtId="164" fontId="3" fillId="0" borderId="20" xfId="0" applyFont="1" applyFill="1" applyBorder="1" applyAlignment="1">
      <alignment horizontal="justify" wrapText="1"/>
    </xf>
    <xf numFmtId="164" fontId="3" fillId="0" borderId="30" xfId="0" applyFont="1" applyBorder="1" applyAlignment="1">
      <alignment horizontal="center"/>
    </xf>
    <xf numFmtId="164" fontId="3" fillId="0" borderId="7" xfId="0" applyFont="1" applyFill="1" applyBorder="1" applyAlignment="1">
      <alignment horizontal="justify" wrapText="1"/>
    </xf>
    <xf numFmtId="166" fontId="3" fillId="0" borderId="7" xfId="0" applyNumberFormat="1" applyFont="1" applyFill="1" applyBorder="1" applyAlignment="1">
      <alignment/>
    </xf>
    <xf numFmtId="164" fontId="6" fillId="0" borderId="23" xfId="0" applyFont="1" applyBorder="1" applyAlignment="1">
      <alignment horizontal="center" vertical="center"/>
    </xf>
    <xf numFmtId="164" fontId="6" fillId="0" borderId="20" xfId="0" applyFont="1" applyBorder="1" applyAlignment="1">
      <alignment horizontal="justify" vertical="top"/>
    </xf>
    <xf numFmtId="164" fontId="3" fillId="0" borderId="20" xfId="0" applyFont="1" applyBorder="1" applyAlignment="1">
      <alignment vertical="top"/>
    </xf>
    <xf numFmtId="164" fontId="6" fillId="0" borderId="20" xfId="0" applyFont="1" applyBorder="1" applyAlignment="1">
      <alignment horizontal="justify" wrapText="1"/>
    </xf>
    <xf numFmtId="164" fontId="3" fillId="0" borderId="20" xfId="0" applyFont="1" applyBorder="1" applyAlignment="1">
      <alignment vertical="top" wrapText="1"/>
    </xf>
    <xf numFmtId="166" fontId="3" fillId="0" borderId="49" xfId="0" applyNumberFormat="1" applyFont="1" applyFill="1" applyBorder="1" applyAlignment="1">
      <alignment wrapText="1"/>
    </xf>
    <xf numFmtId="164" fontId="6" fillId="0" borderId="30" xfId="0" applyFont="1" applyBorder="1" applyAlignment="1">
      <alignment horizontal="center"/>
    </xf>
    <xf numFmtId="164" fontId="6" fillId="0" borderId="7" xfId="0" applyFont="1" applyFill="1" applyBorder="1" applyAlignment="1">
      <alignment horizontal="justify" wrapText="1"/>
    </xf>
    <xf numFmtId="166" fontId="4" fillId="0" borderId="7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74" fontId="12" fillId="0" borderId="0" xfId="0" applyNumberFormat="1" applyFont="1" applyAlignment="1">
      <alignment/>
    </xf>
    <xf numFmtId="164" fontId="12" fillId="0" borderId="0" xfId="0" applyFont="1" applyAlignment="1">
      <alignment horizontal="right"/>
    </xf>
    <xf numFmtId="164" fontId="11" fillId="0" borderId="54" xfId="0" applyFont="1" applyBorder="1" applyAlignment="1">
      <alignment horizontal="center" vertical="center" wrapText="1"/>
    </xf>
    <xf numFmtId="166" fontId="11" fillId="0" borderId="55" xfId="0" applyNumberFormat="1" applyFont="1" applyBorder="1" applyAlignment="1">
      <alignment horizontal="center" vertical="center" wrapText="1"/>
    </xf>
    <xf numFmtId="164" fontId="11" fillId="0" borderId="55" xfId="0" applyFont="1" applyBorder="1" applyAlignment="1">
      <alignment horizontal="center" vertical="center" wrapText="1"/>
    </xf>
    <xf numFmtId="164" fontId="11" fillId="0" borderId="48" xfId="0" applyFont="1" applyBorder="1" applyAlignment="1">
      <alignment horizontal="center" wrapText="1"/>
    </xf>
    <xf numFmtId="164" fontId="11" fillId="0" borderId="2" xfId="0" applyFont="1" applyBorder="1" applyAlignment="1">
      <alignment horizontal="center" wrapText="1"/>
    </xf>
    <xf numFmtId="174" fontId="11" fillId="0" borderId="3" xfId="0" applyNumberFormat="1" applyFont="1" applyBorder="1" applyAlignment="1">
      <alignment horizontal="center" wrapText="1"/>
    </xf>
    <xf numFmtId="164" fontId="11" fillId="0" borderId="7" xfId="0" applyFont="1" applyBorder="1" applyAlignment="1">
      <alignment horizontal="center" vertical="center" wrapText="1"/>
    </xf>
    <xf numFmtId="164" fontId="11" fillId="0" borderId="50" xfId="0" applyFont="1" applyBorder="1" applyAlignment="1">
      <alignment horizontal="center" vertical="center" wrapText="1"/>
    </xf>
    <xf numFmtId="164" fontId="11" fillId="0" borderId="8" xfId="0" applyFont="1" applyBorder="1" applyAlignment="1">
      <alignment horizontal="center" vertical="center" wrapText="1"/>
    </xf>
    <xf numFmtId="164" fontId="11" fillId="0" borderId="50" xfId="0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4" fontId="12" fillId="0" borderId="52" xfId="0" applyFont="1" applyBorder="1" applyAlignment="1">
      <alignment/>
    </xf>
    <xf numFmtId="166" fontId="12" fillId="0" borderId="14" xfId="0" applyNumberFormat="1" applyFont="1" applyBorder="1" applyAlignment="1">
      <alignment/>
    </xf>
    <xf numFmtId="174" fontId="12" fillId="0" borderId="14" xfId="0" applyNumberFormat="1" applyFont="1" applyBorder="1" applyAlignment="1">
      <alignment/>
    </xf>
    <xf numFmtId="171" fontId="12" fillId="0" borderId="14" xfId="0" applyNumberFormat="1" applyFont="1" applyBorder="1" applyAlignment="1">
      <alignment/>
    </xf>
    <xf numFmtId="171" fontId="12" fillId="0" borderId="15" xfId="0" applyNumberFormat="1" applyFont="1" applyBorder="1" applyAlignment="1">
      <alignment/>
    </xf>
    <xf numFmtId="174" fontId="12" fillId="0" borderId="48" xfId="0" applyNumberFormat="1" applyFont="1" applyBorder="1" applyAlignment="1">
      <alignment/>
    </xf>
    <xf numFmtId="174" fontId="12" fillId="0" borderId="3" xfId="0" applyNumberFormat="1" applyFont="1" applyBorder="1" applyAlignment="1">
      <alignment/>
    </xf>
    <xf numFmtId="174" fontId="12" fillId="0" borderId="20" xfId="0" applyNumberFormat="1" applyFont="1" applyBorder="1" applyAlignment="1">
      <alignment/>
    </xf>
    <xf numFmtId="174" fontId="12" fillId="0" borderId="49" xfId="0" applyNumberFormat="1" applyFont="1" applyBorder="1" applyAlignment="1">
      <alignment/>
    </xf>
    <xf numFmtId="174" fontId="11" fillId="0" borderId="20" xfId="0" applyNumberFormat="1" applyFont="1" applyBorder="1" applyAlignment="1">
      <alignment/>
    </xf>
    <xf numFmtId="171" fontId="11" fillId="0" borderId="14" xfId="0" applyNumberFormat="1" applyFont="1" applyBorder="1" applyAlignment="1">
      <alignment/>
    </xf>
    <xf numFmtId="171" fontId="11" fillId="0" borderId="15" xfId="0" applyNumberFormat="1" applyFont="1" applyBorder="1" applyAlignment="1">
      <alignment/>
    </xf>
    <xf numFmtId="174" fontId="11" fillId="0" borderId="49" xfId="0" applyNumberFormat="1" applyFont="1" applyBorder="1" applyAlignment="1">
      <alignment/>
    </xf>
    <xf numFmtId="164" fontId="11" fillId="0" borderId="25" xfId="0" applyFont="1" applyBorder="1" applyAlignment="1">
      <alignment/>
    </xf>
    <xf numFmtId="166" fontId="11" fillId="0" borderId="50" xfId="0" applyNumberFormat="1" applyFont="1" applyBorder="1" applyAlignment="1">
      <alignment/>
    </xf>
    <xf numFmtId="164" fontId="11" fillId="0" borderId="50" xfId="0" applyFont="1" applyBorder="1" applyAlignment="1">
      <alignment/>
    </xf>
    <xf numFmtId="171" fontId="11" fillId="0" borderId="20" xfId="0" applyNumberFormat="1" applyFont="1" applyBorder="1" applyAlignment="1">
      <alignment/>
    </xf>
    <xf numFmtId="174" fontId="11" fillId="0" borderId="7" xfId="0" applyNumberFormat="1" applyFont="1" applyBorder="1" applyAlignment="1">
      <alignment/>
    </xf>
    <xf numFmtId="171" fontId="29" fillId="0" borderId="7" xfId="0" applyNumberFormat="1" applyFont="1" applyBorder="1" applyAlignment="1">
      <alignment/>
    </xf>
    <xf numFmtId="171" fontId="29" fillId="0" borderId="8" xfId="0" applyNumberFormat="1" applyFont="1" applyBorder="1" applyAlignment="1">
      <alignment/>
    </xf>
    <xf numFmtId="174" fontId="29" fillId="0" borderId="7" xfId="0" applyNumberFormat="1" applyFont="1" applyBorder="1" applyAlignment="1">
      <alignment/>
    </xf>
    <xf numFmtId="174" fontId="29" fillId="0" borderId="10" xfId="0" applyNumberFormat="1" applyFont="1" applyBorder="1" applyAlignment="1">
      <alignment/>
    </xf>
    <xf numFmtId="174" fontId="12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4" fontId="39" fillId="0" borderId="0" xfId="0" applyFont="1" applyAlignment="1">
      <alignment wrapText="1"/>
    </xf>
    <xf numFmtId="174" fontId="39" fillId="0" borderId="0" xfId="0" applyNumberFormat="1" applyFont="1" applyAlignment="1">
      <alignment/>
    </xf>
    <xf numFmtId="174" fontId="39" fillId="0" borderId="0" xfId="0" applyNumberFormat="1" applyFont="1" applyBorder="1" applyAlignment="1">
      <alignment wrapText="1"/>
    </xf>
    <xf numFmtId="164" fontId="19" fillId="0" borderId="0" xfId="0" applyFont="1" applyAlignment="1">
      <alignment horizontal="center" wrapText="1"/>
    </xf>
    <xf numFmtId="164" fontId="11" fillId="0" borderId="47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11" fillId="0" borderId="19" xfId="0" applyFont="1" applyBorder="1" applyAlignment="1">
      <alignment horizontal="center" vertical="center" wrapText="1"/>
    </xf>
    <xf numFmtId="164" fontId="11" fillId="0" borderId="23" xfId="0" applyFont="1" applyBorder="1" applyAlignment="1">
      <alignment horizontal="center" vertical="center" wrapText="1"/>
    </xf>
    <xf numFmtId="164" fontId="11" fillId="0" borderId="20" xfId="0" applyFont="1" applyBorder="1" applyAlignment="1">
      <alignment horizontal="center" wrapText="1"/>
    </xf>
    <xf numFmtId="164" fontId="11" fillId="0" borderId="49" xfId="0" applyFont="1" applyBorder="1" applyAlignment="1">
      <alignment horizontal="center" vertical="center" wrapText="1"/>
    </xf>
    <xf numFmtId="164" fontId="12" fillId="0" borderId="19" xfId="0" applyFont="1" applyBorder="1" applyAlignment="1">
      <alignment/>
    </xf>
    <xf numFmtId="164" fontId="11" fillId="0" borderId="23" xfId="0" applyFont="1" applyBorder="1" applyAlignment="1">
      <alignment wrapText="1"/>
    </xf>
    <xf numFmtId="164" fontId="11" fillId="0" borderId="19" xfId="0" applyFont="1" applyBorder="1" applyAlignment="1">
      <alignment wrapText="1"/>
    </xf>
    <xf numFmtId="164" fontId="11" fillId="0" borderId="30" xfId="0" applyFont="1" applyBorder="1" applyAlignment="1">
      <alignment wrapText="1"/>
    </xf>
    <xf numFmtId="164" fontId="11" fillId="0" borderId="5" xfId="0" applyFont="1" applyBorder="1" applyAlignment="1">
      <alignment wrapText="1"/>
    </xf>
    <xf numFmtId="164" fontId="27" fillId="0" borderId="0" xfId="0" applyFont="1" applyAlignment="1">
      <alignment/>
    </xf>
    <xf numFmtId="164" fontId="51" fillId="0" borderId="0" xfId="0" applyFont="1" applyBorder="1" applyAlignment="1">
      <alignment horizontal="center" vertical="center"/>
    </xf>
    <xf numFmtId="164" fontId="51" fillId="0" borderId="0" xfId="0" applyFont="1" applyBorder="1" applyAlignment="1">
      <alignment horizontal="center"/>
    </xf>
    <xf numFmtId="164" fontId="30" fillId="0" borderId="0" xfId="0" applyFont="1" applyAlignment="1">
      <alignment/>
    </xf>
    <xf numFmtId="164" fontId="30" fillId="0" borderId="0" xfId="0" applyFont="1" applyAlignment="1">
      <alignment wrapText="1"/>
    </xf>
    <xf numFmtId="164" fontId="52" fillId="0" borderId="98" xfId="0" applyFont="1" applyBorder="1" applyAlignment="1">
      <alignment horizontal="center" textRotation="90"/>
    </xf>
    <xf numFmtId="164" fontId="40" fillId="0" borderId="99" xfId="0" applyFont="1" applyBorder="1" applyAlignment="1">
      <alignment horizontal="center" textRotation="90"/>
    </xf>
    <xf numFmtId="164" fontId="52" fillId="0" borderId="99" xfId="0" applyFont="1" applyBorder="1" applyAlignment="1">
      <alignment horizontal="center" vertical="center" wrapText="1"/>
    </xf>
    <xf numFmtId="164" fontId="52" fillId="0" borderId="100" xfId="0" applyFont="1" applyBorder="1" applyAlignment="1">
      <alignment horizontal="center" vertical="center" wrapText="1"/>
    </xf>
    <xf numFmtId="164" fontId="52" fillId="0" borderId="101" xfId="0" applyFont="1" applyBorder="1" applyAlignment="1">
      <alignment horizontal="center" vertical="center" wrapText="1"/>
    </xf>
    <xf numFmtId="164" fontId="52" fillId="0" borderId="102" xfId="0" applyFont="1" applyBorder="1" applyAlignment="1">
      <alignment horizontal="center" vertical="center"/>
    </xf>
    <xf numFmtId="164" fontId="52" fillId="0" borderId="103" xfId="0" applyFont="1" applyBorder="1" applyAlignment="1">
      <alignment horizontal="center" vertical="center"/>
    </xf>
    <xf numFmtId="164" fontId="52" fillId="0" borderId="104" xfId="0" applyFont="1" applyBorder="1" applyAlignment="1">
      <alignment horizontal="center" vertical="center"/>
    </xf>
    <xf numFmtId="164" fontId="52" fillId="0" borderId="105" xfId="0" applyFont="1" applyBorder="1" applyAlignment="1">
      <alignment horizontal="center" vertical="center"/>
    </xf>
    <xf numFmtId="164" fontId="52" fillId="0" borderId="44" xfId="0" applyFont="1" applyBorder="1" applyAlignment="1">
      <alignment horizontal="center" vertical="center"/>
    </xf>
    <xf numFmtId="164" fontId="52" fillId="0" borderId="106" xfId="0" applyFont="1" applyBorder="1" applyAlignment="1">
      <alignment horizontal="center" vertical="center" wrapText="1"/>
    </xf>
    <xf numFmtId="164" fontId="52" fillId="0" borderId="107" xfId="0" applyFont="1" applyBorder="1" applyAlignment="1">
      <alignment horizontal="center" vertical="center" wrapText="1"/>
    </xf>
    <xf numFmtId="164" fontId="52" fillId="0" borderId="108" xfId="0" applyFont="1" applyBorder="1" applyAlignment="1">
      <alignment horizontal="center" vertical="center" wrapText="1"/>
    </xf>
    <xf numFmtId="164" fontId="52" fillId="0" borderId="109" xfId="0" applyFont="1" applyBorder="1" applyAlignment="1">
      <alignment horizontal="center" vertical="center"/>
    </xf>
    <xf numFmtId="169" fontId="52" fillId="0" borderId="110" xfId="0" applyNumberFormat="1" applyFont="1" applyBorder="1" applyAlignment="1">
      <alignment horizontal="center"/>
    </xf>
    <xf numFmtId="164" fontId="53" fillId="0" borderId="33" xfId="0" applyFont="1" applyBorder="1" applyAlignment="1">
      <alignment horizontal="center"/>
    </xf>
    <xf numFmtId="164" fontId="53" fillId="0" borderId="33" xfId="0" applyFont="1" applyBorder="1" applyAlignment="1">
      <alignment wrapText="1"/>
    </xf>
    <xf numFmtId="164" fontId="52" fillId="0" borderId="33" xfId="0" applyFont="1" applyBorder="1" applyAlignment="1">
      <alignment wrapText="1"/>
    </xf>
    <xf numFmtId="166" fontId="53" fillId="0" borderId="33" xfId="0" applyNumberFormat="1" applyFont="1" applyBorder="1" applyAlignment="1">
      <alignment wrapText="1"/>
    </xf>
    <xf numFmtId="166" fontId="52" fillId="0" borderId="72" xfId="0" applyNumberFormat="1" applyFont="1" applyBorder="1" applyAlignment="1">
      <alignment horizontal="right"/>
    </xf>
    <xf numFmtId="166" fontId="52" fillId="0" borderId="111" xfId="0" applyNumberFormat="1" applyFont="1" applyBorder="1" applyAlignment="1">
      <alignment horizontal="right"/>
    </xf>
    <xf numFmtId="166" fontId="52" fillId="0" borderId="112" xfId="0" applyNumberFormat="1" applyFont="1" applyBorder="1" applyAlignment="1">
      <alignment horizontal="right"/>
    </xf>
    <xf numFmtId="166" fontId="52" fillId="0" borderId="33" xfId="0" applyNumberFormat="1" applyFont="1" applyBorder="1" applyAlignment="1">
      <alignment/>
    </xf>
    <xf numFmtId="169" fontId="52" fillId="0" borderId="33" xfId="0" applyNumberFormat="1" applyFont="1" applyBorder="1" applyAlignment="1">
      <alignment horizontal="left" wrapText="1" shrinkToFit="1"/>
    </xf>
    <xf numFmtId="166" fontId="52" fillId="0" borderId="111" xfId="0" applyNumberFormat="1" applyFont="1" applyBorder="1" applyAlignment="1">
      <alignment/>
    </xf>
    <xf numFmtId="166" fontId="52" fillId="0" borderId="112" xfId="0" applyNumberFormat="1" applyFont="1" applyBorder="1" applyAlignment="1">
      <alignment/>
    </xf>
    <xf numFmtId="166" fontId="52" fillId="0" borderId="33" xfId="0" applyNumberFormat="1" applyFont="1" applyFill="1" applyBorder="1" applyAlignment="1">
      <alignment/>
    </xf>
    <xf numFmtId="166" fontId="52" fillId="0" borderId="113" xfId="0" applyNumberFormat="1" applyFont="1" applyFill="1" applyBorder="1" applyAlignment="1">
      <alignment/>
    </xf>
    <xf numFmtId="166" fontId="52" fillId="0" borderId="72" xfId="0" applyNumberFormat="1" applyFont="1" applyFill="1" applyBorder="1" applyAlignment="1">
      <alignment/>
    </xf>
    <xf numFmtId="166" fontId="52" fillId="0" borderId="111" xfId="0" applyNumberFormat="1" applyFont="1" applyFill="1" applyBorder="1" applyAlignment="1">
      <alignment/>
    </xf>
    <xf numFmtId="166" fontId="52" fillId="0" borderId="114" xfId="0" applyNumberFormat="1" applyFont="1" applyFill="1" applyBorder="1" applyAlignment="1">
      <alignment/>
    </xf>
    <xf numFmtId="169" fontId="52" fillId="0" borderId="115" xfId="0" applyNumberFormat="1" applyFont="1" applyBorder="1" applyAlignment="1">
      <alignment horizontal="center"/>
    </xf>
    <xf numFmtId="164" fontId="53" fillId="0" borderId="38" xfId="0" applyFont="1" applyBorder="1" applyAlignment="1">
      <alignment horizontal="center"/>
    </xf>
    <xf numFmtId="164" fontId="53" fillId="0" borderId="38" xfId="0" applyFont="1" applyBorder="1" applyAlignment="1">
      <alignment wrapText="1"/>
    </xf>
    <xf numFmtId="164" fontId="53" fillId="0" borderId="38" xfId="0" applyFont="1" applyBorder="1" applyAlignment="1">
      <alignment wrapText="1" shrinkToFit="1"/>
    </xf>
    <xf numFmtId="164" fontId="52" fillId="0" borderId="38" xfId="0" applyFont="1" applyBorder="1" applyAlignment="1">
      <alignment wrapText="1"/>
    </xf>
    <xf numFmtId="166" fontId="53" fillId="0" borderId="38" xfId="0" applyNumberFormat="1" applyFont="1" applyBorder="1" applyAlignment="1">
      <alignment wrapText="1"/>
    </xf>
    <xf numFmtId="166" fontId="52" fillId="0" borderId="20" xfId="0" applyNumberFormat="1" applyFont="1" applyBorder="1" applyAlignment="1">
      <alignment horizontal="right"/>
    </xf>
    <xf numFmtId="166" fontId="52" fillId="0" borderId="21" xfId="0" applyNumberFormat="1" applyFont="1" applyBorder="1" applyAlignment="1">
      <alignment horizontal="right"/>
    </xf>
    <xf numFmtId="166" fontId="52" fillId="0" borderId="116" xfId="0" applyNumberFormat="1" applyFont="1" applyBorder="1" applyAlignment="1">
      <alignment horizontal="right"/>
    </xf>
    <xf numFmtId="166" fontId="52" fillId="0" borderId="38" xfId="0" applyNumberFormat="1" applyFont="1" applyBorder="1" applyAlignment="1">
      <alignment/>
    </xf>
    <xf numFmtId="169" fontId="52" fillId="0" borderId="38" xfId="0" applyNumberFormat="1" applyFont="1" applyBorder="1" applyAlignment="1">
      <alignment horizontal="left" wrapText="1" shrinkToFit="1"/>
    </xf>
    <xf numFmtId="166" fontId="52" fillId="0" borderId="21" xfId="0" applyNumberFormat="1" applyFont="1" applyBorder="1" applyAlignment="1">
      <alignment/>
    </xf>
    <xf numFmtId="166" fontId="52" fillId="0" borderId="116" xfId="0" applyNumberFormat="1" applyFont="1" applyBorder="1" applyAlignment="1">
      <alignment/>
    </xf>
    <xf numFmtId="166" fontId="52" fillId="0" borderId="38" xfId="0" applyNumberFormat="1" applyFont="1" applyFill="1" applyBorder="1" applyAlignment="1">
      <alignment/>
    </xf>
    <xf numFmtId="166" fontId="52" fillId="0" borderId="117" xfId="0" applyNumberFormat="1" applyFont="1" applyFill="1" applyBorder="1" applyAlignment="1">
      <alignment/>
    </xf>
    <xf numFmtId="166" fontId="52" fillId="0" borderId="20" xfId="0" applyNumberFormat="1" applyFont="1" applyFill="1" applyBorder="1" applyAlignment="1">
      <alignment/>
    </xf>
    <xf numFmtId="166" fontId="52" fillId="0" borderId="116" xfId="0" applyNumberFormat="1" applyFont="1" applyFill="1" applyBorder="1" applyAlignment="1">
      <alignment/>
    </xf>
    <xf numFmtId="166" fontId="52" fillId="0" borderId="118" xfId="0" applyNumberFormat="1" applyFont="1" applyFill="1" applyBorder="1" applyAlignment="1">
      <alignment/>
    </xf>
    <xf numFmtId="166" fontId="52" fillId="0" borderId="20" xfId="0" applyNumberFormat="1" applyFont="1" applyBorder="1" applyAlignment="1">
      <alignment/>
    </xf>
    <xf numFmtId="166" fontId="52" fillId="0" borderId="38" xfId="0" applyNumberFormat="1" applyFont="1" applyBorder="1" applyAlignment="1">
      <alignment horizontal="right"/>
    </xf>
    <xf numFmtId="166" fontId="53" fillId="0" borderId="38" xfId="0" applyNumberFormat="1" applyFont="1" applyBorder="1" applyAlignment="1">
      <alignment horizontal="right" wrapText="1"/>
    </xf>
    <xf numFmtId="166" fontId="52" fillId="0" borderId="21" xfId="0" applyNumberFormat="1" applyFont="1" applyBorder="1" applyAlignment="1">
      <alignment horizontal="right" wrapText="1"/>
    </xf>
    <xf numFmtId="166" fontId="52" fillId="0" borderId="116" xfId="0" applyNumberFormat="1" applyFont="1" applyBorder="1" applyAlignment="1">
      <alignment horizontal="right" wrapText="1"/>
    </xf>
    <xf numFmtId="166" fontId="52" fillId="0" borderId="38" xfId="0" applyNumberFormat="1" applyFont="1" applyBorder="1" applyAlignment="1">
      <alignment horizontal="right" wrapText="1"/>
    </xf>
    <xf numFmtId="167" fontId="53" fillId="0" borderId="38" xfId="0" applyNumberFormat="1" applyFont="1" applyBorder="1" applyAlignment="1">
      <alignment horizontal="right" wrapText="1"/>
    </xf>
    <xf numFmtId="167" fontId="52" fillId="0" borderId="21" xfId="0" applyNumberFormat="1" applyFont="1" applyBorder="1" applyAlignment="1">
      <alignment horizontal="right" wrapText="1"/>
    </xf>
    <xf numFmtId="167" fontId="52" fillId="0" borderId="116" xfId="0" applyNumberFormat="1" applyFont="1" applyBorder="1" applyAlignment="1">
      <alignment horizontal="right" wrapText="1"/>
    </xf>
    <xf numFmtId="166" fontId="52" fillId="0" borderId="38" xfId="0" applyNumberFormat="1" applyFont="1" applyBorder="1" applyAlignment="1">
      <alignment wrapText="1"/>
    </xf>
    <xf numFmtId="164" fontId="53" fillId="0" borderId="119" xfId="0" applyFont="1" applyBorder="1" applyAlignment="1">
      <alignment wrapText="1" shrinkToFit="1"/>
    </xf>
    <xf numFmtId="164" fontId="52" fillId="0" borderId="0" xfId="0" applyFont="1" applyBorder="1" applyAlignment="1">
      <alignment wrapText="1"/>
    </xf>
    <xf numFmtId="166" fontId="52" fillId="0" borderId="0" xfId="0" applyNumberFormat="1" applyFont="1" applyBorder="1" applyAlignment="1">
      <alignment/>
    </xf>
    <xf numFmtId="164" fontId="52" fillId="0" borderId="120" xfId="0" applyFont="1" applyBorder="1" applyAlignment="1">
      <alignment horizontal="center"/>
    </xf>
    <xf numFmtId="164" fontId="52" fillId="0" borderId="121" xfId="0" applyFont="1" applyBorder="1" applyAlignment="1">
      <alignment/>
    </xf>
    <xf numFmtId="164" fontId="52" fillId="0" borderId="121" xfId="0" applyFont="1" applyBorder="1" applyAlignment="1">
      <alignment wrapText="1"/>
    </xf>
    <xf numFmtId="166" fontId="52" fillId="0" borderId="121" xfId="0" applyNumberFormat="1" applyFont="1" applyBorder="1" applyAlignment="1">
      <alignment/>
    </xf>
    <xf numFmtId="166" fontId="52" fillId="0" borderId="121" xfId="0" applyNumberFormat="1" applyFont="1" applyBorder="1" applyAlignment="1">
      <alignment horizontal="left"/>
    </xf>
    <xf numFmtId="166" fontId="52" fillId="0" borderId="122" xfId="0" applyNumberFormat="1" applyFont="1" applyBorder="1" applyAlignment="1">
      <alignment/>
    </xf>
    <xf numFmtId="164" fontId="54" fillId="0" borderId="0" xfId="0" applyFont="1" applyAlignment="1">
      <alignment/>
    </xf>
    <xf numFmtId="164" fontId="54" fillId="0" borderId="0" xfId="0" applyFont="1" applyAlignment="1">
      <alignment wrapText="1"/>
    </xf>
    <xf numFmtId="166" fontId="54" fillId="0" borderId="0" xfId="0" applyNumberFormat="1" applyFont="1" applyAlignment="1">
      <alignment/>
    </xf>
    <xf numFmtId="164" fontId="52" fillId="0" borderId="0" xfId="0" applyFont="1" applyAlignment="1">
      <alignment/>
    </xf>
    <xf numFmtId="164" fontId="40" fillId="0" borderId="0" xfId="0" applyFont="1" applyAlignment="1">
      <alignment horizontal="left"/>
    </xf>
    <xf numFmtId="172" fontId="55" fillId="0" borderId="0" xfId="0" applyNumberFormat="1" applyFont="1" applyAlignment="1">
      <alignment/>
    </xf>
    <xf numFmtId="164" fontId="55" fillId="0" borderId="0" xfId="0" applyFont="1" applyAlignment="1">
      <alignment/>
    </xf>
    <xf numFmtId="164" fontId="27" fillId="0" borderId="0" xfId="0" applyFont="1" applyAlignment="1">
      <alignment/>
    </xf>
    <xf numFmtId="171" fontId="27" fillId="0" borderId="0" xfId="0" applyNumberFormat="1" applyFont="1" applyAlignment="1">
      <alignment/>
    </xf>
    <xf numFmtId="166" fontId="27" fillId="0" borderId="0" xfId="0" applyNumberFormat="1" applyFont="1" applyAlignment="1">
      <alignment/>
    </xf>
    <xf numFmtId="164" fontId="40" fillId="0" borderId="0" xfId="0" applyFont="1" applyAlignment="1">
      <alignment/>
    </xf>
    <xf numFmtId="164" fontId="40" fillId="0" borderId="0" xfId="0" applyFont="1" applyAlignment="1">
      <alignment horizontal="center"/>
    </xf>
    <xf numFmtId="164" fontId="55" fillId="0" borderId="0" xfId="0" applyFont="1" applyAlignment="1">
      <alignment horizontal="left"/>
    </xf>
    <xf numFmtId="164" fontId="56" fillId="0" borderId="0" xfId="0" applyFont="1" applyAlignment="1">
      <alignment/>
    </xf>
    <xf numFmtId="166" fontId="27" fillId="0" borderId="0" xfId="0" applyNumberFormat="1" applyFont="1" applyAlignment="1">
      <alignment/>
    </xf>
    <xf numFmtId="164" fontId="40" fillId="0" borderId="0" xfId="0" applyFont="1" applyAlignment="1">
      <alignment/>
    </xf>
    <xf numFmtId="164" fontId="27" fillId="0" borderId="0" xfId="0" applyFont="1" applyAlignment="1">
      <alignment horizontal="center"/>
    </xf>
    <xf numFmtId="164" fontId="40" fillId="0" borderId="0" xfId="0" applyFont="1" applyBorder="1" applyAlignment="1">
      <alignment/>
    </xf>
    <xf numFmtId="166" fontId="55" fillId="0" borderId="0" xfId="0" applyNumberFormat="1" applyFont="1" applyBorder="1" applyAlignment="1">
      <alignment/>
    </xf>
    <xf numFmtId="171" fontId="30" fillId="0" borderId="0" xfId="0" applyNumberFormat="1" applyFont="1" applyAlignment="1">
      <alignment/>
    </xf>
    <xf numFmtId="166" fontId="30" fillId="0" borderId="0" xfId="0" applyNumberFormat="1" applyFont="1" applyAlignment="1">
      <alignment/>
    </xf>
    <xf numFmtId="164" fontId="40" fillId="0" borderId="0" xfId="0" applyFont="1" applyBorder="1" applyAlignment="1">
      <alignment/>
    </xf>
    <xf numFmtId="166" fontId="55" fillId="0" borderId="0" xfId="0" applyNumberFormat="1" applyFont="1" applyBorder="1" applyAlignment="1">
      <alignment/>
    </xf>
    <xf numFmtId="164" fontId="27" fillId="0" borderId="0" xfId="0" applyFont="1" applyAlignment="1">
      <alignment wrapText="1"/>
    </xf>
    <xf numFmtId="174" fontId="30" fillId="0" borderId="0" xfId="0" applyNumberFormat="1" applyFont="1" applyAlignment="1">
      <alignment/>
    </xf>
    <xf numFmtId="164" fontId="30" fillId="0" borderId="0" xfId="0" applyFont="1" applyAlignment="1">
      <alignment horizontal="center"/>
    </xf>
    <xf numFmtId="166" fontId="55" fillId="0" borderId="0" xfId="0" applyNumberFormat="1" applyFont="1" applyAlignment="1">
      <alignment/>
    </xf>
    <xf numFmtId="175" fontId="30" fillId="0" borderId="0" xfId="0" applyNumberFormat="1" applyFont="1" applyAlignment="1">
      <alignment/>
    </xf>
    <xf numFmtId="164" fontId="36" fillId="0" borderId="0" xfId="0" applyFont="1" applyAlignment="1">
      <alignment horizontal="center"/>
    </xf>
    <xf numFmtId="164" fontId="57" fillId="0" borderId="0" xfId="0" applyFont="1" applyAlignment="1">
      <alignment horizontal="justify"/>
    </xf>
    <xf numFmtId="164" fontId="30" fillId="0" borderId="0" xfId="0" applyFont="1" applyAlignment="1">
      <alignment horizont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9702KV1" xfId="20"/>
    <cellStyle name="Normál_KTGVET98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SheetLayoutView="100" workbookViewId="0" topLeftCell="A1">
      <selection activeCell="B1" sqref="B1"/>
    </sheetView>
  </sheetViews>
  <sheetFormatPr defaultColWidth="9.00390625" defaultRowHeight="12.75"/>
  <cols>
    <col min="1" max="1" width="6.125" style="1" customWidth="1"/>
    <col min="2" max="2" width="56.00390625" style="1" customWidth="1"/>
    <col min="3" max="3" width="0" style="1" hidden="1" customWidth="1"/>
    <col min="4" max="4" width="11.00390625" style="1" customWidth="1"/>
    <col min="5" max="5" width="10.875" style="1" customWidth="1"/>
    <col min="6" max="6" width="11.00390625" style="1" customWidth="1"/>
    <col min="7" max="7" width="12.75390625" style="1" customWidth="1"/>
    <col min="8" max="8" width="54.875" style="1" customWidth="1"/>
    <col min="9" max="11" width="11.00390625" style="1" customWidth="1"/>
    <col min="12" max="12" width="13.00390625" style="1" customWidth="1"/>
    <col min="13" max="16384" width="9.125" style="1" customWidth="1"/>
  </cols>
  <sheetData>
    <row r="1" ht="12.75">
      <c r="A1" s="2"/>
    </row>
    <row r="2" spans="1:12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3:8" ht="13.5">
      <c r="C3" s="4"/>
      <c r="D3" s="4"/>
      <c r="E3" s="4"/>
      <c r="F3" s="4"/>
      <c r="G3" s="4"/>
      <c r="H3" s="4"/>
    </row>
    <row r="4" spans="1:12" ht="13.5" customHeight="1">
      <c r="A4" s="5" t="s">
        <v>1</v>
      </c>
      <c r="B4" s="5"/>
      <c r="C4" s="5"/>
      <c r="D4" s="5"/>
      <c r="E4" s="5"/>
      <c r="F4" s="5"/>
      <c r="G4" s="5"/>
      <c r="H4" s="6" t="s">
        <v>2</v>
      </c>
      <c r="I4" s="6"/>
      <c r="J4" s="6"/>
      <c r="K4" s="6"/>
      <c r="L4" s="7"/>
    </row>
    <row r="5" spans="1:12" ht="14.25" customHeight="1">
      <c r="A5" s="8"/>
      <c r="B5" s="9"/>
      <c r="C5" s="10"/>
      <c r="D5" s="11" t="s">
        <v>3</v>
      </c>
      <c r="E5" s="11" t="s">
        <v>4</v>
      </c>
      <c r="F5" s="11" t="s">
        <v>5</v>
      </c>
      <c r="G5" s="11" t="s">
        <v>6</v>
      </c>
      <c r="H5" s="12"/>
      <c r="I5" s="13" t="s">
        <v>7</v>
      </c>
      <c r="J5" s="14" t="s">
        <v>4</v>
      </c>
      <c r="K5" s="15" t="s">
        <v>5</v>
      </c>
      <c r="L5" s="16" t="s">
        <v>6</v>
      </c>
    </row>
    <row r="6" spans="1:12" ht="13.5" customHeight="1">
      <c r="A6" s="17" t="s">
        <v>8</v>
      </c>
      <c r="B6" s="18"/>
      <c r="C6" s="19"/>
      <c r="D6" s="20">
        <f>SUM(D7:D8)</f>
        <v>337088</v>
      </c>
      <c r="E6" s="20">
        <f>SUM(E7:E8)</f>
        <v>549003</v>
      </c>
      <c r="F6" s="20">
        <f>SUM(F7:F8)</f>
        <v>568774</v>
      </c>
      <c r="G6" s="21">
        <f>F6/E6*100</f>
        <v>103.60125536654627</v>
      </c>
      <c r="H6" s="22" t="s">
        <v>9</v>
      </c>
      <c r="I6" s="23">
        <v>1781603</v>
      </c>
      <c r="J6" s="24">
        <v>1886652</v>
      </c>
      <c r="K6" s="25">
        <v>1859757</v>
      </c>
      <c r="L6" s="26">
        <f>K6/J6*100</f>
        <v>98.57445888271923</v>
      </c>
    </row>
    <row r="7" spans="1:12" ht="12.75" customHeight="1">
      <c r="A7" s="27" t="s">
        <v>10</v>
      </c>
      <c r="B7" s="28"/>
      <c r="C7" s="10"/>
      <c r="D7" s="29">
        <v>140400</v>
      </c>
      <c r="E7" s="29">
        <v>169720</v>
      </c>
      <c r="F7" s="29">
        <v>167015</v>
      </c>
      <c r="G7" s="21">
        <f aca="true" t="shared" si="0" ref="G7:G53">F7/E7*100</f>
        <v>98.40619844449682</v>
      </c>
      <c r="H7" s="30"/>
      <c r="I7" s="31"/>
      <c r="J7" s="32"/>
      <c r="K7" s="33"/>
      <c r="L7" s="26"/>
    </row>
    <row r="8" spans="1:12" ht="13.5">
      <c r="A8" s="27" t="s">
        <v>11</v>
      </c>
      <c r="B8" s="28"/>
      <c r="C8" s="34" t="s">
        <v>12</v>
      </c>
      <c r="D8" s="35">
        <v>196688</v>
      </c>
      <c r="E8" s="35">
        <v>379283</v>
      </c>
      <c r="F8" s="35">
        <v>401759</v>
      </c>
      <c r="G8" s="21">
        <f t="shared" si="0"/>
        <v>105.92591811391495</v>
      </c>
      <c r="H8" s="30" t="s">
        <v>13</v>
      </c>
      <c r="I8" s="36">
        <v>474811</v>
      </c>
      <c r="J8" s="37">
        <v>491710</v>
      </c>
      <c r="K8" s="38">
        <v>483371</v>
      </c>
      <c r="L8" s="26">
        <f aca="true" t="shared" si="1" ref="L8:L46">K8/J8*100</f>
        <v>98.30408167415753</v>
      </c>
    </row>
    <row r="9" spans="1:12" ht="12.75">
      <c r="A9" s="27"/>
      <c r="B9" s="28"/>
      <c r="C9" s="34"/>
      <c r="D9" s="35"/>
      <c r="E9" s="35"/>
      <c r="F9" s="35"/>
      <c r="G9" s="21"/>
      <c r="H9" s="30"/>
      <c r="I9" s="31"/>
      <c r="J9" s="32"/>
      <c r="K9" s="33"/>
      <c r="L9" s="26"/>
    </row>
    <row r="10" spans="1:12" ht="12.75">
      <c r="A10" s="39" t="s">
        <v>14</v>
      </c>
      <c r="B10" s="40"/>
      <c r="C10" s="33" t="s">
        <v>15</v>
      </c>
      <c r="D10" s="41">
        <f>SUM(D17+D16+D15+D12+D11)</f>
        <v>1908453</v>
      </c>
      <c r="E10" s="41">
        <f>SUM(E17+E16+E15+E12+E11)</f>
        <v>1922616</v>
      </c>
      <c r="F10" s="41">
        <f>SUM(F17+F16+F15+F12+F11)</f>
        <v>2016223</v>
      </c>
      <c r="G10" s="21">
        <f t="shared" si="0"/>
        <v>104.86873093743108</v>
      </c>
      <c r="H10" s="30" t="s">
        <v>16</v>
      </c>
      <c r="I10" s="36">
        <v>1322029</v>
      </c>
      <c r="J10" s="37">
        <v>1739610</v>
      </c>
      <c r="K10" s="38">
        <v>1582650</v>
      </c>
      <c r="L10" s="26">
        <f t="shared" si="1"/>
        <v>90.97728801283046</v>
      </c>
    </row>
    <row r="11" spans="1:12" ht="12.75">
      <c r="A11" s="42" t="s">
        <v>17</v>
      </c>
      <c r="B11" s="40"/>
      <c r="C11" s="33" t="s">
        <v>18</v>
      </c>
      <c r="D11" s="43">
        <v>1140400</v>
      </c>
      <c r="E11" s="43">
        <v>1154727</v>
      </c>
      <c r="F11" s="43">
        <v>1231327</v>
      </c>
      <c r="G11" s="21">
        <f t="shared" si="0"/>
        <v>106.63360257446132</v>
      </c>
      <c r="H11" s="30"/>
      <c r="I11" s="31"/>
      <c r="J11" s="32"/>
      <c r="K11" s="33"/>
      <c r="L11" s="26"/>
    </row>
    <row r="12" spans="1:12" ht="12.75">
      <c r="A12" s="42" t="s">
        <v>19</v>
      </c>
      <c r="B12" s="44"/>
      <c r="C12" s="33"/>
      <c r="D12" s="43">
        <f>SUM(D13:D14)</f>
        <v>666859</v>
      </c>
      <c r="E12" s="43">
        <v>667523</v>
      </c>
      <c r="F12" s="43">
        <v>689346</v>
      </c>
      <c r="G12" s="21">
        <f t="shared" si="0"/>
        <v>103.26925064754322</v>
      </c>
      <c r="H12" s="30" t="s">
        <v>20</v>
      </c>
      <c r="I12" s="36">
        <f>SUM(I13:I14)</f>
        <v>625333</v>
      </c>
      <c r="J12" s="45">
        <f>SUM(J13:J14)</f>
        <v>739096</v>
      </c>
      <c r="K12" s="46">
        <f>SUM(K13:K14)</f>
        <v>610256</v>
      </c>
      <c r="L12" s="26">
        <f t="shared" si="1"/>
        <v>82.56789375128535</v>
      </c>
    </row>
    <row r="13" spans="1:12" ht="12.75">
      <c r="A13" s="39"/>
      <c r="B13" s="40" t="s">
        <v>21</v>
      </c>
      <c r="C13" s="33" t="s">
        <v>22</v>
      </c>
      <c r="D13" s="43">
        <v>426859</v>
      </c>
      <c r="E13" s="43">
        <v>426859</v>
      </c>
      <c r="F13" s="43">
        <v>426859</v>
      </c>
      <c r="G13" s="21">
        <f t="shared" si="0"/>
        <v>100</v>
      </c>
      <c r="H13" s="47" t="s">
        <v>23</v>
      </c>
      <c r="I13" s="31">
        <v>252456</v>
      </c>
      <c r="J13" s="32">
        <v>324656</v>
      </c>
      <c r="K13" s="33">
        <v>321645</v>
      </c>
      <c r="L13" s="26">
        <f t="shared" si="1"/>
        <v>99.07255679858065</v>
      </c>
    </row>
    <row r="14" spans="1:12" ht="15" customHeight="1">
      <c r="A14" s="39"/>
      <c r="B14" s="40" t="s">
        <v>24</v>
      </c>
      <c r="C14" s="33" t="s">
        <v>25</v>
      </c>
      <c r="D14" s="43">
        <v>240000</v>
      </c>
      <c r="E14" s="43">
        <v>240664</v>
      </c>
      <c r="F14" s="43">
        <v>262487</v>
      </c>
      <c r="G14" s="21">
        <f t="shared" si="0"/>
        <v>109.06782900641558</v>
      </c>
      <c r="H14" s="47" t="s">
        <v>26</v>
      </c>
      <c r="I14" s="31">
        <v>372877</v>
      </c>
      <c r="J14" s="32">
        <v>414440</v>
      </c>
      <c r="K14" s="33">
        <v>288611</v>
      </c>
      <c r="L14" s="26">
        <f t="shared" si="1"/>
        <v>69.63878969211466</v>
      </c>
    </row>
    <row r="15" spans="1:12" ht="12.75">
      <c r="A15" s="39" t="s">
        <v>27</v>
      </c>
      <c r="B15" s="40"/>
      <c r="C15" s="33"/>
      <c r="D15" s="48">
        <v>100</v>
      </c>
      <c r="E15" s="48">
        <v>100</v>
      </c>
      <c r="F15" s="48">
        <v>303</v>
      </c>
      <c r="G15" s="21">
        <f t="shared" si="0"/>
        <v>303</v>
      </c>
      <c r="H15" s="47"/>
      <c r="I15" s="31"/>
      <c r="J15" s="32"/>
      <c r="K15" s="33"/>
      <c r="L15" s="26"/>
    </row>
    <row r="16" spans="1:12" ht="12.75">
      <c r="A16" s="49" t="s">
        <v>28</v>
      </c>
      <c r="B16" s="50"/>
      <c r="C16" s="33" t="s">
        <v>29</v>
      </c>
      <c r="D16" s="43">
        <v>2500</v>
      </c>
      <c r="E16" s="43">
        <v>2605</v>
      </c>
      <c r="F16" s="43">
        <v>4034</v>
      </c>
      <c r="G16" s="21">
        <f t="shared" si="0"/>
        <v>154.8560460652591</v>
      </c>
      <c r="H16" s="30" t="s">
        <v>30</v>
      </c>
      <c r="I16" s="36">
        <v>223696</v>
      </c>
      <c r="J16" s="37">
        <v>198885</v>
      </c>
      <c r="K16" s="38">
        <v>179010</v>
      </c>
      <c r="L16" s="26">
        <f t="shared" si="1"/>
        <v>90.00678784222038</v>
      </c>
    </row>
    <row r="17" spans="1:12" ht="12.75">
      <c r="A17" s="39" t="s">
        <v>31</v>
      </c>
      <c r="B17" s="40"/>
      <c r="C17" s="51"/>
      <c r="D17" s="43">
        <v>98594</v>
      </c>
      <c r="E17" s="43">
        <v>97661</v>
      </c>
      <c r="F17" s="43">
        <v>91213</v>
      </c>
      <c r="G17" s="21">
        <f t="shared" si="0"/>
        <v>93.39756914223692</v>
      </c>
      <c r="H17" s="30"/>
      <c r="I17" s="36"/>
      <c r="J17" s="32"/>
      <c r="K17" s="33"/>
      <c r="L17" s="26"/>
    </row>
    <row r="18" spans="1:12" ht="12.75">
      <c r="A18" s="52" t="s">
        <v>32</v>
      </c>
      <c r="B18" s="52"/>
      <c r="C18" s="51"/>
      <c r="D18" s="53">
        <f>SUM(D6+D10)</f>
        <v>2245541</v>
      </c>
      <c r="E18" s="53">
        <f>SUM(E6+E10)</f>
        <v>2471619</v>
      </c>
      <c r="F18" s="53">
        <f>SUM(F6+F10)</f>
        <v>2584997</v>
      </c>
      <c r="G18" s="21">
        <f t="shared" si="0"/>
        <v>104.58719568024036</v>
      </c>
      <c r="H18" s="30" t="s">
        <v>33</v>
      </c>
      <c r="I18" s="36">
        <v>9378</v>
      </c>
      <c r="J18" s="37">
        <v>9305</v>
      </c>
      <c r="K18" s="38">
        <v>9180</v>
      </c>
      <c r="L18" s="26">
        <f t="shared" si="1"/>
        <v>98.6566362170876</v>
      </c>
    </row>
    <row r="19" spans="1:12" ht="12.75">
      <c r="A19" s="52"/>
      <c r="B19" s="52"/>
      <c r="C19" s="51"/>
      <c r="D19" s="53"/>
      <c r="E19" s="53"/>
      <c r="F19" s="53"/>
      <c r="G19" s="21"/>
      <c r="H19" s="30"/>
      <c r="I19" s="31"/>
      <c r="J19" s="32"/>
      <c r="K19" s="33"/>
      <c r="L19" s="26"/>
    </row>
    <row r="20" spans="1:12" ht="12.75">
      <c r="A20" s="49" t="s">
        <v>34</v>
      </c>
      <c r="B20" s="54"/>
      <c r="C20" s="51"/>
      <c r="D20" s="55"/>
      <c r="E20" s="48">
        <v>800</v>
      </c>
      <c r="F20" s="48">
        <v>800</v>
      </c>
      <c r="G20" s="21">
        <f t="shared" si="0"/>
        <v>100</v>
      </c>
      <c r="H20" s="30" t="s">
        <v>35</v>
      </c>
      <c r="I20" s="36">
        <f>4313314+367</f>
        <v>4313681</v>
      </c>
      <c r="J20" s="37">
        <v>4173684</v>
      </c>
      <c r="K20" s="38">
        <v>1580262</v>
      </c>
      <c r="L20" s="26">
        <f t="shared" si="1"/>
        <v>37.862521455864886</v>
      </c>
    </row>
    <row r="21" spans="1:12" ht="12.75">
      <c r="A21" s="49" t="s">
        <v>36</v>
      </c>
      <c r="B21" s="50"/>
      <c r="C21" s="38" t="s">
        <v>37</v>
      </c>
      <c r="D21" s="43">
        <v>148000</v>
      </c>
      <c r="E21" s="43">
        <v>148000</v>
      </c>
      <c r="F21" s="43">
        <v>10532</v>
      </c>
      <c r="G21" s="21">
        <f t="shared" si="0"/>
        <v>7.116216216216216</v>
      </c>
      <c r="H21" s="30"/>
      <c r="I21" s="36"/>
      <c r="J21" s="32"/>
      <c r="K21" s="33"/>
      <c r="L21" s="26"/>
    </row>
    <row r="22" spans="1:12" ht="12.75">
      <c r="A22" s="56" t="s">
        <v>38</v>
      </c>
      <c r="B22" s="57"/>
      <c r="C22" s="38" t="s">
        <v>39</v>
      </c>
      <c r="D22" s="48">
        <v>45800</v>
      </c>
      <c r="E22" s="48">
        <v>45800</v>
      </c>
      <c r="F22" s="48">
        <v>7330</v>
      </c>
      <c r="G22" s="21">
        <f t="shared" si="0"/>
        <v>16.004366812227076</v>
      </c>
      <c r="H22" s="30" t="s">
        <v>40</v>
      </c>
      <c r="I22" s="36">
        <v>212168</v>
      </c>
      <c r="J22" s="37">
        <v>213744</v>
      </c>
      <c r="K22" s="38">
        <v>176722</v>
      </c>
      <c r="L22" s="26">
        <f t="shared" si="1"/>
        <v>82.67927988621902</v>
      </c>
    </row>
    <row r="23" spans="1:12" ht="12.75">
      <c r="A23" s="56" t="s">
        <v>41</v>
      </c>
      <c r="B23" s="57"/>
      <c r="C23" s="38" t="s">
        <v>42</v>
      </c>
      <c r="D23" s="43">
        <v>72000</v>
      </c>
      <c r="E23" s="43">
        <v>72000</v>
      </c>
      <c r="F23" s="43">
        <v>13500</v>
      </c>
      <c r="G23" s="21">
        <f t="shared" si="0"/>
        <v>18.75</v>
      </c>
      <c r="H23" s="30"/>
      <c r="I23" s="31"/>
      <c r="J23" s="32"/>
      <c r="K23" s="33"/>
      <c r="L23" s="26"/>
    </row>
    <row r="24" spans="1:12" ht="12.75">
      <c r="A24" s="39" t="s">
        <v>43</v>
      </c>
      <c r="B24" s="40"/>
      <c r="C24" s="58"/>
      <c r="D24" s="43">
        <v>13854</v>
      </c>
      <c r="E24" s="43">
        <v>13854</v>
      </c>
      <c r="F24" s="43">
        <v>9354</v>
      </c>
      <c r="G24" s="21">
        <f t="shared" si="0"/>
        <v>67.518406236466</v>
      </c>
      <c r="H24" s="30" t="s">
        <v>44</v>
      </c>
      <c r="I24" s="36">
        <v>131528</v>
      </c>
      <c r="J24" s="37">
        <v>47423</v>
      </c>
      <c r="K24" s="38">
        <v>45505</v>
      </c>
      <c r="L24" s="26">
        <f t="shared" si="1"/>
        <v>95.95554899521329</v>
      </c>
    </row>
    <row r="25" spans="1:12" ht="12.75">
      <c r="A25" s="27" t="s">
        <v>45</v>
      </c>
      <c r="B25" s="28"/>
      <c r="C25" s="58"/>
      <c r="D25" s="43">
        <v>6700</v>
      </c>
      <c r="E25" s="43">
        <v>6700</v>
      </c>
      <c r="F25" s="43">
        <v>10810</v>
      </c>
      <c r="G25" s="21">
        <f t="shared" si="0"/>
        <v>161.34328358208955</v>
      </c>
      <c r="H25" s="30"/>
      <c r="I25" s="36"/>
      <c r="J25" s="32"/>
      <c r="K25" s="33"/>
      <c r="L25" s="26"/>
    </row>
    <row r="26" spans="1:12" ht="12.75">
      <c r="A26" s="27" t="s">
        <v>46</v>
      </c>
      <c r="B26" s="28"/>
      <c r="C26" s="58"/>
      <c r="D26" s="43">
        <v>455000</v>
      </c>
      <c r="E26" s="43">
        <v>455000</v>
      </c>
      <c r="F26" s="43"/>
      <c r="G26" s="21">
        <f t="shared" si="0"/>
        <v>0</v>
      </c>
      <c r="H26" s="30" t="s">
        <v>47</v>
      </c>
      <c r="I26" s="36">
        <f>SUM(I27)</f>
        <v>8500</v>
      </c>
      <c r="J26" s="45">
        <f>SUM(J27:J28)</f>
        <v>69786</v>
      </c>
      <c r="K26" s="46">
        <f>SUM(K27:K28)</f>
        <v>46083</v>
      </c>
      <c r="L26" s="26">
        <f t="shared" si="1"/>
        <v>66.03473476055369</v>
      </c>
    </row>
    <row r="27" spans="1:12" ht="14.25" customHeight="1">
      <c r="A27" s="59" t="s">
        <v>48</v>
      </c>
      <c r="B27" s="59"/>
      <c r="C27" s="58"/>
      <c r="D27" s="53">
        <f>SUM(D20:D26)</f>
        <v>741354</v>
      </c>
      <c r="E27" s="53">
        <f>SUM(E20:E26)</f>
        <v>742154</v>
      </c>
      <c r="F27" s="53">
        <f>SUM(F20:F26)</f>
        <v>52326</v>
      </c>
      <c r="G27" s="21">
        <f t="shared" si="0"/>
        <v>7.05055823993403</v>
      </c>
      <c r="H27" s="47" t="s">
        <v>49</v>
      </c>
      <c r="I27" s="31">
        <v>8500</v>
      </c>
      <c r="J27" s="32">
        <v>8600</v>
      </c>
      <c r="K27" s="33">
        <v>5150</v>
      </c>
      <c r="L27" s="26">
        <f t="shared" si="1"/>
        <v>59.883720930232556</v>
      </c>
    </row>
    <row r="28" spans="1:12" ht="14.25" customHeight="1">
      <c r="A28" s="59"/>
      <c r="B28" s="59"/>
      <c r="C28" s="58"/>
      <c r="D28" s="55"/>
      <c r="E28" s="55"/>
      <c r="F28" s="55"/>
      <c r="G28" s="21"/>
      <c r="H28" s="47" t="s">
        <v>50</v>
      </c>
      <c r="I28" s="31"/>
      <c r="J28" s="32">
        <v>61186</v>
      </c>
      <c r="K28" s="33">
        <v>40933</v>
      </c>
      <c r="L28" s="26">
        <f t="shared" si="1"/>
        <v>66.89929068741215</v>
      </c>
    </row>
    <row r="29" spans="1:12" ht="12.75" customHeight="1">
      <c r="A29" s="60" t="s">
        <v>51</v>
      </c>
      <c r="B29" s="50"/>
      <c r="C29" s="58"/>
      <c r="D29" s="43">
        <v>862671</v>
      </c>
      <c r="E29" s="43">
        <v>851084</v>
      </c>
      <c r="F29" s="43">
        <v>851084</v>
      </c>
      <c r="G29" s="21">
        <f t="shared" si="0"/>
        <v>100</v>
      </c>
      <c r="H29" s="61"/>
      <c r="I29" s="36"/>
      <c r="J29" s="32"/>
      <c r="K29" s="33"/>
      <c r="L29" s="26"/>
    </row>
    <row r="30" spans="1:12" ht="12.75" customHeight="1">
      <c r="A30" s="49" t="s">
        <v>52</v>
      </c>
      <c r="B30" s="50"/>
      <c r="C30" s="58"/>
      <c r="D30" s="43">
        <v>1698</v>
      </c>
      <c r="E30" s="43"/>
      <c r="F30" s="43"/>
      <c r="G30" s="21"/>
      <c r="H30" s="61" t="s">
        <v>53</v>
      </c>
      <c r="I30" s="36">
        <f>SUM(I31+I32)</f>
        <v>182393</v>
      </c>
      <c r="J30" s="45">
        <f>SUM(J31:J32)</f>
        <v>53296</v>
      </c>
      <c r="K30" s="46">
        <f>SUM(K31:K32)</f>
        <v>0</v>
      </c>
      <c r="L30" s="26">
        <f t="shared" si="1"/>
        <v>0</v>
      </c>
    </row>
    <row r="31" spans="1:12" ht="12.75" customHeight="1">
      <c r="A31" s="62" t="s">
        <v>54</v>
      </c>
      <c r="B31" s="62"/>
      <c r="C31" s="58"/>
      <c r="D31" s="43"/>
      <c r="E31" s="43">
        <v>88943</v>
      </c>
      <c r="F31" s="43">
        <v>88943</v>
      </c>
      <c r="G31" s="21">
        <f t="shared" si="0"/>
        <v>100</v>
      </c>
      <c r="H31" s="63" t="s">
        <v>55</v>
      </c>
      <c r="I31" s="64">
        <v>15000</v>
      </c>
      <c r="J31" s="65">
        <v>313</v>
      </c>
      <c r="K31" s="66"/>
      <c r="L31" s="26">
        <f t="shared" si="1"/>
        <v>0</v>
      </c>
    </row>
    <row r="32" spans="1:12" ht="12.75" customHeight="1">
      <c r="A32" s="49" t="s">
        <v>56</v>
      </c>
      <c r="B32" s="50"/>
      <c r="C32" s="67" t="s">
        <v>57</v>
      </c>
      <c r="D32" s="43">
        <v>190225</v>
      </c>
      <c r="E32" s="43">
        <v>166392</v>
      </c>
      <c r="F32" s="43">
        <v>166392</v>
      </c>
      <c r="G32" s="21">
        <f t="shared" si="0"/>
        <v>100</v>
      </c>
      <c r="H32" s="63" t="s">
        <v>58</v>
      </c>
      <c r="I32" s="68">
        <f>SUM(I33:I35)</f>
        <v>167393</v>
      </c>
      <c r="J32" s="65">
        <f>SUM(J33:J35)</f>
        <v>52983</v>
      </c>
      <c r="K32" s="66">
        <f>SUM(K33:K35)</f>
        <v>0</v>
      </c>
      <c r="L32" s="26">
        <f t="shared" si="1"/>
        <v>0</v>
      </c>
    </row>
    <row r="33" spans="1:12" ht="12.75" customHeight="1">
      <c r="A33" s="49" t="s">
        <v>59</v>
      </c>
      <c r="B33" s="50"/>
      <c r="C33" s="67"/>
      <c r="D33" s="43">
        <v>15661</v>
      </c>
      <c r="E33" s="43">
        <v>12324</v>
      </c>
      <c r="F33" s="43">
        <v>12324</v>
      </c>
      <c r="G33" s="21">
        <f t="shared" si="0"/>
        <v>100</v>
      </c>
      <c r="H33" s="47" t="s">
        <v>60</v>
      </c>
      <c r="I33" s="31">
        <v>30493</v>
      </c>
      <c r="J33" s="32">
        <v>18</v>
      </c>
      <c r="K33" s="33"/>
      <c r="L33" s="26">
        <f t="shared" si="1"/>
        <v>0</v>
      </c>
    </row>
    <row r="34" spans="1:12" ht="12.75" customHeight="1">
      <c r="A34" s="52" t="s">
        <v>61</v>
      </c>
      <c r="B34" s="52"/>
      <c r="C34" s="67"/>
      <c r="D34" s="69">
        <f>SUM(D29:D33)</f>
        <v>1070255</v>
      </c>
      <c r="E34" s="69">
        <f>SUM(E29:E33)</f>
        <v>1118743</v>
      </c>
      <c r="F34" s="69">
        <f>SUM(F29:F33)</f>
        <v>1118743</v>
      </c>
      <c r="G34" s="21">
        <f t="shared" si="0"/>
        <v>100</v>
      </c>
      <c r="H34" s="47" t="s">
        <v>62</v>
      </c>
      <c r="I34" s="31">
        <v>136900</v>
      </c>
      <c r="J34" s="32">
        <v>22194</v>
      </c>
      <c r="K34" s="33"/>
      <c r="L34" s="26">
        <f t="shared" si="1"/>
        <v>0</v>
      </c>
    </row>
    <row r="35" spans="1:12" ht="12.75" customHeight="1">
      <c r="A35" s="49"/>
      <c r="B35" s="70"/>
      <c r="C35" s="67"/>
      <c r="D35" s="35"/>
      <c r="E35" s="35"/>
      <c r="F35" s="35"/>
      <c r="G35" s="21"/>
      <c r="H35" s="47" t="s">
        <v>63</v>
      </c>
      <c r="I35" s="31"/>
      <c r="J35" s="32">
        <v>30771</v>
      </c>
      <c r="K35" s="33"/>
      <c r="L35" s="26">
        <f t="shared" si="1"/>
        <v>0</v>
      </c>
    </row>
    <row r="36" spans="1:12" ht="12.75" customHeight="1">
      <c r="A36" s="71" t="s">
        <v>64</v>
      </c>
      <c r="B36" s="40"/>
      <c r="C36" s="72"/>
      <c r="D36" s="35">
        <v>745910</v>
      </c>
      <c r="E36" s="35">
        <v>805158</v>
      </c>
      <c r="F36" s="35">
        <v>805158</v>
      </c>
      <c r="G36" s="21">
        <f t="shared" si="0"/>
        <v>100</v>
      </c>
      <c r="H36" s="73"/>
      <c r="I36" s="36"/>
      <c r="J36" s="37"/>
      <c r="K36" s="38"/>
      <c r="L36" s="26"/>
    </row>
    <row r="37" spans="1:12" ht="25.5" customHeight="1">
      <c r="A37" s="71" t="s">
        <v>65</v>
      </c>
      <c r="B37" s="44"/>
      <c r="C37" s="72"/>
      <c r="D37" s="35">
        <v>144668</v>
      </c>
      <c r="E37" s="35">
        <v>203478</v>
      </c>
      <c r="F37" s="35">
        <v>176139</v>
      </c>
      <c r="G37" s="21">
        <f t="shared" si="0"/>
        <v>86.56414944121722</v>
      </c>
      <c r="H37" s="73" t="s">
        <v>66</v>
      </c>
      <c r="I37" s="36">
        <v>5879</v>
      </c>
      <c r="J37" s="37">
        <v>5879</v>
      </c>
      <c r="K37" s="38">
        <v>3488</v>
      </c>
      <c r="L37" s="26">
        <f t="shared" si="1"/>
        <v>59.32981799625787</v>
      </c>
    </row>
    <row r="38" spans="1:12" ht="12.75" customHeight="1">
      <c r="A38" s="71" t="s">
        <v>67</v>
      </c>
      <c r="B38" s="40"/>
      <c r="C38" s="72"/>
      <c r="D38" s="43">
        <v>2492844</v>
      </c>
      <c r="E38" s="43">
        <v>1830264</v>
      </c>
      <c r="F38" s="43">
        <v>269955</v>
      </c>
      <c r="G38" s="21">
        <f t="shared" si="0"/>
        <v>14.749511545875349</v>
      </c>
      <c r="H38" s="30" t="s">
        <v>68</v>
      </c>
      <c r="I38" s="31"/>
      <c r="J38" s="32"/>
      <c r="K38" s="38">
        <v>7383</v>
      </c>
      <c r="L38" s="26"/>
    </row>
    <row r="39" spans="1:12" ht="12.75" customHeight="1">
      <c r="A39" s="74" t="s">
        <v>69</v>
      </c>
      <c r="B39" s="40"/>
      <c r="C39" s="72"/>
      <c r="D39" s="53">
        <f>SUM(D36:D38)</f>
        <v>3383422</v>
      </c>
      <c r="E39" s="53">
        <f>SUM(E36:E38)</f>
        <v>2838900</v>
      </c>
      <c r="F39" s="53">
        <f>SUM(F36:F38)</f>
        <v>1251252</v>
      </c>
      <c r="G39" s="21">
        <f t="shared" si="0"/>
        <v>44.07524041001796</v>
      </c>
      <c r="H39" s="30" t="s">
        <v>70</v>
      </c>
      <c r="I39" s="36">
        <f>SUM(I6+I8+I10+I12+I16+I18+I20+I22+I24+I26+I30+I37+I38)</f>
        <v>9290999</v>
      </c>
      <c r="J39" s="36">
        <f>SUM(J6+J8+J10+J12+J16+J18+J20+J22+J24+J26+J30+J37+J38)</f>
        <v>9629070</v>
      </c>
      <c r="K39" s="36">
        <f>SUM(K6+K8+K10+K12+K16+K18+K20+K22+K24+K26+K30+K37+K38)</f>
        <v>6583667</v>
      </c>
      <c r="L39" s="26">
        <f t="shared" si="1"/>
        <v>68.37282312829795</v>
      </c>
    </row>
    <row r="40" spans="1:12" ht="12.75" customHeight="1">
      <c r="A40" s="62"/>
      <c r="B40" s="62"/>
      <c r="C40" s="72"/>
      <c r="D40" s="43"/>
      <c r="E40" s="43"/>
      <c r="F40" s="43"/>
      <c r="G40" s="21"/>
      <c r="H40" s="47" t="s">
        <v>71</v>
      </c>
      <c r="I40" s="31"/>
      <c r="J40" s="32"/>
      <c r="K40" s="33">
        <v>-5036</v>
      </c>
      <c r="L40" s="26"/>
    </row>
    <row r="41" spans="1:12" ht="12.75" customHeight="1">
      <c r="A41" s="75" t="s">
        <v>72</v>
      </c>
      <c r="B41" s="75"/>
      <c r="C41" s="72"/>
      <c r="D41" s="53">
        <v>14000</v>
      </c>
      <c r="E41" s="53">
        <v>25020</v>
      </c>
      <c r="F41" s="53">
        <v>19902</v>
      </c>
      <c r="G41" s="21">
        <f t="shared" si="0"/>
        <v>79.54436450839329</v>
      </c>
      <c r="H41" s="47" t="s">
        <v>73</v>
      </c>
      <c r="I41" s="76">
        <v>13573</v>
      </c>
      <c r="J41" s="32">
        <v>13573</v>
      </c>
      <c r="K41" s="33">
        <v>11776</v>
      </c>
      <c r="L41" s="26">
        <f t="shared" si="1"/>
        <v>86.76048036543136</v>
      </c>
    </row>
    <row r="42" spans="1:12" ht="12.75" customHeight="1">
      <c r="A42" s="74"/>
      <c r="B42" s="40"/>
      <c r="C42" s="72"/>
      <c r="D42" s="53"/>
      <c r="E42" s="53"/>
      <c r="F42" s="53"/>
      <c r="G42" s="21"/>
      <c r="H42" s="30" t="s">
        <v>74</v>
      </c>
      <c r="I42" s="36">
        <f>SUM(I40:I41)</f>
        <v>13573</v>
      </c>
      <c r="J42" s="36">
        <f>SUM(J40:J41)</f>
        <v>13573</v>
      </c>
      <c r="K42" s="36">
        <f>SUM(K40:K41)</f>
        <v>6740</v>
      </c>
      <c r="L42" s="26">
        <f t="shared" si="1"/>
        <v>49.65740808958963</v>
      </c>
    </row>
    <row r="43" spans="1:12" ht="24.75" customHeight="1">
      <c r="A43" s="77" t="s">
        <v>75</v>
      </c>
      <c r="B43" s="77"/>
      <c r="C43" s="72"/>
      <c r="D43" s="69">
        <v>1850000</v>
      </c>
      <c r="E43" s="69">
        <v>2446207</v>
      </c>
      <c r="F43" s="69">
        <v>2459108</v>
      </c>
      <c r="G43" s="21">
        <f t="shared" si="0"/>
        <v>100.52738791116205</v>
      </c>
      <c r="H43" s="78"/>
      <c r="I43" s="36"/>
      <c r="J43" s="47"/>
      <c r="K43" s="79"/>
      <c r="L43" s="26"/>
    </row>
    <row r="44" spans="1:12" ht="12.75" customHeight="1">
      <c r="A44" s="80"/>
      <c r="B44" s="81"/>
      <c r="C44" s="72"/>
      <c r="D44" s="69"/>
      <c r="E44" s="69"/>
      <c r="F44" s="69"/>
      <c r="G44" s="21"/>
      <c r="H44" s="82"/>
      <c r="I44" s="36"/>
      <c r="J44" s="83"/>
      <c r="K44" s="79"/>
      <c r="L44" s="26"/>
    </row>
    <row r="45" spans="1:12" ht="12.75" customHeight="1">
      <c r="A45" s="84" t="s">
        <v>76</v>
      </c>
      <c r="B45" s="84"/>
      <c r="C45" s="72"/>
      <c r="D45" s="69"/>
      <c r="E45" s="69"/>
      <c r="F45" s="69">
        <v>7383</v>
      </c>
      <c r="G45" s="21"/>
      <c r="H45" s="82"/>
      <c r="I45" s="36"/>
      <c r="J45" s="83"/>
      <c r="K45" s="79"/>
      <c r="L45" s="26"/>
    </row>
    <row r="46" spans="1:12" ht="12.75" customHeight="1">
      <c r="A46" s="74"/>
      <c r="B46" s="85"/>
      <c r="C46" s="72"/>
      <c r="D46" s="69"/>
      <c r="E46" s="69"/>
      <c r="F46" s="69"/>
      <c r="G46" s="21"/>
      <c r="H46" s="82" t="s">
        <v>77</v>
      </c>
      <c r="I46" s="36">
        <f>SUM(I39+I42)</f>
        <v>9304572</v>
      </c>
      <c r="J46" s="36">
        <f>SUM(J39+J42)</f>
        <v>9642643</v>
      </c>
      <c r="K46" s="36">
        <f>SUM(K39+K42)</f>
        <v>6590407</v>
      </c>
      <c r="L46" s="26">
        <f t="shared" si="1"/>
        <v>68.3464792795917</v>
      </c>
    </row>
    <row r="47" spans="1:12" ht="12.75" customHeight="1">
      <c r="A47" s="86" t="s">
        <v>78</v>
      </c>
      <c r="B47" s="86"/>
      <c r="C47" s="72"/>
      <c r="D47" s="55"/>
      <c r="E47" s="55"/>
      <c r="F47" s="55">
        <v>3589</v>
      </c>
      <c r="G47" s="21"/>
      <c r="H47" s="87"/>
      <c r="I47" s="88"/>
      <c r="J47" s="89"/>
      <c r="K47" s="89"/>
      <c r="L47" s="90"/>
    </row>
    <row r="48" spans="1:12" ht="13.5" customHeight="1">
      <c r="A48" s="52"/>
      <c r="B48" s="52"/>
      <c r="C48" s="32"/>
      <c r="D48" s="37"/>
      <c r="E48" s="37"/>
      <c r="F48" s="37"/>
      <c r="G48" s="21"/>
      <c r="H48" s="91" t="s">
        <v>79</v>
      </c>
      <c r="I48" s="92"/>
      <c r="J48" s="51"/>
      <c r="K48" s="51"/>
      <c r="L48" s="93"/>
    </row>
    <row r="49" spans="1:12" ht="12.75">
      <c r="A49" s="86" t="s">
        <v>80</v>
      </c>
      <c r="B49" s="86"/>
      <c r="C49" s="32"/>
      <c r="D49" s="37">
        <f>SUM(D18+D27+D34+D39+D41+D43+D47)</f>
        <v>9304572</v>
      </c>
      <c r="E49" s="37">
        <f>SUM(E18+E27+E34+E39+E41+E43+E47)</f>
        <v>9642643</v>
      </c>
      <c r="F49" s="37">
        <f>SUM(F18+F27+F34+F39+F41+F43+F47+F45)</f>
        <v>7497300</v>
      </c>
      <c r="G49" s="21">
        <f t="shared" si="0"/>
        <v>77.75150443711335</v>
      </c>
      <c r="H49" s="91" t="s">
        <v>81</v>
      </c>
      <c r="I49" s="72">
        <v>2337682</v>
      </c>
      <c r="J49" s="51" t="s">
        <v>82</v>
      </c>
      <c r="K49" s="51"/>
      <c r="L49" s="93"/>
    </row>
    <row r="50" spans="1:12" ht="12.75" customHeight="1">
      <c r="A50" s="52"/>
      <c r="B50" s="52"/>
      <c r="C50" s="94"/>
      <c r="D50" s="45"/>
      <c r="E50" s="45"/>
      <c r="F50" s="45"/>
      <c r="G50" s="21"/>
      <c r="H50" s="95" t="s">
        <v>83</v>
      </c>
      <c r="I50" s="96">
        <v>7476830</v>
      </c>
      <c r="J50" s="51" t="s">
        <v>82</v>
      </c>
      <c r="K50" s="96"/>
      <c r="L50" s="93"/>
    </row>
    <row r="51" spans="1:12" ht="12.75">
      <c r="A51" s="52" t="s">
        <v>84</v>
      </c>
      <c r="B51" s="52"/>
      <c r="C51" s="30"/>
      <c r="D51" s="37">
        <v>0</v>
      </c>
      <c r="E51" s="37">
        <v>0</v>
      </c>
      <c r="F51" s="37">
        <v>-20470</v>
      </c>
      <c r="G51" s="21"/>
      <c r="H51" s="95" t="s">
        <v>85</v>
      </c>
      <c r="I51" s="72">
        <v>-6590407</v>
      </c>
      <c r="J51" s="51" t="s">
        <v>82</v>
      </c>
      <c r="K51" s="51"/>
      <c r="L51" s="93"/>
    </row>
    <row r="52" spans="1:12" ht="12.75">
      <c r="A52" s="62"/>
      <c r="B52" s="62"/>
      <c r="C52" s="47"/>
      <c r="D52" s="47"/>
      <c r="E52" s="47"/>
      <c r="F52" s="47"/>
      <c r="G52" s="21"/>
      <c r="H52" s="95" t="s">
        <v>86</v>
      </c>
      <c r="I52" s="72">
        <v>-2459108</v>
      </c>
      <c r="J52" s="51" t="s">
        <v>82</v>
      </c>
      <c r="K52" s="51"/>
      <c r="L52" s="93"/>
    </row>
    <row r="53" spans="1:12" ht="13.5">
      <c r="A53" s="97" t="s">
        <v>87</v>
      </c>
      <c r="B53" s="97"/>
      <c r="C53" s="98"/>
      <c r="D53" s="99">
        <f>SUM(D49+D51)</f>
        <v>9304572</v>
      </c>
      <c r="E53" s="99">
        <f>SUM(E49+E51)</f>
        <v>9642643</v>
      </c>
      <c r="F53" s="99">
        <f>SUM(F49+F51)</f>
        <v>7476830</v>
      </c>
      <c r="G53" s="100">
        <f t="shared" si="0"/>
        <v>77.53921824130583</v>
      </c>
      <c r="H53" s="101" t="s">
        <v>88</v>
      </c>
      <c r="I53" s="102">
        <v>764997</v>
      </c>
      <c r="J53" s="103" t="s">
        <v>82</v>
      </c>
      <c r="K53" s="103"/>
      <c r="L53" s="104"/>
    </row>
    <row r="54" ht="13.5"/>
  </sheetData>
  <sheetProtection selectLockedCells="1" selectUnlockedCells="1"/>
  <mergeCells count="20">
    <mergeCell ref="A2:L2"/>
    <mergeCell ref="A4:G4"/>
    <mergeCell ref="H4:K4"/>
    <mergeCell ref="A18:B18"/>
    <mergeCell ref="A19:B19"/>
    <mergeCell ref="A27:B27"/>
    <mergeCell ref="A28:B28"/>
    <mergeCell ref="A31:B31"/>
    <mergeCell ref="A34:B34"/>
    <mergeCell ref="A40:B40"/>
    <mergeCell ref="A41:B41"/>
    <mergeCell ref="A43:B43"/>
    <mergeCell ref="A45:B45"/>
    <mergeCell ref="A47:B47"/>
    <mergeCell ref="A48:B48"/>
    <mergeCell ref="A49:B49"/>
    <mergeCell ref="A50:B50"/>
    <mergeCell ref="A51:B51"/>
    <mergeCell ref="A52:B52"/>
    <mergeCell ref="A53:B53"/>
  </mergeCells>
  <printOptions horizontalCentered="1"/>
  <pageMargins left="0.2" right="0" top="0.27569444444444446" bottom="0.31527777777777777" header="0" footer="0.5118055555555555"/>
  <pageSetup horizontalDpi="300" verticalDpi="300" orientation="landscape" paperSize="9" scale="70"/>
  <headerFooter alignWithMargins="0">
    <oddHeader>&amp;L&amp;8 1. melléklet a 16/2011.(V.02.)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2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86.125" style="0" customWidth="1"/>
    <col min="2" max="2" width="10.125" style="0" customWidth="1"/>
    <col min="3" max="3" width="10.75390625" style="0" customWidth="1"/>
    <col min="4" max="4" width="11.625" style="0" customWidth="1"/>
  </cols>
  <sheetData>
    <row r="1" spans="1:2" ht="12.75">
      <c r="A1" s="216" t="s">
        <v>598</v>
      </c>
      <c r="B1" s="1"/>
    </row>
    <row r="2" spans="1:2" ht="12.75">
      <c r="A2" s="216"/>
      <c r="B2" s="1"/>
    </row>
    <row r="3" spans="1:4" ht="15.75">
      <c r="A3" s="466" t="s">
        <v>599</v>
      </c>
      <c r="B3" s="466"/>
      <c r="C3" s="466"/>
      <c r="D3" s="466"/>
    </row>
    <row r="4" spans="1:2" ht="16.5">
      <c r="A4" s="466"/>
      <c r="B4" s="1"/>
    </row>
    <row r="5" spans="1:4" ht="12.75" customHeight="1">
      <c r="A5" s="467" t="s">
        <v>600</v>
      </c>
      <c r="B5" s="6" t="s">
        <v>7</v>
      </c>
      <c r="C5" s="376" t="s">
        <v>4</v>
      </c>
      <c r="D5" s="377" t="s">
        <v>5</v>
      </c>
    </row>
    <row r="6" spans="1:4" ht="12" customHeight="1">
      <c r="A6" s="468" t="s">
        <v>601</v>
      </c>
      <c r="B6" s="76">
        <v>71000</v>
      </c>
      <c r="C6" s="384">
        <v>71000</v>
      </c>
      <c r="D6" s="385">
        <v>71000</v>
      </c>
    </row>
    <row r="7" spans="1:4" ht="12" customHeight="1">
      <c r="A7" s="468" t="s">
        <v>602</v>
      </c>
      <c r="B7" s="76">
        <v>15000</v>
      </c>
      <c r="C7" s="384">
        <v>9810</v>
      </c>
      <c r="D7" s="385">
        <v>9659</v>
      </c>
    </row>
    <row r="8" spans="1:4" ht="12" customHeight="1">
      <c r="A8" s="468" t="s">
        <v>603</v>
      </c>
      <c r="B8" s="76">
        <v>2000</v>
      </c>
      <c r="C8" s="384">
        <v>1300</v>
      </c>
      <c r="D8" s="385">
        <v>1300</v>
      </c>
    </row>
    <row r="9" spans="1:4" ht="12" customHeight="1">
      <c r="A9" s="468" t="s">
        <v>604</v>
      </c>
      <c r="B9" s="76">
        <v>5000</v>
      </c>
      <c r="C9" s="384">
        <v>5000</v>
      </c>
      <c r="D9" s="385">
        <v>5000</v>
      </c>
    </row>
    <row r="10" spans="1:4" ht="12" customHeight="1">
      <c r="A10" s="468" t="s">
        <v>605</v>
      </c>
      <c r="B10" s="76">
        <v>5000</v>
      </c>
      <c r="C10" s="384">
        <v>4500</v>
      </c>
      <c r="D10" s="385">
        <v>4500</v>
      </c>
    </row>
    <row r="11" spans="1:4" ht="12" customHeight="1">
      <c r="A11" s="468" t="s">
        <v>606</v>
      </c>
      <c r="B11" s="76">
        <v>1000</v>
      </c>
      <c r="C11" s="384"/>
      <c r="D11" s="385"/>
    </row>
    <row r="12" spans="1:4" ht="12" customHeight="1">
      <c r="A12" s="468" t="s">
        <v>607</v>
      </c>
      <c r="B12" s="76">
        <v>800</v>
      </c>
      <c r="C12" s="384">
        <v>800</v>
      </c>
      <c r="D12" s="385">
        <v>800</v>
      </c>
    </row>
    <row r="13" spans="1:4" ht="12" customHeight="1">
      <c r="A13" s="468" t="s">
        <v>608</v>
      </c>
      <c r="B13" s="76">
        <v>5981</v>
      </c>
      <c r="C13" s="384">
        <v>5981</v>
      </c>
      <c r="D13" s="385">
        <v>5981</v>
      </c>
    </row>
    <row r="14" spans="1:4" ht="12" customHeight="1">
      <c r="A14" s="468" t="s">
        <v>609</v>
      </c>
      <c r="B14" s="76">
        <v>1500</v>
      </c>
      <c r="C14" s="384">
        <v>1500</v>
      </c>
      <c r="D14" s="385">
        <v>1500</v>
      </c>
    </row>
    <row r="15" spans="1:4" ht="12" customHeight="1">
      <c r="A15" s="468" t="s">
        <v>610</v>
      </c>
      <c r="B15" s="76">
        <v>6000</v>
      </c>
      <c r="C15" s="384">
        <v>8800</v>
      </c>
      <c r="D15" s="385">
        <v>8800</v>
      </c>
    </row>
    <row r="16" spans="1:4" ht="12" customHeight="1">
      <c r="A16" s="468" t="s">
        <v>611</v>
      </c>
      <c r="B16" s="76">
        <v>5000</v>
      </c>
      <c r="C16" s="384">
        <v>7000</v>
      </c>
      <c r="D16" s="385">
        <v>7000</v>
      </c>
    </row>
    <row r="17" spans="1:4" ht="12" customHeight="1">
      <c r="A17" s="468" t="s">
        <v>612</v>
      </c>
      <c r="B17" s="76">
        <v>5000</v>
      </c>
      <c r="C17" s="384">
        <v>5000</v>
      </c>
      <c r="D17" s="385">
        <v>3945</v>
      </c>
    </row>
    <row r="18" spans="1:4" ht="12" customHeight="1">
      <c r="A18" s="468" t="s">
        <v>613</v>
      </c>
      <c r="B18" s="76">
        <v>500</v>
      </c>
      <c r="C18" s="384">
        <v>500</v>
      </c>
      <c r="D18" s="385">
        <v>500</v>
      </c>
    </row>
    <row r="19" spans="1:4" ht="12" customHeight="1">
      <c r="A19" s="468" t="s">
        <v>614</v>
      </c>
      <c r="B19" s="76">
        <v>4000</v>
      </c>
      <c r="C19" s="384">
        <v>4000</v>
      </c>
      <c r="D19" s="385">
        <v>4000</v>
      </c>
    </row>
    <row r="20" spans="1:4" ht="12" customHeight="1">
      <c r="A20" s="468" t="s">
        <v>615</v>
      </c>
      <c r="B20" s="76">
        <v>1500</v>
      </c>
      <c r="C20" s="384">
        <v>620</v>
      </c>
      <c r="D20" s="385">
        <v>620</v>
      </c>
    </row>
    <row r="21" spans="1:4" ht="12" customHeight="1">
      <c r="A21" s="447" t="s">
        <v>616</v>
      </c>
      <c r="B21" s="76">
        <v>1000</v>
      </c>
      <c r="C21" s="384">
        <v>1000</v>
      </c>
      <c r="D21" s="385">
        <v>1000</v>
      </c>
    </row>
    <row r="22" spans="1:4" ht="12" customHeight="1">
      <c r="A22" s="468" t="s">
        <v>617</v>
      </c>
      <c r="B22" s="76">
        <v>5550</v>
      </c>
      <c r="C22" s="384">
        <v>5550</v>
      </c>
      <c r="D22" s="385">
        <v>5550</v>
      </c>
    </row>
    <row r="23" spans="1:4" ht="12" customHeight="1">
      <c r="A23" s="468" t="s">
        <v>618</v>
      </c>
      <c r="B23" s="76">
        <v>350</v>
      </c>
      <c r="C23" s="384">
        <v>350</v>
      </c>
      <c r="D23" s="385">
        <v>350</v>
      </c>
    </row>
    <row r="24" spans="1:4" ht="12" customHeight="1">
      <c r="A24" s="468" t="s">
        <v>619</v>
      </c>
      <c r="B24" s="76">
        <v>34000</v>
      </c>
      <c r="C24" s="384">
        <v>41890</v>
      </c>
      <c r="D24" s="385">
        <v>41890</v>
      </c>
    </row>
    <row r="25" spans="1:4" ht="12" customHeight="1">
      <c r="A25" s="468" t="s">
        <v>620</v>
      </c>
      <c r="B25" s="76">
        <v>1000</v>
      </c>
      <c r="C25" s="384">
        <v>1000</v>
      </c>
      <c r="D25" s="385">
        <v>1000</v>
      </c>
    </row>
    <row r="26" spans="1:4" ht="12" customHeight="1">
      <c r="A26" s="468" t="s">
        <v>621</v>
      </c>
      <c r="B26" s="76">
        <v>1500</v>
      </c>
      <c r="C26" s="384">
        <v>3500</v>
      </c>
      <c r="D26" s="385">
        <v>3500</v>
      </c>
    </row>
    <row r="27" spans="1:4" ht="12" customHeight="1">
      <c r="A27" s="468" t="s">
        <v>622</v>
      </c>
      <c r="B27" s="76">
        <v>1000</v>
      </c>
      <c r="C27" s="384">
        <v>1000</v>
      </c>
      <c r="D27" s="385">
        <v>1000</v>
      </c>
    </row>
    <row r="28" spans="1:4" ht="12" customHeight="1">
      <c r="A28" s="468" t="s">
        <v>623</v>
      </c>
      <c r="B28" s="76">
        <v>1000</v>
      </c>
      <c r="C28" s="384">
        <v>1500</v>
      </c>
      <c r="D28" s="385">
        <v>1500</v>
      </c>
    </row>
    <row r="29" spans="1:4" ht="12" customHeight="1">
      <c r="A29" s="468" t="s">
        <v>624</v>
      </c>
      <c r="B29" s="76">
        <v>1000</v>
      </c>
      <c r="C29" s="384">
        <v>1000</v>
      </c>
      <c r="D29" s="385">
        <v>1000</v>
      </c>
    </row>
    <row r="30" spans="1:4" ht="12" customHeight="1">
      <c r="A30" s="468" t="s">
        <v>625</v>
      </c>
      <c r="B30" s="76">
        <v>2000</v>
      </c>
      <c r="C30" s="384">
        <v>1700</v>
      </c>
      <c r="D30" s="385">
        <v>1700</v>
      </c>
    </row>
    <row r="31" spans="1:4" ht="12" customHeight="1">
      <c r="A31" s="468" t="s">
        <v>626</v>
      </c>
      <c r="B31" s="76">
        <v>1500</v>
      </c>
      <c r="C31" s="384">
        <v>430</v>
      </c>
      <c r="D31" s="385">
        <v>430</v>
      </c>
    </row>
    <row r="32" spans="1:4" ht="12" customHeight="1">
      <c r="A32" s="468" t="s">
        <v>627</v>
      </c>
      <c r="B32" s="76">
        <v>60000</v>
      </c>
      <c r="C32" s="384">
        <v>68481</v>
      </c>
      <c r="D32" s="385">
        <v>68480</v>
      </c>
    </row>
    <row r="33" spans="1:4" ht="12" customHeight="1">
      <c r="A33" s="468" t="s">
        <v>628</v>
      </c>
      <c r="B33" s="76">
        <v>300</v>
      </c>
      <c r="C33" s="384">
        <v>300</v>
      </c>
      <c r="D33" s="385">
        <v>300</v>
      </c>
    </row>
    <row r="34" spans="1:4" ht="12" customHeight="1">
      <c r="A34" s="468" t="s">
        <v>629</v>
      </c>
      <c r="B34" s="76">
        <v>300</v>
      </c>
      <c r="C34" s="384">
        <v>600</v>
      </c>
      <c r="D34" s="385">
        <v>300</v>
      </c>
    </row>
    <row r="35" spans="1:4" ht="12" customHeight="1">
      <c r="A35" s="468" t="s">
        <v>630</v>
      </c>
      <c r="B35" s="76">
        <v>400</v>
      </c>
      <c r="C35" s="384">
        <v>400</v>
      </c>
      <c r="D35" s="385">
        <v>396</v>
      </c>
    </row>
    <row r="36" spans="1:4" ht="12" customHeight="1">
      <c r="A36" s="469" t="s">
        <v>631</v>
      </c>
      <c r="B36" s="470">
        <v>6000</v>
      </c>
      <c r="C36" s="384">
        <v>6000</v>
      </c>
      <c r="D36" s="385">
        <v>4500</v>
      </c>
    </row>
    <row r="37" spans="1:4" ht="12" customHeight="1">
      <c r="A37" s="447" t="s">
        <v>632</v>
      </c>
      <c r="B37" s="76">
        <v>4800</v>
      </c>
      <c r="C37" s="384">
        <v>9600</v>
      </c>
      <c r="D37" s="385">
        <v>9600</v>
      </c>
    </row>
    <row r="38" spans="1:4" ht="12" customHeight="1">
      <c r="A38" s="471" t="s">
        <v>633</v>
      </c>
      <c r="B38" s="470"/>
      <c r="C38" s="384">
        <v>16</v>
      </c>
      <c r="D38" s="385">
        <v>16</v>
      </c>
    </row>
    <row r="39" spans="1:4" ht="12" customHeight="1">
      <c r="A39" s="471" t="s">
        <v>634</v>
      </c>
      <c r="B39" s="470"/>
      <c r="C39" s="384"/>
      <c r="D39" s="385"/>
    </row>
    <row r="40" spans="1:4" ht="12" customHeight="1">
      <c r="A40" s="471" t="s">
        <v>635</v>
      </c>
      <c r="B40" s="470"/>
      <c r="C40" s="384">
        <v>100</v>
      </c>
      <c r="D40" s="385">
        <v>100</v>
      </c>
    </row>
    <row r="41" spans="1:4" ht="12" customHeight="1">
      <c r="A41" s="471" t="s">
        <v>636</v>
      </c>
      <c r="B41" s="470"/>
      <c r="C41" s="384">
        <v>450</v>
      </c>
      <c r="D41" s="385">
        <v>450</v>
      </c>
    </row>
    <row r="42" spans="1:4" ht="12" customHeight="1">
      <c r="A42" s="471" t="s">
        <v>637</v>
      </c>
      <c r="B42" s="470"/>
      <c r="C42" s="384">
        <v>100</v>
      </c>
      <c r="D42" s="385">
        <v>100</v>
      </c>
    </row>
    <row r="43" spans="1:4" ht="12" customHeight="1">
      <c r="A43" s="471" t="s">
        <v>638</v>
      </c>
      <c r="B43" s="470"/>
      <c r="C43" s="384">
        <v>500</v>
      </c>
      <c r="D43" s="385">
        <v>500</v>
      </c>
    </row>
    <row r="44" spans="1:4" ht="12" customHeight="1">
      <c r="A44" s="471" t="s">
        <v>639</v>
      </c>
      <c r="B44" s="470"/>
      <c r="C44" s="384">
        <v>300</v>
      </c>
      <c r="D44" s="385">
        <v>300</v>
      </c>
    </row>
    <row r="45" spans="1:4" ht="12" customHeight="1">
      <c r="A45" s="471" t="s">
        <v>640</v>
      </c>
      <c r="B45" s="470"/>
      <c r="C45" s="384">
        <v>100</v>
      </c>
      <c r="D45" s="385">
        <v>100</v>
      </c>
    </row>
    <row r="46" spans="1:4" ht="12" customHeight="1">
      <c r="A46" s="471" t="s">
        <v>641</v>
      </c>
      <c r="B46" s="470"/>
      <c r="C46" s="384">
        <v>500</v>
      </c>
      <c r="D46" s="385">
        <v>500</v>
      </c>
    </row>
    <row r="47" spans="1:4" ht="12" customHeight="1">
      <c r="A47" s="471" t="s">
        <v>642</v>
      </c>
      <c r="B47" s="470"/>
      <c r="C47" s="384">
        <v>50</v>
      </c>
      <c r="D47" s="385">
        <v>50</v>
      </c>
    </row>
    <row r="48" spans="1:4" ht="12" customHeight="1">
      <c r="A48" s="471" t="s">
        <v>643</v>
      </c>
      <c r="B48" s="470"/>
      <c r="C48" s="384">
        <v>250</v>
      </c>
      <c r="D48" s="385">
        <v>250</v>
      </c>
    </row>
    <row r="49" spans="1:4" ht="12" customHeight="1">
      <c r="A49" s="471" t="s">
        <v>644</v>
      </c>
      <c r="B49" s="470"/>
      <c r="C49" s="384">
        <v>200</v>
      </c>
      <c r="D49" s="385">
        <v>200</v>
      </c>
    </row>
    <row r="50" spans="1:4" ht="12" customHeight="1">
      <c r="A50" s="471" t="s">
        <v>645</v>
      </c>
      <c r="B50" s="470"/>
      <c r="C50" s="384">
        <v>50</v>
      </c>
      <c r="D50" s="385">
        <v>50</v>
      </c>
    </row>
    <row r="51" spans="1:4" ht="12" customHeight="1">
      <c r="A51" s="471" t="s">
        <v>646</v>
      </c>
      <c r="B51" s="470"/>
      <c r="C51" s="384">
        <v>1200</v>
      </c>
      <c r="D51" s="385">
        <v>1200</v>
      </c>
    </row>
    <row r="52" spans="1:4" ht="12" customHeight="1">
      <c r="A52" s="471" t="s">
        <v>647</v>
      </c>
      <c r="B52" s="470"/>
      <c r="C52" s="384">
        <v>100</v>
      </c>
      <c r="D52" s="385">
        <v>100</v>
      </c>
    </row>
    <row r="53" spans="1:4" ht="12" customHeight="1">
      <c r="A53" s="471" t="s">
        <v>648</v>
      </c>
      <c r="B53" s="470"/>
      <c r="C53" s="384">
        <v>250</v>
      </c>
      <c r="D53" s="385">
        <v>250</v>
      </c>
    </row>
    <row r="54" spans="1:4" ht="12" customHeight="1">
      <c r="A54" s="471" t="s">
        <v>649</v>
      </c>
      <c r="B54" s="470"/>
      <c r="C54" s="384">
        <v>100</v>
      </c>
      <c r="D54" s="385">
        <v>100</v>
      </c>
    </row>
    <row r="55" spans="1:4" ht="12" customHeight="1">
      <c r="A55" s="471" t="s">
        <v>650</v>
      </c>
      <c r="B55" s="470"/>
      <c r="C55" s="384">
        <v>-450</v>
      </c>
      <c r="D55" s="385">
        <v>-450</v>
      </c>
    </row>
    <row r="56" spans="1:4" ht="12" customHeight="1">
      <c r="A56" s="471" t="s">
        <v>651</v>
      </c>
      <c r="B56" s="470"/>
      <c r="C56" s="384">
        <v>50</v>
      </c>
      <c r="D56" s="385">
        <v>50</v>
      </c>
    </row>
    <row r="57" spans="1:4" ht="12" customHeight="1">
      <c r="A57" s="471" t="s">
        <v>652</v>
      </c>
      <c r="B57" s="470"/>
      <c r="C57" s="384">
        <v>200</v>
      </c>
      <c r="D57" s="385">
        <v>200</v>
      </c>
    </row>
    <row r="58" spans="1:4" ht="12" customHeight="1">
      <c r="A58" s="471" t="s">
        <v>653</v>
      </c>
      <c r="B58" s="470"/>
      <c r="C58" s="384">
        <v>37</v>
      </c>
      <c r="D58" s="385">
        <v>37</v>
      </c>
    </row>
    <row r="59" spans="1:4" ht="12" customHeight="1">
      <c r="A59" s="471" t="s">
        <v>654</v>
      </c>
      <c r="B59" s="470"/>
      <c r="C59" s="384">
        <v>200</v>
      </c>
      <c r="D59" s="385">
        <v>200</v>
      </c>
    </row>
    <row r="60" spans="1:4" ht="12" customHeight="1">
      <c r="A60" s="471" t="s">
        <v>655</v>
      </c>
      <c r="B60" s="470"/>
      <c r="C60" s="384">
        <v>2500</v>
      </c>
      <c r="D60" s="385">
        <v>2500</v>
      </c>
    </row>
    <row r="61" spans="1:4" ht="12" customHeight="1">
      <c r="A61" s="471" t="s">
        <v>656</v>
      </c>
      <c r="B61" s="470"/>
      <c r="C61" s="384">
        <v>1000</v>
      </c>
      <c r="D61" s="385">
        <v>1000</v>
      </c>
    </row>
    <row r="62" spans="1:4" ht="12" customHeight="1">
      <c r="A62" s="471" t="s">
        <v>657</v>
      </c>
      <c r="B62" s="470"/>
      <c r="C62" s="384">
        <v>24000</v>
      </c>
      <c r="D62" s="385">
        <v>24000</v>
      </c>
    </row>
    <row r="63" spans="1:4" ht="12" customHeight="1">
      <c r="A63" s="471" t="s">
        <v>658</v>
      </c>
      <c r="B63" s="470"/>
      <c r="C63" s="384">
        <v>250</v>
      </c>
      <c r="D63" s="385">
        <v>250</v>
      </c>
    </row>
    <row r="64" spans="1:4" ht="12" customHeight="1">
      <c r="A64" s="471" t="s">
        <v>659</v>
      </c>
      <c r="B64" s="470"/>
      <c r="C64" s="384">
        <v>260</v>
      </c>
      <c r="D64" s="385">
        <v>260</v>
      </c>
    </row>
    <row r="65" spans="1:4" ht="12" customHeight="1">
      <c r="A65" s="471" t="s">
        <v>660</v>
      </c>
      <c r="B65" s="470"/>
      <c r="C65" s="384">
        <v>1000</v>
      </c>
      <c r="D65" s="385">
        <v>1000</v>
      </c>
    </row>
    <row r="66" spans="1:4" ht="12" customHeight="1">
      <c r="A66" s="471" t="s">
        <v>661</v>
      </c>
      <c r="B66" s="470"/>
      <c r="C66" s="384">
        <v>2100</v>
      </c>
      <c r="D66" s="385">
        <v>2100</v>
      </c>
    </row>
    <row r="67" spans="1:4" ht="12" customHeight="1">
      <c r="A67" s="471" t="s">
        <v>662</v>
      </c>
      <c r="B67" s="470"/>
      <c r="C67" s="384">
        <v>5000</v>
      </c>
      <c r="D67" s="385">
        <v>5000</v>
      </c>
    </row>
    <row r="68" spans="1:4" ht="12" customHeight="1">
      <c r="A68" s="471" t="s">
        <v>663</v>
      </c>
      <c r="B68" s="470"/>
      <c r="C68" s="384">
        <v>1500</v>
      </c>
      <c r="D68" s="385">
        <v>1500</v>
      </c>
    </row>
    <row r="69" spans="1:4" ht="12" customHeight="1">
      <c r="A69" s="471" t="s">
        <v>664</v>
      </c>
      <c r="B69" s="470"/>
      <c r="C69" s="384">
        <v>1200</v>
      </c>
      <c r="D69" s="385">
        <v>1200</v>
      </c>
    </row>
    <row r="70" spans="1:4" ht="12" customHeight="1">
      <c r="A70" s="471" t="s">
        <v>665</v>
      </c>
      <c r="B70" s="470"/>
      <c r="C70" s="384">
        <v>3000</v>
      </c>
      <c r="D70" s="385">
        <v>3000</v>
      </c>
    </row>
    <row r="71" spans="1:4" ht="12" customHeight="1">
      <c r="A71" s="471" t="s">
        <v>666</v>
      </c>
      <c r="B71" s="470"/>
      <c r="C71" s="384">
        <v>1000</v>
      </c>
      <c r="D71" s="385">
        <v>1000</v>
      </c>
    </row>
    <row r="72" spans="1:4" ht="12" customHeight="1">
      <c r="A72" s="471" t="s">
        <v>667</v>
      </c>
      <c r="B72" s="470"/>
      <c r="C72" s="384">
        <v>500</v>
      </c>
      <c r="D72" s="385">
        <v>500</v>
      </c>
    </row>
    <row r="73" spans="1:4" ht="12" customHeight="1">
      <c r="A73" s="471" t="s">
        <v>668</v>
      </c>
      <c r="B73" s="470"/>
      <c r="C73" s="384">
        <v>500</v>
      </c>
      <c r="D73" s="385">
        <v>500</v>
      </c>
    </row>
    <row r="74" spans="1:4" ht="12" customHeight="1">
      <c r="A74" s="471" t="s">
        <v>669</v>
      </c>
      <c r="B74" s="470"/>
      <c r="C74" s="384">
        <v>193</v>
      </c>
      <c r="D74" s="385">
        <v>193</v>
      </c>
    </row>
    <row r="75" spans="1:4" ht="12" customHeight="1">
      <c r="A75" s="471" t="s">
        <v>670</v>
      </c>
      <c r="B75" s="470"/>
      <c r="C75" s="384">
        <v>5750</v>
      </c>
      <c r="D75" s="385">
        <v>5750</v>
      </c>
    </row>
    <row r="76" spans="1:4" ht="12" customHeight="1">
      <c r="A76" s="472" t="s">
        <v>120</v>
      </c>
      <c r="B76" s="473">
        <f>SUM(B6:B75)</f>
        <v>250981</v>
      </c>
      <c r="C76" s="474">
        <f>SUM(C6:C75)</f>
        <v>324168</v>
      </c>
      <c r="D76" s="475">
        <f>SUM(D6:D75)</f>
        <v>321157</v>
      </c>
    </row>
    <row r="77" spans="1:4" ht="12" customHeight="1">
      <c r="A77" s="476"/>
      <c r="B77" s="477"/>
      <c r="C77" s="419"/>
      <c r="D77" s="478"/>
    </row>
    <row r="78" spans="1:4" ht="12" customHeight="1">
      <c r="A78" s="467"/>
      <c r="B78" s="6" t="s">
        <v>7</v>
      </c>
      <c r="C78" s="376" t="s">
        <v>4</v>
      </c>
      <c r="D78" s="377" t="s">
        <v>5</v>
      </c>
    </row>
    <row r="79" spans="1:4" ht="12" customHeight="1">
      <c r="A79" s="193" t="s">
        <v>671</v>
      </c>
      <c r="B79" s="166"/>
      <c r="C79" s="384"/>
      <c r="D79" s="385"/>
    </row>
    <row r="80" spans="1:4" ht="12" customHeight="1">
      <c r="A80" s="468" t="s">
        <v>672</v>
      </c>
      <c r="B80" s="76">
        <v>8265</v>
      </c>
      <c r="C80" s="384">
        <v>13860</v>
      </c>
      <c r="D80" s="385">
        <v>13860</v>
      </c>
    </row>
    <row r="81" spans="1:4" ht="12" customHeight="1">
      <c r="A81" s="468" t="s">
        <v>673</v>
      </c>
      <c r="B81" s="76">
        <v>29264</v>
      </c>
      <c r="C81" s="384">
        <v>29264</v>
      </c>
      <c r="D81" s="385"/>
    </row>
    <row r="82" spans="1:4" ht="12" customHeight="1">
      <c r="A82" s="468" t="s">
        <v>674</v>
      </c>
      <c r="B82" s="76">
        <v>178545</v>
      </c>
      <c r="C82" s="384">
        <v>161545</v>
      </c>
      <c r="D82" s="385">
        <v>146892</v>
      </c>
    </row>
    <row r="83" spans="1:4" ht="12" customHeight="1">
      <c r="A83" s="468" t="s">
        <v>675</v>
      </c>
      <c r="B83" s="76">
        <v>45000</v>
      </c>
      <c r="C83" s="384">
        <v>45000</v>
      </c>
      <c r="D83" s="385">
        <v>16723</v>
      </c>
    </row>
    <row r="84" spans="1:4" ht="12" customHeight="1">
      <c r="A84" s="468" t="s">
        <v>676</v>
      </c>
      <c r="B84" s="76">
        <v>2500</v>
      </c>
      <c r="C84" s="384">
        <v>2500</v>
      </c>
      <c r="D84" s="385"/>
    </row>
    <row r="85" spans="1:4" ht="12" customHeight="1">
      <c r="A85" s="468" t="s">
        <v>677</v>
      </c>
      <c r="B85" s="76">
        <v>1000</v>
      </c>
      <c r="C85" s="384">
        <v>1000</v>
      </c>
      <c r="D85" s="385">
        <v>1000</v>
      </c>
    </row>
    <row r="86" spans="1:4" ht="12" customHeight="1">
      <c r="A86" s="468" t="s">
        <v>678</v>
      </c>
      <c r="B86" s="76">
        <v>1352</v>
      </c>
      <c r="C86" s="384"/>
      <c r="D86" s="385"/>
    </row>
    <row r="87" spans="1:4" ht="12" customHeight="1">
      <c r="A87" s="468" t="s">
        <v>679</v>
      </c>
      <c r="B87" s="76">
        <v>684</v>
      </c>
      <c r="C87" s="384"/>
      <c r="D87" s="385"/>
    </row>
    <row r="88" spans="1:4" ht="12" customHeight="1">
      <c r="A88" s="468" t="s">
        <v>680</v>
      </c>
      <c r="B88" s="76">
        <v>6267</v>
      </c>
      <c r="C88" s="384">
        <v>6267</v>
      </c>
      <c r="D88" s="385"/>
    </row>
    <row r="89" spans="1:4" ht="12" customHeight="1">
      <c r="A89" s="468" t="s">
        <v>681</v>
      </c>
      <c r="B89" s="76">
        <v>55000</v>
      </c>
      <c r="C89" s="384">
        <v>55000</v>
      </c>
      <c r="D89" s="385">
        <v>55000</v>
      </c>
    </row>
    <row r="90" spans="1:4" ht="12" customHeight="1">
      <c r="A90" s="468" t="s">
        <v>682</v>
      </c>
      <c r="B90" s="76">
        <v>45000</v>
      </c>
      <c r="C90" s="384">
        <v>45000</v>
      </c>
      <c r="D90" s="385"/>
    </row>
    <row r="91" spans="1:4" ht="12" customHeight="1">
      <c r="A91" s="468" t="s">
        <v>683</v>
      </c>
      <c r="B91" s="76"/>
      <c r="C91" s="384">
        <v>474</v>
      </c>
      <c r="D91" s="385">
        <v>474</v>
      </c>
    </row>
    <row r="92" spans="1:4" ht="12" customHeight="1">
      <c r="A92" s="468" t="s">
        <v>684</v>
      </c>
      <c r="B92" s="76"/>
      <c r="C92" s="384">
        <v>30</v>
      </c>
      <c r="D92" s="385">
        <v>30</v>
      </c>
    </row>
    <row r="93" spans="1:4" ht="12" customHeight="1">
      <c r="A93" s="468" t="s">
        <v>685</v>
      </c>
      <c r="B93" s="76"/>
      <c r="C93" s="384">
        <v>35000</v>
      </c>
      <c r="D93" s="385">
        <v>35000</v>
      </c>
    </row>
    <row r="94" spans="1:4" ht="12" customHeight="1">
      <c r="A94" s="468" t="s">
        <v>686</v>
      </c>
      <c r="B94" s="76"/>
      <c r="C94" s="384">
        <v>5000</v>
      </c>
      <c r="D94" s="385">
        <v>5000</v>
      </c>
    </row>
    <row r="95" spans="1:4" ht="12" customHeight="1">
      <c r="A95" s="468" t="s">
        <v>687</v>
      </c>
      <c r="B95" s="76"/>
      <c r="C95" s="384">
        <v>9100</v>
      </c>
      <c r="D95" s="385">
        <v>9100</v>
      </c>
    </row>
    <row r="96" spans="1:4" ht="12" customHeight="1">
      <c r="A96" s="468" t="s">
        <v>688</v>
      </c>
      <c r="B96" s="76"/>
      <c r="C96" s="384">
        <v>5000</v>
      </c>
      <c r="D96" s="385">
        <v>5000</v>
      </c>
    </row>
    <row r="97" spans="1:4" ht="12" customHeight="1">
      <c r="A97" s="468" t="s">
        <v>689</v>
      </c>
      <c r="B97" s="76"/>
      <c r="C97" s="384">
        <v>400</v>
      </c>
      <c r="D97" s="385">
        <v>400</v>
      </c>
    </row>
    <row r="98" spans="1:4" ht="12" customHeight="1">
      <c r="A98" s="468" t="s">
        <v>690</v>
      </c>
      <c r="B98" s="76"/>
      <c r="C98" s="384"/>
      <c r="D98" s="385">
        <v>132</v>
      </c>
    </row>
    <row r="99" spans="1:4" ht="12" customHeight="1">
      <c r="A99" s="479" t="s">
        <v>120</v>
      </c>
      <c r="B99" s="473">
        <f>SUM(B80:B90)</f>
        <v>372877</v>
      </c>
      <c r="C99" s="37">
        <f>SUM(C80:C97)</f>
        <v>414440</v>
      </c>
      <c r="D99" s="480">
        <f>SUM(D80:D98)</f>
        <v>288611</v>
      </c>
    </row>
    <row r="100" spans="1:4" ht="12" customHeight="1">
      <c r="A100" s="479"/>
      <c r="B100" s="76"/>
      <c r="C100" s="384"/>
      <c r="D100" s="385"/>
    </row>
    <row r="101" spans="1:4" ht="12.75" customHeight="1">
      <c r="A101" s="481" t="s">
        <v>345</v>
      </c>
      <c r="B101" s="482">
        <f>B76+B99</f>
        <v>623858</v>
      </c>
      <c r="C101" s="99">
        <f>SUM(C76+C99)</f>
        <v>738608</v>
      </c>
      <c r="D101" s="483">
        <f>SUM(D76+D99)</f>
        <v>609768</v>
      </c>
    </row>
    <row r="102" spans="1:2" ht="13.5">
      <c r="A102" s="1"/>
      <c r="B102" s="1"/>
    </row>
  </sheetData>
  <sheetProtection selectLockedCells="1" selectUnlockedCells="1"/>
  <mergeCells count="1">
    <mergeCell ref="A3:D3"/>
  </mergeCells>
  <printOptions horizontalCentered="1"/>
  <pageMargins left="0.24027777777777778" right="0.2361111111111111" top="0.3798611111111111" bottom="0.2701388888888889" header="0.5118055555555555" footer="0.5118055555555555"/>
  <pageSetup horizontalDpi="300" verticalDpi="300" orientation="portrait" paperSize="9" scale="85"/>
  <rowBreaks count="1" manualBreakCount="1">
    <brk id="7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D62" sqref="D62"/>
    </sheetView>
  </sheetViews>
  <sheetFormatPr defaultColWidth="9.00390625" defaultRowHeight="12.75"/>
  <cols>
    <col min="1" max="1" width="66.375" style="0" customWidth="1"/>
    <col min="2" max="3" width="10.75390625" style="0" customWidth="1"/>
    <col min="4" max="4" width="11.375" style="0" customWidth="1"/>
  </cols>
  <sheetData>
    <row r="1" spans="1:2" ht="12.75">
      <c r="A1" s="216"/>
      <c r="B1" s="1"/>
    </row>
    <row r="2" spans="1:2" ht="12.75">
      <c r="A2" s="157"/>
      <c r="B2" s="1"/>
    </row>
    <row r="3" spans="1:2" ht="12.75">
      <c r="A3" s="157"/>
      <c r="B3" s="1"/>
    </row>
    <row r="4" spans="1:4" ht="12.75" customHeight="1">
      <c r="A4" s="484" t="s">
        <v>691</v>
      </c>
      <c r="B4" s="484"/>
      <c r="C4" s="484"/>
      <c r="D4" s="484"/>
    </row>
    <row r="5" spans="1:4" ht="12.75">
      <c r="A5" s="484" t="s">
        <v>692</v>
      </c>
      <c r="B5" s="484"/>
      <c r="C5" s="484"/>
      <c r="D5" s="484"/>
    </row>
    <row r="6" spans="1:4" ht="12.75">
      <c r="A6" s="184" t="s">
        <v>693</v>
      </c>
      <c r="B6" s="184"/>
      <c r="C6" s="184"/>
      <c r="D6" s="184"/>
    </row>
    <row r="7" spans="1:2" ht="12.75">
      <c r="A7" s="184"/>
      <c r="B7" s="485"/>
    </row>
    <row r="8" spans="1:2" ht="13.5">
      <c r="A8" s="184"/>
      <c r="B8" s="1"/>
    </row>
    <row r="9" spans="1:4" ht="12.75" customHeight="1">
      <c r="A9" s="486"/>
      <c r="B9" s="375" t="s">
        <v>7</v>
      </c>
      <c r="C9" s="411" t="s">
        <v>4</v>
      </c>
      <c r="D9" s="412" t="s">
        <v>5</v>
      </c>
    </row>
    <row r="10" spans="1:4" ht="12.75" customHeight="1">
      <c r="A10" s="204" t="s">
        <v>694</v>
      </c>
      <c r="B10" s="83"/>
      <c r="C10" s="487"/>
      <c r="D10" s="488"/>
    </row>
    <row r="11" spans="1:4" ht="12.75" customHeight="1">
      <c r="A11" s="71" t="s">
        <v>695</v>
      </c>
      <c r="B11" s="76">
        <v>17100</v>
      </c>
      <c r="C11" s="384">
        <v>17100</v>
      </c>
      <c r="D11" s="385"/>
    </row>
    <row r="12" spans="1:4" ht="12.75" customHeight="1">
      <c r="A12" s="71" t="s">
        <v>696</v>
      </c>
      <c r="B12" s="76">
        <v>8000</v>
      </c>
      <c r="C12" s="384">
        <v>8000</v>
      </c>
      <c r="D12" s="385">
        <v>7460</v>
      </c>
    </row>
    <row r="13" spans="1:4" ht="12.75" customHeight="1">
      <c r="A13" s="71" t="s">
        <v>697</v>
      </c>
      <c r="B13" s="76">
        <v>1500</v>
      </c>
      <c r="C13" s="384">
        <v>1500</v>
      </c>
      <c r="D13" s="385">
        <v>763</v>
      </c>
    </row>
    <row r="14" spans="1:4" ht="12.75" customHeight="1">
      <c r="A14" s="71" t="s">
        <v>698</v>
      </c>
      <c r="B14" s="76">
        <v>56000</v>
      </c>
      <c r="C14" s="384">
        <v>48052</v>
      </c>
      <c r="D14" s="385">
        <v>48052</v>
      </c>
    </row>
    <row r="15" spans="1:4" ht="12.75" customHeight="1">
      <c r="A15" s="71" t="s">
        <v>699</v>
      </c>
      <c r="B15" s="76">
        <v>30366</v>
      </c>
      <c r="C15" s="384">
        <v>30366</v>
      </c>
      <c r="D15" s="385">
        <v>25326</v>
      </c>
    </row>
    <row r="16" spans="1:4" ht="12.75" customHeight="1">
      <c r="A16" s="71" t="s">
        <v>700</v>
      </c>
      <c r="B16" s="76">
        <v>1900</v>
      </c>
      <c r="C16" s="384">
        <v>2950</v>
      </c>
      <c r="D16" s="385">
        <v>2950</v>
      </c>
    </row>
    <row r="17" spans="1:4" ht="12.75" customHeight="1">
      <c r="A17" s="71" t="s">
        <v>701</v>
      </c>
      <c r="B17" s="76">
        <v>17002</v>
      </c>
      <c r="C17" s="384">
        <v>17002</v>
      </c>
      <c r="D17" s="385">
        <v>17002</v>
      </c>
    </row>
    <row r="18" spans="1:4" ht="12.75" customHeight="1">
      <c r="A18" s="71" t="s">
        <v>702</v>
      </c>
      <c r="B18" s="76">
        <v>8000</v>
      </c>
      <c r="C18" s="384">
        <v>8000</v>
      </c>
      <c r="D18" s="385">
        <v>8000</v>
      </c>
    </row>
    <row r="19" spans="1:4" ht="12.75" customHeight="1">
      <c r="A19" s="489" t="s">
        <v>703</v>
      </c>
      <c r="B19" s="76"/>
      <c r="C19" s="384">
        <v>4884</v>
      </c>
      <c r="D19" s="385">
        <v>4884</v>
      </c>
    </row>
    <row r="20" spans="1:4" ht="12.75" customHeight="1">
      <c r="A20" s="489" t="s">
        <v>704</v>
      </c>
      <c r="B20" s="76"/>
      <c r="C20" s="384">
        <v>1250</v>
      </c>
      <c r="D20" s="385">
        <v>450</v>
      </c>
    </row>
    <row r="21" spans="1:4" ht="12.75" customHeight="1">
      <c r="A21" s="489" t="s">
        <v>705</v>
      </c>
      <c r="B21" s="76"/>
      <c r="C21" s="384">
        <v>4507</v>
      </c>
      <c r="D21" s="385">
        <v>4507</v>
      </c>
    </row>
    <row r="22" spans="1:4" ht="12.75" customHeight="1">
      <c r="A22" s="489" t="s">
        <v>706</v>
      </c>
      <c r="B22" s="76"/>
      <c r="C22" s="384">
        <v>1041</v>
      </c>
      <c r="D22" s="385">
        <v>1041</v>
      </c>
    </row>
    <row r="23" spans="1:4" ht="12.75" customHeight="1">
      <c r="A23" s="489" t="s">
        <v>707</v>
      </c>
      <c r="B23" s="76"/>
      <c r="C23" s="384">
        <v>2515</v>
      </c>
      <c r="D23" s="385">
        <v>2514</v>
      </c>
    </row>
    <row r="24" spans="1:4" ht="12.75" customHeight="1">
      <c r="A24" s="489" t="s">
        <v>708</v>
      </c>
      <c r="B24" s="76"/>
      <c r="C24" s="384">
        <v>1000</v>
      </c>
      <c r="D24" s="385">
        <v>350</v>
      </c>
    </row>
    <row r="25" spans="1:4" ht="12.75" customHeight="1">
      <c r="A25" s="489" t="s">
        <v>709</v>
      </c>
      <c r="B25" s="76"/>
      <c r="C25" s="384">
        <v>350</v>
      </c>
      <c r="D25" s="385">
        <v>350</v>
      </c>
    </row>
    <row r="26" spans="1:4" ht="12.75" customHeight="1">
      <c r="A26" s="489" t="s">
        <v>710</v>
      </c>
      <c r="B26" s="76"/>
      <c r="C26" s="384">
        <v>1200</v>
      </c>
      <c r="D26" s="385">
        <v>1200</v>
      </c>
    </row>
    <row r="27" spans="1:4" ht="12.75" customHeight="1">
      <c r="A27" s="489" t="s">
        <v>711</v>
      </c>
      <c r="B27" s="76"/>
      <c r="C27" s="384">
        <v>14658</v>
      </c>
      <c r="D27" s="385">
        <v>11625</v>
      </c>
    </row>
    <row r="28" spans="1:4" ht="12.75" customHeight="1">
      <c r="A28" s="489" t="s">
        <v>712</v>
      </c>
      <c r="B28" s="76"/>
      <c r="C28" s="384"/>
      <c r="D28" s="385">
        <v>90</v>
      </c>
    </row>
    <row r="29" spans="1:4" ht="12.75" customHeight="1">
      <c r="A29" s="489" t="s">
        <v>713</v>
      </c>
      <c r="B29" s="76"/>
      <c r="C29" s="384"/>
      <c r="D29" s="385">
        <v>24</v>
      </c>
    </row>
    <row r="30" spans="1:4" ht="12.75" customHeight="1">
      <c r="A30" s="489" t="s">
        <v>714</v>
      </c>
      <c r="B30" s="76"/>
      <c r="C30" s="384">
        <v>7842</v>
      </c>
      <c r="D30" s="385">
        <v>7842</v>
      </c>
    </row>
    <row r="31" spans="1:4" ht="12.75" customHeight="1">
      <c r="A31" s="489" t="s">
        <v>715</v>
      </c>
      <c r="B31" s="76"/>
      <c r="C31" s="384">
        <v>214</v>
      </c>
      <c r="D31" s="385">
        <v>214</v>
      </c>
    </row>
    <row r="32" spans="1:4" ht="12.75" customHeight="1">
      <c r="A32" s="489" t="s">
        <v>716</v>
      </c>
      <c r="B32" s="76"/>
      <c r="C32" s="384"/>
      <c r="D32" s="385">
        <v>1330</v>
      </c>
    </row>
    <row r="33" spans="1:4" ht="12.75" customHeight="1">
      <c r="A33" s="490" t="s">
        <v>120</v>
      </c>
      <c r="B33" s="491">
        <f>SUM(B11:B27)</f>
        <v>139868</v>
      </c>
      <c r="C33" s="492">
        <f>SUM(C11:C32)</f>
        <v>172431</v>
      </c>
      <c r="D33" s="493">
        <f>SUM(D11:D32)</f>
        <v>145974</v>
      </c>
    </row>
    <row r="34" spans="1:4" ht="12.75" customHeight="1">
      <c r="A34" s="71"/>
      <c r="B34" s="76"/>
      <c r="C34" s="384"/>
      <c r="D34" s="385"/>
    </row>
    <row r="35" spans="1:4" ht="12.75" customHeight="1">
      <c r="A35" s="204" t="s">
        <v>717</v>
      </c>
      <c r="B35" s="31"/>
      <c r="C35" s="384"/>
      <c r="D35" s="385"/>
    </row>
    <row r="36" spans="1:4" ht="12.75" customHeight="1">
      <c r="A36" s="489" t="s">
        <v>718</v>
      </c>
      <c r="B36" s="76">
        <v>142597</v>
      </c>
      <c r="C36" s="384">
        <v>92688</v>
      </c>
      <c r="D36" s="385">
        <v>92688</v>
      </c>
    </row>
    <row r="37" spans="1:4" ht="12.75" customHeight="1">
      <c r="A37" s="489" t="s">
        <v>719</v>
      </c>
      <c r="B37" s="76">
        <v>238476</v>
      </c>
      <c r="C37" s="384">
        <v>155009</v>
      </c>
      <c r="D37" s="385">
        <v>117399</v>
      </c>
    </row>
    <row r="38" spans="1:4" ht="12.75" customHeight="1">
      <c r="A38" s="489" t="s">
        <v>720</v>
      </c>
      <c r="B38" s="76">
        <v>534622</v>
      </c>
      <c r="C38" s="384">
        <v>367236</v>
      </c>
      <c r="D38" s="385">
        <v>46463</v>
      </c>
    </row>
    <row r="39" spans="1:4" ht="12.75" customHeight="1">
      <c r="A39" s="489" t="s">
        <v>721</v>
      </c>
      <c r="B39" s="76">
        <v>53582</v>
      </c>
      <c r="C39" s="384">
        <v>53582</v>
      </c>
      <c r="D39" s="385"/>
    </row>
    <row r="40" spans="1:4" ht="12.75" customHeight="1">
      <c r="A40" s="489" t="s">
        <v>722</v>
      </c>
      <c r="B40" s="76">
        <v>179030</v>
      </c>
      <c r="C40" s="384">
        <v>179030</v>
      </c>
      <c r="D40" s="385"/>
    </row>
    <row r="41" spans="1:4" ht="12.75" customHeight="1">
      <c r="A41" s="489" t="s">
        <v>723</v>
      </c>
      <c r="B41" s="76">
        <v>99994</v>
      </c>
      <c r="C41" s="384">
        <v>99994</v>
      </c>
      <c r="D41" s="385"/>
    </row>
    <row r="42" spans="1:4" ht="12.75" customHeight="1">
      <c r="A42" s="489" t="s">
        <v>724</v>
      </c>
      <c r="B42" s="76">
        <v>700000</v>
      </c>
      <c r="C42" s="384">
        <v>700000</v>
      </c>
      <c r="D42" s="385"/>
    </row>
    <row r="43" spans="1:4" ht="12.75" customHeight="1">
      <c r="A43" s="489" t="s">
        <v>725</v>
      </c>
      <c r="B43" s="76">
        <v>315000</v>
      </c>
      <c r="C43" s="384"/>
      <c r="D43" s="385"/>
    </row>
    <row r="44" spans="1:4" ht="12.75" customHeight="1">
      <c r="A44" s="489" t="s">
        <v>726</v>
      </c>
      <c r="B44" s="76">
        <v>44059</v>
      </c>
      <c r="C44" s="384">
        <v>44059</v>
      </c>
      <c r="D44" s="385">
        <v>3129</v>
      </c>
    </row>
    <row r="45" spans="1:4" ht="12.75" customHeight="1">
      <c r="A45" s="489" t="s">
        <v>727</v>
      </c>
      <c r="B45" s="76">
        <v>19997</v>
      </c>
      <c r="C45" s="384"/>
      <c r="D45" s="385"/>
    </row>
    <row r="46" spans="1:4" ht="12.75" customHeight="1">
      <c r="A46" s="489" t="s">
        <v>728</v>
      </c>
      <c r="B46" s="76">
        <v>30000</v>
      </c>
      <c r="C46" s="384"/>
      <c r="D46" s="385"/>
    </row>
    <row r="47" spans="1:4" ht="12.75" customHeight="1">
      <c r="A47" s="489" t="s">
        <v>468</v>
      </c>
      <c r="B47" s="76">
        <v>134994</v>
      </c>
      <c r="C47" s="384">
        <v>134994</v>
      </c>
      <c r="D47" s="385">
        <v>6604</v>
      </c>
    </row>
    <row r="48" spans="1:4" ht="12.75" customHeight="1">
      <c r="A48" s="489" t="s">
        <v>729</v>
      </c>
      <c r="B48" s="76">
        <v>493</v>
      </c>
      <c r="C48" s="384">
        <v>493</v>
      </c>
      <c r="D48" s="385">
        <v>493</v>
      </c>
    </row>
    <row r="49" spans="1:4" ht="12.75" customHeight="1">
      <c r="A49" s="490" t="s">
        <v>120</v>
      </c>
      <c r="B49" s="491">
        <f>SUM(B36:B48)</f>
        <v>2492844</v>
      </c>
      <c r="C49" s="401">
        <f>SUM(C36:C48)</f>
        <v>1827085</v>
      </c>
      <c r="D49" s="402">
        <f>SUM(D36:D48)</f>
        <v>266776</v>
      </c>
    </row>
    <row r="50" spans="1:4" ht="12.75" customHeight="1">
      <c r="A50" s="490"/>
      <c r="B50" s="76"/>
      <c r="C50" s="384"/>
      <c r="D50" s="385"/>
    </row>
    <row r="51" spans="1:4" ht="12.75" customHeight="1">
      <c r="A51" s="204" t="s">
        <v>730</v>
      </c>
      <c r="B51" s="76"/>
      <c r="C51" s="384"/>
      <c r="D51" s="385"/>
    </row>
    <row r="52" spans="1:4" ht="12.75" customHeight="1">
      <c r="A52" s="494" t="s">
        <v>731</v>
      </c>
      <c r="B52" s="76">
        <v>6700</v>
      </c>
      <c r="C52" s="384">
        <v>6700</v>
      </c>
      <c r="D52" s="385">
        <v>7044</v>
      </c>
    </row>
    <row r="53" spans="1:4" ht="12.75" customHeight="1">
      <c r="A53" s="490" t="s">
        <v>120</v>
      </c>
      <c r="B53" s="491">
        <f>SUM(B52:B52)</f>
        <v>6700</v>
      </c>
      <c r="C53" s="401">
        <f>SUM(C52)</f>
        <v>6700</v>
      </c>
      <c r="D53" s="402">
        <f>SUM(D52)</f>
        <v>7044</v>
      </c>
    </row>
    <row r="54" spans="1:4" ht="12.75" customHeight="1">
      <c r="A54" s="71"/>
      <c r="B54" s="76"/>
      <c r="C54" s="384"/>
      <c r="D54" s="385"/>
    </row>
    <row r="55" spans="1:4" ht="12.75" customHeight="1">
      <c r="A55" s="204" t="s">
        <v>732</v>
      </c>
      <c r="B55" s="76"/>
      <c r="C55" s="384"/>
      <c r="D55" s="385"/>
    </row>
    <row r="56" spans="1:4" ht="12.75" customHeight="1">
      <c r="A56" s="71" t="s">
        <v>733</v>
      </c>
      <c r="B56" s="76">
        <v>2700</v>
      </c>
      <c r="C56" s="384">
        <v>2700</v>
      </c>
      <c r="D56" s="385">
        <v>4072</v>
      </c>
    </row>
    <row r="57" spans="1:4" ht="12.75" customHeight="1">
      <c r="A57" s="71" t="s">
        <v>734</v>
      </c>
      <c r="B57" s="76"/>
      <c r="C57" s="384">
        <v>9350</v>
      </c>
      <c r="D57" s="385"/>
    </row>
    <row r="58" spans="1:4" ht="12.75" customHeight="1">
      <c r="A58" s="490" t="s">
        <v>120</v>
      </c>
      <c r="B58" s="491">
        <f>SUM(B56:B57)</f>
        <v>2700</v>
      </c>
      <c r="C58" s="401">
        <f>SUM(C56:C57)</f>
        <v>12050</v>
      </c>
      <c r="D58" s="402">
        <f>SUM(D56:D57)</f>
        <v>4072</v>
      </c>
    </row>
    <row r="59" spans="1:4" ht="12.75" customHeight="1">
      <c r="A59" s="71"/>
      <c r="B59" s="76"/>
      <c r="C59" s="384"/>
      <c r="D59" s="385"/>
    </row>
    <row r="60" spans="1:4" ht="12.75" customHeight="1">
      <c r="A60" s="495" t="s">
        <v>345</v>
      </c>
      <c r="B60" s="482">
        <f>SUM(B33+B49+B53+B58)</f>
        <v>2642112</v>
      </c>
      <c r="C60" s="99">
        <f>SUM(C33+C49+C53+C58)</f>
        <v>2018266</v>
      </c>
      <c r="D60" s="483">
        <f>SUM(D33+D49+D53+D58)</f>
        <v>423866</v>
      </c>
    </row>
    <row r="61" spans="1:2" ht="13.5">
      <c r="A61" s="1"/>
      <c r="B61" s="1"/>
    </row>
  </sheetData>
  <sheetProtection selectLockedCells="1" selectUnlockedCells="1"/>
  <mergeCells count="3">
    <mergeCell ref="A4:D4"/>
    <mergeCell ref="A5:D5"/>
    <mergeCell ref="A6:D6"/>
  </mergeCells>
  <printOptions horizontalCentered="1"/>
  <pageMargins left="0.35" right="0.25" top="0.5895833333333333" bottom="0.5798611111111112" header="0.3597222222222222" footer="0.5118055555555555"/>
  <pageSetup horizontalDpi="300" verticalDpi="300" orientation="portrait" paperSize="9"/>
  <headerFooter alignWithMargins="0">
    <oddHeader>&amp;L&amp;8 10. melléklet a 16/2011.(V.02.)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197"/>
  <sheetViews>
    <sheetView workbookViewId="0" topLeftCell="A1">
      <selection activeCell="A19" sqref="A19"/>
    </sheetView>
  </sheetViews>
  <sheetFormatPr defaultColWidth="9.00390625" defaultRowHeight="12.75"/>
  <cols>
    <col min="1" max="1" width="45.875" style="496" customWidth="1"/>
    <col min="2" max="2" width="12.375" style="496" customWidth="1"/>
    <col min="3" max="3" width="12.25390625" style="410" customWidth="1"/>
    <col min="4" max="4" width="12.875" style="410" customWidth="1"/>
    <col min="5" max="5" width="8.25390625" style="497" customWidth="1"/>
    <col min="6" max="6" width="21.875" style="410" customWidth="1"/>
    <col min="7" max="23" width="9.125" style="410" customWidth="1"/>
    <col min="24" max="16384" width="9.125" style="496" customWidth="1"/>
  </cols>
  <sheetData>
    <row r="1" ht="14.25" customHeight="1"/>
    <row r="2" spans="1:6" ht="14.25" customHeight="1">
      <c r="A2" s="372" t="s">
        <v>735</v>
      </c>
      <c r="B2" s="372"/>
      <c r="C2" s="372"/>
      <c r="D2" s="372"/>
      <c r="E2" s="372"/>
      <c r="F2" s="372"/>
    </row>
    <row r="3" spans="1:2" ht="14.25" customHeight="1">
      <c r="A3" s="410"/>
      <c r="B3" s="410"/>
    </row>
    <row r="4" spans="1:2" ht="14.25" customHeight="1">
      <c r="A4" s="498" t="s">
        <v>736</v>
      </c>
      <c r="B4" s="410"/>
    </row>
    <row r="5" spans="1:2" ht="14.25" customHeight="1">
      <c r="A5" s="410"/>
      <c r="B5" s="410"/>
    </row>
    <row r="6" spans="1:6" ht="14.25" customHeight="1">
      <c r="A6" s="499" t="s">
        <v>737</v>
      </c>
      <c r="B6" s="500" t="s">
        <v>738</v>
      </c>
      <c r="C6" s="500"/>
      <c r="D6" s="500"/>
      <c r="E6" s="500"/>
      <c r="F6" s="500"/>
    </row>
    <row r="7" spans="1:6" ht="14.25" customHeight="1">
      <c r="A7" s="501" t="s">
        <v>739</v>
      </c>
      <c r="B7" s="502">
        <v>40148</v>
      </c>
      <c r="C7" s="502"/>
      <c r="D7" s="502"/>
      <c r="E7" s="502"/>
      <c r="F7" s="502"/>
    </row>
    <row r="8" spans="1:6" ht="14.25" customHeight="1">
      <c r="A8" s="501" t="s">
        <v>740</v>
      </c>
      <c r="B8" s="503" t="s">
        <v>741</v>
      </c>
      <c r="C8" s="503"/>
      <c r="D8" s="503"/>
      <c r="E8" s="503"/>
      <c r="F8" s="503"/>
    </row>
    <row r="9" spans="1:6" ht="14.25" customHeight="1">
      <c r="A9" s="501" t="s">
        <v>742</v>
      </c>
      <c r="B9" s="504">
        <f>SUM(B10:B12)</f>
        <v>794975</v>
      </c>
      <c r="C9" s="505" t="s">
        <v>743</v>
      </c>
      <c r="D9" s="505"/>
      <c r="E9" s="506">
        <f>SUM(E10:E12)</f>
        <v>69155</v>
      </c>
      <c r="F9" s="507"/>
    </row>
    <row r="10" spans="1:6" ht="14.25" customHeight="1">
      <c r="A10" s="501" t="s">
        <v>744</v>
      </c>
      <c r="B10" s="508">
        <f>794975-B12</f>
        <v>260353</v>
      </c>
      <c r="C10" s="505" t="s">
        <v>743</v>
      </c>
      <c r="D10" s="505"/>
      <c r="E10" s="509">
        <f>65854-46463+3301</f>
        <v>22692</v>
      </c>
      <c r="F10" s="507"/>
    </row>
    <row r="11" spans="1:6" ht="14.25" customHeight="1">
      <c r="A11" s="501" t="s">
        <v>745</v>
      </c>
      <c r="B11" s="508" t="s">
        <v>746</v>
      </c>
      <c r="C11" s="505"/>
      <c r="D11" s="505"/>
      <c r="E11" s="509"/>
      <c r="F11" s="507"/>
    </row>
    <row r="12" spans="1:6" ht="14.25" customHeight="1">
      <c r="A12" s="501" t="s">
        <v>747</v>
      </c>
      <c r="B12" s="508">
        <v>534622</v>
      </c>
      <c r="C12" s="505" t="s">
        <v>743</v>
      </c>
      <c r="D12" s="505"/>
      <c r="E12" s="509">
        <v>46463</v>
      </c>
      <c r="F12" s="507"/>
    </row>
    <row r="13" spans="1:6" ht="14.25" customHeight="1">
      <c r="A13" s="501" t="s">
        <v>70</v>
      </c>
      <c r="B13" s="504">
        <v>794975</v>
      </c>
      <c r="C13" s="505" t="s">
        <v>743</v>
      </c>
      <c r="D13" s="505"/>
      <c r="E13" s="506">
        <f>SUM(E10:E12)</f>
        <v>69155</v>
      </c>
      <c r="F13" s="507"/>
    </row>
    <row r="14" spans="1:6" ht="14.25" customHeight="1">
      <c r="A14" s="510"/>
      <c r="B14" s="509"/>
      <c r="C14" s="511"/>
      <c r="D14" s="511"/>
      <c r="E14" s="512"/>
      <c r="F14" s="513"/>
    </row>
    <row r="15" spans="1:6" ht="14.25" customHeight="1">
      <c r="A15" s="501" t="s">
        <v>737</v>
      </c>
      <c r="B15" s="514" t="s">
        <v>748</v>
      </c>
      <c r="C15" s="514"/>
      <c r="D15" s="514"/>
      <c r="E15" s="514"/>
      <c r="F15" s="514"/>
    </row>
    <row r="16" spans="1:6" ht="14.25" customHeight="1">
      <c r="A16" s="501" t="s">
        <v>739</v>
      </c>
      <c r="B16" s="502">
        <v>39993</v>
      </c>
      <c r="C16" s="502"/>
      <c r="D16" s="502"/>
      <c r="E16" s="502"/>
      <c r="F16" s="502"/>
    </row>
    <row r="17" spans="1:6" ht="14.25" customHeight="1">
      <c r="A17" s="501" t="s">
        <v>740</v>
      </c>
      <c r="B17" s="503" t="s">
        <v>749</v>
      </c>
      <c r="C17" s="503"/>
      <c r="D17" s="503"/>
      <c r="E17" s="503"/>
      <c r="F17" s="503"/>
    </row>
    <row r="18" spans="1:6" ht="14.25" customHeight="1">
      <c r="A18" s="501" t="s">
        <v>742</v>
      </c>
      <c r="B18" s="504">
        <f>SUM(B19:B21)</f>
        <v>458724</v>
      </c>
      <c r="C18" s="505" t="s">
        <v>743</v>
      </c>
      <c r="D18" s="505"/>
      <c r="E18" s="506">
        <f>SUM(E19:E21)</f>
        <v>446219</v>
      </c>
      <c r="F18" s="507"/>
    </row>
    <row r="19" spans="1:6" ht="14.25" customHeight="1">
      <c r="A19" s="501" t="s">
        <v>744</v>
      </c>
      <c r="B19" s="508">
        <f>458724-B21</f>
        <v>316127</v>
      </c>
      <c r="C19" s="505" t="s">
        <v>743</v>
      </c>
      <c r="D19" s="505"/>
      <c r="E19" s="509">
        <f>442788+275+3156-92688</f>
        <v>353531</v>
      </c>
      <c r="F19" s="507"/>
    </row>
    <row r="20" spans="1:6" ht="14.25" customHeight="1">
      <c r="A20" s="501" t="s">
        <v>745</v>
      </c>
      <c r="B20" s="508" t="s">
        <v>746</v>
      </c>
      <c r="C20" s="505"/>
      <c r="D20" s="505"/>
      <c r="E20" s="509"/>
      <c r="F20" s="507"/>
    </row>
    <row r="21" spans="1:6" ht="14.25" customHeight="1">
      <c r="A21" s="501" t="s">
        <v>747</v>
      </c>
      <c r="B21" s="508">
        <v>142597</v>
      </c>
      <c r="C21" s="505" t="s">
        <v>743</v>
      </c>
      <c r="D21" s="505"/>
      <c r="E21" s="509">
        <v>92688</v>
      </c>
      <c r="F21" s="507"/>
    </row>
    <row r="22" spans="1:6" ht="14.25" customHeight="1">
      <c r="A22" s="501" t="s">
        <v>70</v>
      </c>
      <c r="B22" s="504">
        <v>458724</v>
      </c>
      <c r="C22" s="505" t="s">
        <v>743</v>
      </c>
      <c r="D22" s="505"/>
      <c r="E22" s="506">
        <f>SUM(E19:E21)</f>
        <v>446219</v>
      </c>
      <c r="F22" s="507"/>
    </row>
    <row r="23" spans="1:6" ht="14.25" customHeight="1">
      <c r="A23" s="510"/>
      <c r="B23" s="509"/>
      <c r="C23" s="511"/>
      <c r="D23" s="511"/>
      <c r="E23" s="512"/>
      <c r="F23" s="513"/>
    </row>
    <row r="24" spans="1:6" ht="14.25" customHeight="1">
      <c r="A24" s="501" t="s">
        <v>737</v>
      </c>
      <c r="B24" s="515" t="s">
        <v>750</v>
      </c>
      <c r="C24" s="516"/>
      <c r="D24" s="516"/>
      <c r="E24" s="509"/>
      <c r="F24" s="507"/>
    </row>
    <row r="25" spans="1:6" ht="14.25" customHeight="1">
      <c r="A25" s="501" t="s">
        <v>739</v>
      </c>
      <c r="B25" s="502">
        <v>39958</v>
      </c>
      <c r="C25" s="502"/>
      <c r="D25" s="502"/>
      <c r="E25" s="502"/>
      <c r="F25" s="502"/>
    </row>
    <row r="26" spans="1:6" ht="14.25" customHeight="1">
      <c r="A26" s="501" t="s">
        <v>740</v>
      </c>
      <c r="B26" s="503" t="s">
        <v>751</v>
      </c>
      <c r="C26" s="503"/>
      <c r="D26" s="503"/>
      <c r="E26" s="503"/>
      <c r="F26" s="503"/>
    </row>
    <row r="27" spans="1:6" ht="14.25" customHeight="1">
      <c r="A27" s="501" t="s">
        <v>742</v>
      </c>
      <c r="B27" s="504">
        <f>SUM(B28:B30)</f>
        <v>524993</v>
      </c>
      <c r="C27" s="505" t="s">
        <v>743</v>
      </c>
      <c r="D27" s="505"/>
      <c r="E27" s="506">
        <f>SUM(E28:E30)</f>
        <v>461841</v>
      </c>
      <c r="F27" s="507"/>
    </row>
    <row r="28" spans="1:6" ht="14.25" customHeight="1">
      <c r="A28" s="501" t="s">
        <v>744</v>
      </c>
      <c r="B28" s="508">
        <f>B31-B30</f>
        <v>277194</v>
      </c>
      <c r="C28" s="505" t="s">
        <v>743</v>
      </c>
      <c r="D28" s="505"/>
      <c r="E28" s="509">
        <f>447089-117399+14752</f>
        <v>344442</v>
      </c>
      <c r="F28" s="507"/>
    </row>
    <row r="29" spans="1:6" ht="14.25" customHeight="1">
      <c r="A29" s="501" t="s">
        <v>745</v>
      </c>
      <c r="B29" s="508" t="s">
        <v>746</v>
      </c>
      <c r="C29" s="505"/>
      <c r="D29" s="505"/>
      <c r="E29" s="509"/>
      <c r="F29" s="507"/>
    </row>
    <row r="30" spans="1:6" ht="14.25" customHeight="1">
      <c r="A30" s="501" t="s">
        <v>747</v>
      </c>
      <c r="B30" s="508">
        <v>247799</v>
      </c>
      <c r="C30" s="505" t="s">
        <v>743</v>
      </c>
      <c r="D30" s="505"/>
      <c r="E30" s="509">
        <v>117399</v>
      </c>
      <c r="F30" s="507"/>
    </row>
    <row r="31" spans="1:6" ht="14.25" customHeight="1">
      <c r="A31" s="501" t="s">
        <v>70</v>
      </c>
      <c r="B31" s="504">
        <v>524993</v>
      </c>
      <c r="C31" s="505" t="s">
        <v>743</v>
      </c>
      <c r="D31" s="505"/>
      <c r="E31" s="506">
        <f>SUM(E28:E30)</f>
        <v>461841</v>
      </c>
      <c r="F31" s="507"/>
    </row>
    <row r="32" spans="1:6" ht="14.25" customHeight="1">
      <c r="A32" s="510"/>
      <c r="B32" s="509"/>
      <c r="C32" s="511"/>
      <c r="D32" s="511"/>
      <c r="E32" s="512"/>
      <c r="F32" s="513"/>
    </row>
    <row r="33" spans="1:6" ht="14.25" customHeight="1">
      <c r="A33" s="517" t="s">
        <v>737</v>
      </c>
      <c r="B33" s="518" t="s">
        <v>752</v>
      </c>
      <c r="C33" s="518"/>
      <c r="D33" s="518"/>
      <c r="E33" s="518"/>
      <c r="F33" s="518"/>
    </row>
    <row r="34" spans="1:6" ht="14.25" customHeight="1">
      <c r="A34" s="501" t="s">
        <v>739</v>
      </c>
      <c r="B34" s="503" t="s">
        <v>753</v>
      </c>
      <c r="C34" s="503"/>
      <c r="D34" s="503"/>
      <c r="E34" s="503"/>
      <c r="F34" s="503"/>
    </row>
    <row r="35" spans="1:6" ht="14.25" customHeight="1">
      <c r="A35" s="501" t="s">
        <v>740</v>
      </c>
      <c r="B35" s="503" t="s">
        <v>754</v>
      </c>
      <c r="C35" s="503"/>
      <c r="D35" s="503"/>
      <c r="E35" s="503"/>
      <c r="F35" s="503"/>
    </row>
    <row r="36" spans="1:6" ht="14.25" customHeight="1">
      <c r="A36" s="501" t="s">
        <v>742</v>
      </c>
      <c r="B36" s="504">
        <f>SUM(B37:B39)</f>
        <v>21738</v>
      </c>
      <c r="C36" s="505" t="s">
        <v>743</v>
      </c>
      <c r="D36" s="505"/>
      <c r="E36" s="506">
        <f>SUM(E37:E39)</f>
        <v>13467</v>
      </c>
      <c r="F36" s="507"/>
    </row>
    <row r="37" spans="1:6" ht="14.25" customHeight="1">
      <c r="A37" s="501" t="s">
        <v>744</v>
      </c>
      <c r="B37" s="508">
        <v>1741</v>
      </c>
      <c r="C37" s="505" t="s">
        <v>743</v>
      </c>
      <c r="D37" s="505"/>
      <c r="E37" s="509">
        <f>13232-11625+235</f>
        <v>1842</v>
      </c>
      <c r="F37" s="507"/>
    </row>
    <row r="38" spans="1:6" ht="14.25" customHeight="1">
      <c r="A38" s="501" t="s">
        <v>745</v>
      </c>
      <c r="B38" s="508" t="s">
        <v>746</v>
      </c>
      <c r="C38" s="505"/>
      <c r="D38" s="505"/>
      <c r="E38" s="509"/>
      <c r="F38" s="507"/>
    </row>
    <row r="39" spans="1:6" ht="14.25" customHeight="1">
      <c r="A39" s="501" t="s">
        <v>747</v>
      </c>
      <c r="B39" s="508">
        <v>19997</v>
      </c>
      <c r="C39" s="505" t="s">
        <v>743</v>
      </c>
      <c r="D39" s="505"/>
      <c r="E39" s="509">
        <v>11625</v>
      </c>
      <c r="F39" s="507"/>
    </row>
    <row r="40" spans="1:6" ht="14.25" customHeight="1">
      <c r="A40" s="501" t="s">
        <v>70</v>
      </c>
      <c r="B40" s="504">
        <v>21738</v>
      </c>
      <c r="C40" s="505" t="s">
        <v>743</v>
      </c>
      <c r="D40" s="505"/>
      <c r="E40" s="506">
        <f>SUM(E37:E39)</f>
        <v>13467</v>
      </c>
      <c r="F40" s="507"/>
    </row>
    <row r="41" spans="1:6" ht="14.25" customHeight="1">
      <c r="A41" s="510"/>
      <c r="B41" s="509"/>
      <c r="C41" s="511"/>
      <c r="D41" s="511"/>
      <c r="E41" s="512"/>
      <c r="F41" s="513"/>
    </row>
    <row r="42" spans="1:6" ht="14.25" customHeight="1">
      <c r="A42" s="517" t="s">
        <v>737</v>
      </c>
      <c r="B42" s="518" t="s">
        <v>755</v>
      </c>
      <c r="C42" s="518"/>
      <c r="D42" s="518"/>
      <c r="E42" s="518"/>
      <c r="F42" s="518"/>
    </row>
    <row r="43" spans="1:6" ht="14.25" customHeight="1">
      <c r="A43" s="501" t="s">
        <v>756</v>
      </c>
      <c r="B43" s="503" t="s">
        <v>757</v>
      </c>
      <c r="C43" s="503"/>
      <c r="D43" s="503"/>
      <c r="E43" s="503"/>
      <c r="F43" s="503"/>
    </row>
    <row r="44" spans="1:6" ht="14.25" customHeight="1">
      <c r="A44" s="501" t="s">
        <v>740</v>
      </c>
      <c r="B44" s="519">
        <v>2010</v>
      </c>
      <c r="C44" s="519"/>
      <c r="D44" s="519"/>
      <c r="E44" s="519"/>
      <c r="F44" s="519"/>
    </row>
    <row r="45" spans="1:6" ht="14.25" customHeight="1">
      <c r="A45" s="501" t="s">
        <v>742</v>
      </c>
      <c r="B45" s="504">
        <f>SUM(B46:B48)</f>
        <v>74051</v>
      </c>
      <c r="C45" s="505" t="s">
        <v>743</v>
      </c>
      <c r="D45" s="505"/>
      <c r="E45" s="506">
        <v>12615</v>
      </c>
      <c r="F45" s="507"/>
    </row>
    <row r="46" spans="1:6" ht="14.25" customHeight="1">
      <c r="A46" s="501" t="s">
        <v>744</v>
      </c>
      <c r="B46" s="508">
        <f>B49-B48</f>
        <v>21696</v>
      </c>
      <c r="C46" s="505" t="s">
        <v>743</v>
      </c>
      <c r="D46" s="505"/>
      <c r="E46" s="509">
        <v>12615</v>
      </c>
      <c r="F46" s="507"/>
    </row>
    <row r="47" spans="1:6" ht="14.25" customHeight="1">
      <c r="A47" s="501" t="s">
        <v>745</v>
      </c>
      <c r="B47" s="508"/>
      <c r="C47" s="505"/>
      <c r="D47" s="505"/>
      <c r="E47" s="509"/>
      <c r="F47" s="507"/>
    </row>
    <row r="48" spans="1:6" ht="14.25" customHeight="1">
      <c r="A48" s="501" t="s">
        <v>747</v>
      </c>
      <c r="B48" s="508">
        <v>52355</v>
      </c>
      <c r="C48" s="505" t="s">
        <v>743</v>
      </c>
      <c r="D48" s="505"/>
      <c r="E48" s="509">
        <v>0</v>
      </c>
      <c r="F48" s="507"/>
    </row>
    <row r="49" spans="1:6" ht="14.25" customHeight="1">
      <c r="A49" s="501" t="s">
        <v>70</v>
      </c>
      <c r="B49" s="504">
        <v>74051</v>
      </c>
      <c r="C49" s="505" t="s">
        <v>743</v>
      </c>
      <c r="D49" s="505"/>
      <c r="E49" s="506">
        <v>12615</v>
      </c>
      <c r="F49" s="507"/>
    </row>
    <row r="50" spans="1:6" ht="14.25" customHeight="1">
      <c r="A50" s="510"/>
      <c r="B50" s="509"/>
      <c r="C50" s="511"/>
      <c r="D50" s="511"/>
      <c r="E50" s="512"/>
      <c r="F50" s="513"/>
    </row>
    <row r="51" spans="1:6" ht="14.25" customHeight="1">
      <c r="A51" s="517" t="s">
        <v>737</v>
      </c>
      <c r="B51" s="518" t="s">
        <v>758</v>
      </c>
      <c r="C51" s="518"/>
      <c r="D51" s="518"/>
      <c r="E51" s="518"/>
      <c r="F51" s="518"/>
    </row>
    <row r="52" spans="1:6" ht="14.25" customHeight="1">
      <c r="A52" s="501" t="s">
        <v>756</v>
      </c>
      <c r="B52" s="503" t="s">
        <v>759</v>
      </c>
      <c r="C52" s="503"/>
      <c r="D52" s="503"/>
      <c r="E52" s="503"/>
      <c r="F52" s="503"/>
    </row>
    <row r="53" spans="1:6" ht="14.25" customHeight="1">
      <c r="A53" s="501" t="s">
        <v>740</v>
      </c>
      <c r="B53" s="520" t="s">
        <v>760</v>
      </c>
      <c r="C53" s="520"/>
      <c r="D53" s="520"/>
      <c r="E53" s="520"/>
      <c r="F53" s="520"/>
    </row>
    <row r="54" spans="1:6" ht="14.25" customHeight="1">
      <c r="A54" s="501" t="s">
        <v>742</v>
      </c>
      <c r="B54" s="504">
        <f>SUM(B55:B57)</f>
        <v>214384</v>
      </c>
      <c r="C54" s="505" t="s">
        <v>743</v>
      </c>
      <c r="D54" s="505"/>
      <c r="E54" s="506">
        <v>5822</v>
      </c>
      <c r="F54" s="507"/>
    </row>
    <row r="55" spans="1:6" ht="14.25" customHeight="1">
      <c r="A55" s="501" t="s">
        <v>761</v>
      </c>
      <c r="B55" s="508">
        <v>64315</v>
      </c>
      <c r="C55" s="505" t="s">
        <v>743</v>
      </c>
      <c r="D55" s="505"/>
      <c r="E55" s="509">
        <v>5822</v>
      </c>
      <c r="F55" s="507"/>
    </row>
    <row r="56" spans="1:6" ht="14.25" customHeight="1">
      <c r="A56" s="501" t="s">
        <v>745</v>
      </c>
      <c r="B56" s="508"/>
      <c r="C56" s="505"/>
      <c r="D56" s="505"/>
      <c r="E56" s="509"/>
      <c r="F56" s="507"/>
    </row>
    <row r="57" spans="1:6" ht="14.25" customHeight="1">
      <c r="A57" s="501" t="s">
        <v>747</v>
      </c>
      <c r="B57" s="508">
        <v>150069</v>
      </c>
      <c r="C57" s="505" t="s">
        <v>743</v>
      </c>
      <c r="D57" s="505"/>
      <c r="E57" s="509">
        <v>0</v>
      </c>
      <c r="F57" s="507"/>
    </row>
    <row r="58" spans="1:6" ht="14.25" customHeight="1">
      <c r="A58" s="501" t="s">
        <v>70</v>
      </c>
      <c r="B58" s="504">
        <f>B54</f>
        <v>214384</v>
      </c>
      <c r="C58" s="505" t="s">
        <v>743</v>
      </c>
      <c r="D58" s="505"/>
      <c r="E58" s="506">
        <v>5822</v>
      </c>
      <c r="F58" s="507"/>
    </row>
    <row r="59" spans="1:6" ht="14.25" customHeight="1">
      <c r="A59" s="510"/>
      <c r="B59" s="509"/>
      <c r="C59" s="511"/>
      <c r="D59" s="511"/>
      <c r="E59" s="512"/>
      <c r="F59" s="513"/>
    </row>
    <row r="60" spans="1:6" ht="14.25" customHeight="1">
      <c r="A60" s="517" t="s">
        <v>737</v>
      </c>
      <c r="B60" s="518" t="s">
        <v>762</v>
      </c>
      <c r="C60" s="518"/>
      <c r="D60" s="518"/>
      <c r="E60" s="518"/>
      <c r="F60" s="518"/>
    </row>
    <row r="61" spans="1:6" ht="14.25" customHeight="1">
      <c r="A61" s="501" t="s">
        <v>756</v>
      </c>
      <c r="B61" s="503" t="s">
        <v>763</v>
      </c>
      <c r="C61" s="503"/>
      <c r="D61" s="503"/>
      <c r="E61" s="503"/>
      <c r="F61" s="503"/>
    </row>
    <row r="62" spans="1:6" ht="14.25" customHeight="1">
      <c r="A62" s="501" t="s">
        <v>740</v>
      </c>
      <c r="B62" s="503" t="s">
        <v>764</v>
      </c>
      <c r="C62" s="503"/>
      <c r="D62" s="503"/>
      <c r="E62" s="503"/>
      <c r="F62" s="503"/>
    </row>
    <row r="63" spans="1:6" ht="14.25" customHeight="1">
      <c r="A63" s="501" t="s">
        <v>742</v>
      </c>
      <c r="B63" s="504">
        <f>SUM(B64:B66)</f>
        <v>1280605</v>
      </c>
      <c r="C63" s="505" t="s">
        <v>743</v>
      </c>
      <c r="D63" s="505"/>
      <c r="E63" s="506">
        <v>16990</v>
      </c>
      <c r="F63" s="507"/>
    </row>
    <row r="64" spans="1:6" ht="14.25" customHeight="1">
      <c r="A64" s="501" t="s">
        <v>744</v>
      </c>
      <c r="B64" s="508">
        <f>B67-B66</f>
        <v>581605</v>
      </c>
      <c r="C64" s="505" t="s">
        <v>743</v>
      </c>
      <c r="D64" s="505"/>
      <c r="E64" s="509">
        <v>16990</v>
      </c>
      <c r="F64" s="507"/>
    </row>
    <row r="65" spans="1:6" ht="14.25" customHeight="1">
      <c r="A65" s="501" t="s">
        <v>745</v>
      </c>
      <c r="B65" s="508"/>
      <c r="C65" s="505"/>
      <c r="D65" s="505"/>
      <c r="E65" s="509"/>
      <c r="F65" s="507"/>
    </row>
    <row r="66" spans="1:6" ht="14.25" customHeight="1">
      <c r="A66" s="501" t="s">
        <v>747</v>
      </c>
      <c r="B66" s="508">
        <v>699000</v>
      </c>
      <c r="C66" s="505" t="s">
        <v>743</v>
      </c>
      <c r="D66" s="505"/>
      <c r="E66" s="509">
        <v>0</v>
      </c>
      <c r="F66" s="507"/>
    </row>
    <row r="67" spans="1:6" ht="14.25" customHeight="1">
      <c r="A67" s="501" t="s">
        <v>70</v>
      </c>
      <c r="B67" s="504">
        <v>1280605</v>
      </c>
      <c r="C67" s="505" t="s">
        <v>743</v>
      </c>
      <c r="D67" s="505"/>
      <c r="E67" s="506">
        <v>16990</v>
      </c>
      <c r="F67" s="507"/>
    </row>
    <row r="68" spans="1:6" ht="14.25" customHeight="1">
      <c r="A68" s="510"/>
      <c r="B68" s="509"/>
      <c r="C68" s="516"/>
      <c r="D68" s="516"/>
      <c r="E68" s="509"/>
      <c r="F68" s="507"/>
    </row>
    <row r="69" spans="1:6" ht="14.25" customHeight="1">
      <c r="A69" s="521" t="s">
        <v>737</v>
      </c>
      <c r="B69" s="522" t="s">
        <v>765</v>
      </c>
      <c r="C69" s="522"/>
      <c r="D69" s="522"/>
      <c r="E69" s="522"/>
      <c r="F69" s="522"/>
    </row>
    <row r="70" spans="1:6" ht="14.25" customHeight="1">
      <c r="A70" s="501" t="s">
        <v>756</v>
      </c>
      <c r="B70" s="503" t="s">
        <v>766</v>
      </c>
      <c r="C70" s="503"/>
      <c r="D70" s="503"/>
      <c r="E70" s="503"/>
      <c r="F70" s="503"/>
    </row>
    <row r="71" spans="1:6" ht="14.25" customHeight="1">
      <c r="A71" s="501" t="s">
        <v>740</v>
      </c>
      <c r="B71" s="519">
        <v>2011</v>
      </c>
      <c r="C71" s="519"/>
      <c r="D71" s="519"/>
      <c r="E71" s="519"/>
      <c r="F71" s="519"/>
    </row>
    <row r="72" spans="1:6" ht="14.25" customHeight="1">
      <c r="A72" s="501" t="s">
        <v>742</v>
      </c>
      <c r="B72" s="504">
        <f>SUM(B73:B75)</f>
        <v>65337</v>
      </c>
      <c r="C72" s="505" t="s">
        <v>743</v>
      </c>
      <c r="D72" s="505"/>
      <c r="E72" s="506">
        <f>SUM(E73:E75)</f>
        <v>3387</v>
      </c>
      <c r="F72" s="507"/>
    </row>
    <row r="73" spans="1:6" ht="14.25" customHeight="1">
      <c r="A73" s="501" t="s">
        <v>744</v>
      </c>
      <c r="B73" s="508">
        <f>B76-B75</f>
        <v>22521</v>
      </c>
      <c r="C73" s="505" t="s">
        <v>743</v>
      </c>
      <c r="D73" s="505"/>
      <c r="E73" s="509">
        <f>3387-3129</f>
        <v>258</v>
      </c>
      <c r="F73" s="507"/>
    </row>
    <row r="74" spans="1:6" ht="14.25" customHeight="1">
      <c r="A74" s="501" t="s">
        <v>745</v>
      </c>
      <c r="B74" s="508"/>
      <c r="C74" s="505"/>
      <c r="D74" s="505"/>
      <c r="E74" s="509"/>
      <c r="F74" s="507"/>
    </row>
    <row r="75" spans="1:6" ht="14.25" customHeight="1">
      <c r="A75" s="501" t="s">
        <v>747</v>
      </c>
      <c r="B75" s="508">
        <v>42816</v>
      </c>
      <c r="C75" s="505" t="s">
        <v>743</v>
      </c>
      <c r="D75" s="505"/>
      <c r="E75" s="509">
        <v>3129</v>
      </c>
      <c r="F75" s="507"/>
    </row>
    <row r="76" spans="1:6" ht="14.25" customHeight="1">
      <c r="A76" s="523" t="s">
        <v>70</v>
      </c>
      <c r="B76" s="524">
        <v>65337</v>
      </c>
      <c r="C76" s="525" t="s">
        <v>743</v>
      </c>
      <c r="D76" s="525"/>
      <c r="E76" s="526">
        <f>SUM(E73:E75)</f>
        <v>3387</v>
      </c>
      <c r="F76" s="527"/>
    </row>
    <row r="77" spans="1:6" ht="14.25" customHeight="1">
      <c r="A77" s="528" t="s">
        <v>737</v>
      </c>
      <c r="B77" s="529" t="s">
        <v>767</v>
      </c>
      <c r="C77" s="529"/>
      <c r="D77" s="529"/>
      <c r="E77" s="529"/>
      <c r="F77" s="529"/>
    </row>
    <row r="78" spans="1:6" ht="14.25" customHeight="1">
      <c r="A78" s="501" t="s">
        <v>756</v>
      </c>
      <c r="B78" s="503" t="s">
        <v>768</v>
      </c>
      <c r="C78" s="503"/>
      <c r="D78" s="503"/>
      <c r="E78" s="503"/>
      <c r="F78" s="503"/>
    </row>
    <row r="79" spans="1:6" ht="14.25" customHeight="1">
      <c r="A79" s="501" t="s">
        <v>740</v>
      </c>
      <c r="B79" s="503" t="s">
        <v>769</v>
      </c>
      <c r="C79" s="503"/>
      <c r="D79" s="503"/>
      <c r="E79" s="503"/>
      <c r="F79" s="503"/>
    </row>
    <row r="80" spans="1:6" ht="14.25" customHeight="1">
      <c r="A80" s="501" t="s">
        <v>742</v>
      </c>
      <c r="B80" s="504">
        <f>SUM(B81:B83)</f>
        <v>155758</v>
      </c>
      <c r="C80" s="505" t="s">
        <v>743</v>
      </c>
      <c r="D80" s="505"/>
      <c r="E80" s="506">
        <f>E81+E83</f>
        <v>6969</v>
      </c>
      <c r="F80" s="507"/>
    </row>
    <row r="81" spans="1:6" ht="14.25" customHeight="1">
      <c r="A81" s="501" t="s">
        <v>744</v>
      </c>
      <c r="B81" s="508">
        <f>B84-B83</f>
        <v>23977</v>
      </c>
      <c r="C81" s="505" t="s">
        <v>743</v>
      </c>
      <c r="D81" s="505"/>
      <c r="E81" s="509">
        <v>365</v>
      </c>
      <c r="F81" s="507"/>
    </row>
    <row r="82" spans="1:6" ht="14.25" customHeight="1">
      <c r="A82" s="501" t="s">
        <v>745</v>
      </c>
      <c r="B82" s="508"/>
      <c r="C82" s="505"/>
      <c r="D82" s="505"/>
      <c r="E82" s="509"/>
      <c r="F82" s="507"/>
    </row>
    <row r="83" spans="1:6" ht="14.25" customHeight="1">
      <c r="A83" s="501" t="s">
        <v>747</v>
      </c>
      <c r="B83" s="508">
        <v>131781</v>
      </c>
      <c r="C83" s="505" t="s">
        <v>743</v>
      </c>
      <c r="D83" s="505"/>
      <c r="E83" s="509">
        <v>6604</v>
      </c>
      <c r="F83" s="507" t="s">
        <v>770</v>
      </c>
    </row>
    <row r="84" spans="1:6" ht="14.25" customHeight="1">
      <c r="A84" s="501" t="s">
        <v>70</v>
      </c>
      <c r="B84" s="504">
        <v>155758</v>
      </c>
      <c r="C84" s="505" t="s">
        <v>743</v>
      </c>
      <c r="D84" s="505"/>
      <c r="E84" s="506">
        <v>3650</v>
      </c>
      <c r="F84" s="507"/>
    </row>
    <row r="85" spans="1:6" ht="14.25" customHeight="1">
      <c r="A85" s="510"/>
      <c r="B85" s="506"/>
      <c r="C85" s="511"/>
      <c r="D85" s="511"/>
      <c r="E85" s="512"/>
      <c r="F85" s="513"/>
    </row>
    <row r="86" spans="1:6" ht="14.25" customHeight="1">
      <c r="A86" s="517" t="s">
        <v>737</v>
      </c>
      <c r="B86" s="518" t="s">
        <v>771</v>
      </c>
      <c r="C86" s="518"/>
      <c r="D86" s="518"/>
      <c r="E86" s="518"/>
      <c r="F86" s="518"/>
    </row>
    <row r="87" spans="1:6" ht="14.25" customHeight="1">
      <c r="A87" s="501" t="s">
        <v>756</v>
      </c>
      <c r="B87" s="503" t="s">
        <v>772</v>
      </c>
      <c r="C87" s="503"/>
      <c r="D87" s="503"/>
      <c r="E87" s="503"/>
      <c r="F87" s="503"/>
    </row>
    <row r="88" spans="1:6" ht="14.25" customHeight="1">
      <c r="A88" s="501" t="s">
        <v>740</v>
      </c>
      <c r="B88" s="503" t="s">
        <v>773</v>
      </c>
      <c r="C88" s="503"/>
      <c r="D88" s="503"/>
      <c r="E88" s="503"/>
      <c r="F88" s="503"/>
    </row>
    <row r="89" spans="1:6" ht="14.25" customHeight="1">
      <c r="A89" s="501" t="s">
        <v>742</v>
      </c>
      <c r="B89" s="504">
        <f>SUM(B90:B92)</f>
        <v>142322</v>
      </c>
      <c r="C89" s="505" t="s">
        <v>743</v>
      </c>
      <c r="D89" s="505"/>
      <c r="E89" s="506">
        <v>4272</v>
      </c>
      <c r="F89" s="507"/>
    </row>
    <row r="90" spans="1:6" ht="14.25" customHeight="1">
      <c r="A90" s="501" t="s">
        <v>744</v>
      </c>
      <c r="B90" s="508">
        <f>B93-B92</f>
        <v>86058</v>
      </c>
      <c r="C90" s="505" t="s">
        <v>743</v>
      </c>
      <c r="D90" s="505"/>
      <c r="E90" s="509">
        <f>4272</f>
        <v>4272</v>
      </c>
      <c r="F90" s="507"/>
    </row>
    <row r="91" spans="1:6" ht="14.25" customHeight="1">
      <c r="A91" s="501" t="s">
        <v>745</v>
      </c>
      <c r="B91" s="508" t="s">
        <v>746</v>
      </c>
      <c r="C91" s="505"/>
      <c r="D91" s="505"/>
      <c r="E91" s="509"/>
      <c r="F91" s="507"/>
    </row>
    <row r="92" spans="1:6" ht="14.25" customHeight="1">
      <c r="A92" s="501" t="s">
        <v>747</v>
      </c>
      <c r="B92" s="508">
        <v>56264</v>
      </c>
      <c r="C92" s="505" t="s">
        <v>743</v>
      </c>
      <c r="D92" s="505"/>
      <c r="E92" s="509">
        <v>0</v>
      </c>
      <c r="F92" s="507"/>
    </row>
    <row r="93" spans="1:6" ht="14.25" customHeight="1">
      <c r="A93" s="501" t="s">
        <v>70</v>
      </c>
      <c r="B93" s="504">
        <v>142322</v>
      </c>
      <c r="C93" s="505" t="s">
        <v>743</v>
      </c>
      <c r="D93" s="505"/>
      <c r="E93" s="506">
        <v>4272</v>
      </c>
      <c r="F93" s="507"/>
    </row>
    <row r="94" spans="1:6" ht="14.25" customHeight="1">
      <c r="A94" s="510"/>
      <c r="B94" s="509"/>
      <c r="C94" s="511"/>
      <c r="D94" s="511"/>
      <c r="E94" s="512"/>
      <c r="F94" s="513"/>
    </row>
    <row r="95" spans="1:6" ht="14.25" customHeight="1">
      <c r="A95" s="517" t="s">
        <v>737</v>
      </c>
      <c r="B95" s="518" t="s">
        <v>774</v>
      </c>
      <c r="C95" s="518"/>
      <c r="D95" s="518"/>
      <c r="E95" s="518"/>
      <c r="F95" s="518"/>
    </row>
    <row r="96" spans="1:6" ht="14.25" customHeight="1">
      <c r="A96" s="501" t="s">
        <v>739</v>
      </c>
      <c r="B96" s="502" t="s">
        <v>775</v>
      </c>
      <c r="C96" s="502"/>
      <c r="D96" s="502"/>
      <c r="E96" s="502"/>
      <c r="F96" s="502"/>
    </row>
    <row r="97" spans="1:6" ht="14.25" customHeight="1">
      <c r="A97" s="501" t="s">
        <v>740</v>
      </c>
      <c r="B97" s="502">
        <v>40537</v>
      </c>
      <c r="C97" s="502"/>
      <c r="D97" s="502"/>
      <c r="E97" s="502"/>
      <c r="F97" s="502"/>
    </row>
    <row r="98" spans="1:6" ht="14.25" customHeight="1">
      <c r="A98" s="501" t="s">
        <v>742</v>
      </c>
      <c r="B98" s="504">
        <v>4351</v>
      </c>
      <c r="C98" s="505" t="s">
        <v>743</v>
      </c>
      <c r="D98" s="505"/>
      <c r="E98" s="506">
        <f>SUM(E99:E101)</f>
        <v>4185</v>
      </c>
      <c r="F98" s="507"/>
    </row>
    <row r="99" spans="1:6" ht="14.25" customHeight="1">
      <c r="A99" s="501" t="s">
        <v>761</v>
      </c>
      <c r="B99" s="508">
        <v>0</v>
      </c>
      <c r="C99" s="505" t="s">
        <v>743</v>
      </c>
      <c r="D99" s="505"/>
      <c r="E99" s="509">
        <v>0</v>
      </c>
      <c r="F99" s="507"/>
    </row>
    <row r="100" spans="1:6" ht="14.25" customHeight="1">
      <c r="A100" s="501" t="s">
        <v>745</v>
      </c>
      <c r="B100" s="508" t="s">
        <v>746</v>
      </c>
      <c r="C100" s="505"/>
      <c r="D100" s="505"/>
      <c r="E100" s="509"/>
      <c r="F100" s="507"/>
    </row>
    <row r="101" spans="1:6" ht="14.25" customHeight="1">
      <c r="A101" s="501" t="s">
        <v>747</v>
      </c>
      <c r="B101" s="508">
        <v>4351</v>
      </c>
      <c r="C101" s="505" t="s">
        <v>743</v>
      </c>
      <c r="D101" s="505"/>
      <c r="E101" s="509">
        <v>4185</v>
      </c>
      <c r="F101" s="507"/>
    </row>
    <row r="102" spans="1:6" ht="14.25" customHeight="1">
      <c r="A102" s="501" t="s">
        <v>70</v>
      </c>
      <c r="B102" s="504">
        <f>SUM(B99:B101)</f>
        <v>4351</v>
      </c>
      <c r="C102" s="505" t="s">
        <v>743</v>
      </c>
      <c r="D102" s="505"/>
      <c r="E102" s="506">
        <v>0</v>
      </c>
      <c r="F102" s="507"/>
    </row>
    <row r="103" spans="1:6" ht="14.25" customHeight="1">
      <c r="A103" s="510"/>
      <c r="B103" s="506"/>
      <c r="C103" s="511"/>
      <c r="D103" s="511"/>
      <c r="E103" s="512"/>
      <c r="F103" s="513"/>
    </row>
    <row r="104" spans="1:6" ht="14.25" customHeight="1">
      <c r="A104" s="517" t="s">
        <v>737</v>
      </c>
      <c r="B104" s="530" t="s">
        <v>776</v>
      </c>
      <c r="C104" s="530"/>
      <c r="D104" s="530"/>
      <c r="E104" s="530"/>
      <c r="F104" s="530"/>
    </row>
    <row r="105" spans="1:6" ht="14.25" customHeight="1">
      <c r="A105" s="501" t="s">
        <v>739</v>
      </c>
      <c r="B105" s="503" t="s">
        <v>777</v>
      </c>
      <c r="C105" s="503"/>
      <c r="D105" s="503"/>
      <c r="E105" s="503"/>
      <c r="F105" s="503"/>
    </row>
    <row r="106" spans="1:6" ht="14.25" customHeight="1">
      <c r="A106" s="501" t="s">
        <v>740</v>
      </c>
      <c r="B106" s="503" t="s">
        <v>778</v>
      </c>
      <c r="C106" s="503"/>
      <c r="D106" s="503"/>
      <c r="E106" s="503"/>
      <c r="F106" s="503"/>
    </row>
    <row r="107" spans="1:6" ht="14.25" customHeight="1">
      <c r="A107" s="501" t="s">
        <v>742</v>
      </c>
      <c r="B107" s="504">
        <v>16041</v>
      </c>
      <c r="C107" s="505" t="s">
        <v>743</v>
      </c>
      <c r="D107" s="505"/>
      <c r="E107" s="506">
        <v>7530</v>
      </c>
      <c r="F107" s="507"/>
    </row>
    <row r="108" spans="1:6" ht="14.25" customHeight="1">
      <c r="A108" s="501" t="s">
        <v>761</v>
      </c>
      <c r="B108" s="508">
        <v>0</v>
      </c>
      <c r="C108" s="505" t="s">
        <v>743</v>
      </c>
      <c r="D108" s="505"/>
      <c r="E108" s="509">
        <v>0</v>
      </c>
      <c r="F108" s="507"/>
    </row>
    <row r="109" spans="1:6" ht="14.25" customHeight="1">
      <c r="A109" s="501" t="s">
        <v>745</v>
      </c>
      <c r="B109" s="504" t="s">
        <v>746</v>
      </c>
      <c r="C109" s="505"/>
      <c r="D109" s="505"/>
      <c r="E109" s="509"/>
      <c r="F109" s="507"/>
    </row>
    <row r="110" spans="1:6" ht="14.25" customHeight="1">
      <c r="A110" s="501" t="s">
        <v>747</v>
      </c>
      <c r="B110" s="508">
        <f>6739+9302</f>
        <v>16041</v>
      </c>
      <c r="C110" s="505" t="s">
        <v>743</v>
      </c>
      <c r="D110" s="505"/>
      <c r="E110" s="509">
        <v>7530</v>
      </c>
      <c r="F110" s="507"/>
    </row>
    <row r="111" spans="1:6" ht="14.25" customHeight="1">
      <c r="A111" s="501" t="s">
        <v>70</v>
      </c>
      <c r="B111" s="504">
        <v>16041</v>
      </c>
      <c r="C111" s="505" t="s">
        <v>743</v>
      </c>
      <c r="D111" s="505"/>
      <c r="E111" s="506">
        <v>0</v>
      </c>
      <c r="F111" s="507"/>
    </row>
    <row r="112" spans="1:6" ht="14.25" customHeight="1">
      <c r="A112" s="531"/>
      <c r="B112" s="511"/>
      <c r="C112" s="511"/>
      <c r="D112" s="511"/>
      <c r="E112" s="512"/>
      <c r="F112" s="513"/>
    </row>
    <row r="113" spans="1:6" ht="14.25" customHeight="1">
      <c r="A113" s="517" t="s">
        <v>737</v>
      </c>
      <c r="B113" s="530" t="s">
        <v>779</v>
      </c>
      <c r="C113" s="530"/>
      <c r="D113" s="530"/>
      <c r="E113" s="530"/>
      <c r="F113" s="530"/>
    </row>
    <row r="114" spans="1:6" ht="14.25" customHeight="1">
      <c r="A114" s="501" t="s">
        <v>739</v>
      </c>
      <c r="B114" s="503" t="s">
        <v>780</v>
      </c>
      <c r="C114" s="503"/>
      <c r="D114" s="503"/>
      <c r="E114" s="503"/>
      <c r="F114" s="503"/>
    </row>
    <row r="115" spans="1:6" ht="14.25" customHeight="1">
      <c r="A115" s="501" t="s">
        <v>740</v>
      </c>
      <c r="B115" s="503" t="s">
        <v>781</v>
      </c>
      <c r="C115" s="503"/>
      <c r="D115" s="503"/>
      <c r="E115" s="503"/>
      <c r="F115" s="503"/>
    </row>
    <row r="116" spans="1:6" ht="14.25" customHeight="1">
      <c r="A116" s="501" t="s">
        <v>742</v>
      </c>
      <c r="B116" s="504">
        <v>50533</v>
      </c>
      <c r="C116" s="505" t="s">
        <v>743</v>
      </c>
      <c r="D116" s="505"/>
      <c r="E116" s="506">
        <v>5938</v>
      </c>
      <c r="F116" s="507"/>
    </row>
    <row r="117" spans="1:6" ht="14.25" customHeight="1">
      <c r="A117" s="501" t="s">
        <v>761</v>
      </c>
      <c r="B117" s="508">
        <v>0</v>
      </c>
      <c r="C117" s="505" t="s">
        <v>743</v>
      </c>
      <c r="D117" s="505"/>
      <c r="E117" s="509">
        <v>0</v>
      </c>
      <c r="F117" s="507"/>
    </row>
    <row r="118" spans="1:6" ht="14.25" customHeight="1">
      <c r="A118" s="501" t="s">
        <v>745</v>
      </c>
      <c r="B118" s="504" t="s">
        <v>746</v>
      </c>
      <c r="C118" s="505"/>
      <c r="D118" s="505"/>
      <c r="E118" s="509"/>
      <c r="F118" s="507"/>
    </row>
    <row r="119" spans="1:6" ht="14.25" customHeight="1">
      <c r="A119" s="501" t="s">
        <v>747</v>
      </c>
      <c r="B119" s="508">
        <v>50533</v>
      </c>
      <c r="C119" s="505" t="s">
        <v>743</v>
      </c>
      <c r="D119" s="505"/>
      <c r="E119" s="509">
        <v>5938</v>
      </c>
      <c r="F119" s="507"/>
    </row>
    <row r="120" spans="1:6" ht="14.25" customHeight="1">
      <c r="A120" s="523" t="s">
        <v>70</v>
      </c>
      <c r="B120" s="524">
        <v>50533</v>
      </c>
      <c r="C120" s="525" t="s">
        <v>743</v>
      </c>
      <c r="D120" s="525"/>
      <c r="E120" s="526">
        <v>0</v>
      </c>
      <c r="F120" s="527"/>
    </row>
    <row r="121" spans="1:6" ht="14.25" customHeight="1">
      <c r="A121" s="532"/>
      <c r="B121" s="532"/>
      <c r="C121" s="532"/>
      <c r="D121" s="532"/>
      <c r="E121" s="533"/>
      <c r="F121" s="532"/>
    </row>
    <row r="122" spans="1:6" ht="14.25" customHeight="1">
      <c r="A122" s="534" t="s">
        <v>782</v>
      </c>
      <c r="B122" s="535"/>
      <c r="C122" s="535"/>
      <c r="D122" s="535"/>
      <c r="E122" s="536"/>
      <c r="F122" s="535"/>
    </row>
    <row r="123" spans="1:6" ht="14.25" customHeight="1">
      <c r="A123" s="535"/>
      <c r="B123" s="535"/>
      <c r="C123" s="535"/>
      <c r="D123" s="535"/>
      <c r="E123" s="536"/>
      <c r="F123" s="535"/>
    </row>
    <row r="124" spans="1:6" ht="14.25" customHeight="1">
      <c r="A124" s="499" t="s">
        <v>783</v>
      </c>
      <c r="B124" s="537" t="s">
        <v>784</v>
      </c>
      <c r="C124" s="537"/>
      <c r="D124" s="537"/>
      <c r="E124" s="537"/>
      <c r="F124" s="537"/>
    </row>
    <row r="125" spans="1:6" ht="14.25" customHeight="1">
      <c r="A125" s="501" t="s">
        <v>785</v>
      </c>
      <c r="B125" s="538" t="s">
        <v>786</v>
      </c>
      <c r="C125" s="538"/>
      <c r="D125" s="538"/>
      <c r="E125" s="538"/>
      <c r="F125" s="538"/>
    </row>
    <row r="126" spans="1:6" ht="14.25" customHeight="1">
      <c r="A126" s="501" t="s">
        <v>787</v>
      </c>
      <c r="B126" s="504">
        <f>16724+28000</f>
        <v>44724</v>
      </c>
      <c r="C126" s="505" t="s">
        <v>743</v>
      </c>
      <c r="D126" s="505"/>
      <c r="E126" s="506">
        <v>16723</v>
      </c>
      <c r="F126" s="507"/>
    </row>
    <row r="127" spans="1:6" ht="14.25" customHeight="1">
      <c r="A127" s="510"/>
      <c r="B127" s="516"/>
      <c r="C127" s="516"/>
      <c r="D127" s="516"/>
      <c r="E127" s="509"/>
      <c r="F127" s="507"/>
    </row>
    <row r="128" spans="1:6" ht="14.25" customHeight="1">
      <c r="A128" s="501" t="s">
        <v>783</v>
      </c>
      <c r="B128" s="539" t="s">
        <v>784</v>
      </c>
      <c r="C128" s="539"/>
      <c r="D128" s="539"/>
      <c r="E128" s="539"/>
      <c r="F128" s="539"/>
    </row>
    <row r="129" spans="1:6" ht="14.25" customHeight="1">
      <c r="A129" s="501" t="s">
        <v>785</v>
      </c>
      <c r="B129" s="538" t="s">
        <v>788</v>
      </c>
      <c r="C129" s="538"/>
      <c r="D129" s="538"/>
      <c r="E129" s="538"/>
      <c r="F129" s="538"/>
    </row>
    <row r="130" spans="1:6" ht="14.25" customHeight="1">
      <c r="A130" s="523" t="s">
        <v>787</v>
      </c>
      <c r="B130" s="524">
        <v>6267</v>
      </c>
      <c r="C130" s="525" t="s">
        <v>743</v>
      </c>
      <c r="D130" s="525"/>
      <c r="E130" s="526">
        <v>0</v>
      </c>
      <c r="F130" s="527"/>
    </row>
    <row r="131" spans="1:2" ht="16.5">
      <c r="A131" s="410"/>
      <c r="B131" s="410"/>
    </row>
    <row r="132" spans="1:2" ht="15.75">
      <c r="A132" s="410"/>
      <c r="B132" s="410"/>
    </row>
    <row r="133" spans="1:2" ht="15.75">
      <c r="A133" s="410"/>
      <c r="B133" s="410"/>
    </row>
    <row r="134" spans="1:2" ht="15.75">
      <c r="A134" s="410"/>
      <c r="B134" s="410"/>
    </row>
    <row r="135" spans="1:2" ht="15.75">
      <c r="A135" s="410"/>
      <c r="B135" s="410"/>
    </row>
    <row r="136" spans="1:2" ht="15.75">
      <c r="A136" s="410"/>
      <c r="B136" s="410"/>
    </row>
    <row r="137" spans="1:2" ht="15.75">
      <c r="A137" s="410"/>
      <c r="B137" s="410"/>
    </row>
    <row r="138" spans="1:2" ht="15.75">
      <c r="A138" s="410"/>
      <c r="B138" s="410"/>
    </row>
    <row r="139" spans="1:2" ht="15.75">
      <c r="A139" s="410"/>
      <c r="B139" s="410"/>
    </row>
    <row r="140" spans="1:2" ht="15.75">
      <c r="A140" s="410"/>
      <c r="B140" s="410"/>
    </row>
    <row r="141" spans="1:2" ht="15.75">
      <c r="A141" s="410"/>
      <c r="B141" s="410"/>
    </row>
    <row r="142" spans="1:2" ht="15.75">
      <c r="A142" s="410"/>
      <c r="B142" s="410"/>
    </row>
    <row r="143" spans="1:2" ht="15.75">
      <c r="A143" s="410"/>
      <c r="B143" s="410"/>
    </row>
    <row r="144" spans="1:2" ht="15.75">
      <c r="A144" s="410"/>
      <c r="B144" s="410"/>
    </row>
    <row r="145" s="410" customFormat="1" ht="15.75">
      <c r="E145" s="497"/>
    </row>
    <row r="146" s="410" customFormat="1" ht="15.75">
      <c r="E146" s="497"/>
    </row>
    <row r="147" s="410" customFormat="1" ht="15.75">
      <c r="E147" s="497"/>
    </row>
    <row r="148" s="410" customFormat="1" ht="15.75">
      <c r="E148" s="497"/>
    </row>
    <row r="149" s="410" customFormat="1" ht="15.75">
      <c r="E149" s="497"/>
    </row>
    <row r="150" s="410" customFormat="1" ht="15.75">
      <c r="E150" s="497"/>
    </row>
    <row r="151" s="410" customFormat="1" ht="15.75">
      <c r="E151" s="497"/>
    </row>
    <row r="152" s="410" customFormat="1" ht="15.75">
      <c r="E152" s="497"/>
    </row>
    <row r="153" s="410" customFormat="1" ht="15.75">
      <c r="E153" s="497"/>
    </row>
    <row r="154" s="410" customFormat="1" ht="15.75">
      <c r="E154" s="497"/>
    </row>
    <row r="155" s="410" customFormat="1" ht="15.75">
      <c r="E155" s="497"/>
    </row>
    <row r="156" s="410" customFormat="1" ht="15.75">
      <c r="E156" s="497"/>
    </row>
    <row r="157" s="410" customFormat="1" ht="15.75">
      <c r="E157" s="497"/>
    </row>
    <row r="158" s="410" customFormat="1" ht="15.75">
      <c r="E158" s="497"/>
    </row>
    <row r="159" s="410" customFormat="1" ht="15.75">
      <c r="E159" s="497"/>
    </row>
    <row r="160" s="410" customFormat="1" ht="15.75">
      <c r="E160" s="497"/>
    </row>
    <row r="161" s="410" customFormat="1" ht="15.75">
      <c r="E161" s="497"/>
    </row>
    <row r="162" s="410" customFormat="1" ht="15.75">
      <c r="E162" s="497"/>
    </row>
    <row r="163" s="410" customFormat="1" ht="15.75">
      <c r="E163" s="497"/>
    </row>
    <row r="164" s="410" customFormat="1" ht="15.75">
      <c r="E164" s="497"/>
    </row>
    <row r="165" s="410" customFormat="1" ht="15.75">
      <c r="E165" s="497"/>
    </row>
    <row r="166" s="410" customFormat="1" ht="15.75">
      <c r="E166" s="497"/>
    </row>
    <row r="167" s="410" customFormat="1" ht="15.75">
      <c r="E167" s="497"/>
    </row>
    <row r="168" s="410" customFormat="1" ht="15.75">
      <c r="E168" s="497"/>
    </row>
    <row r="169" s="410" customFormat="1" ht="15.75">
      <c r="E169" s="497"/>
    </row>
    <row r="170" s="410" customFormat="1" ht="15.75">
      <c r="E170" s="497"/>
    </row>
    <row r="171" s="410" customFormat="1" ht="15.75">
      <c r="E171" s="497"/>
    </row>
    <row r="172" s="410" customFormat="1" ht="15.75">
      <c r="E172" s="497"/>
    </row>
    <row r="173" s="410" customFormat="1" ht="15.75">
      <c r="E173" s="497"/>
    </row>
    <row r="174" s="410" customFormat="1" ht="15.75">
      <c r="E174" s="497"/>
    </row>
    <row r="175" s="410" customFormat="1" ht="15.75">
      <c r="E175" s="497"/>
    </row>
    <row r="176" s="410" customFormat="1" ht="15.75">
      <c r="E176" s="497"/>
    </row>
    <row r="177" s="410" customFormat="1" ht="15.75">
      <c r="E177" s="497"/>
    </row>
    <row r="178" s="410" customFormat="1" ht="15.75">
      <c r="E178" s="497"/>
    </row>
    <row r="179" s="410" customFormat="1" ht="15.75">
      <c r="E179" s="497"/>
    </row>
    <row r="180" s="410" customFormat="1" ht="15.75">
      <c r="E180" s="497"/>
    </row>
    <row r="181" s="410" customFormat="1" ht="15.75">
      <c r="E181" s="497"/>
    </row>
    <row r="182" s="410" customFormat="1" ht="15.75">
      <c r="E182" s="497"/>
    </row>
    <row r="183" s="410" customFormat="1" ht="15.75">
      <c r="E183" s="497"/>
    </row>
    <row r="184" s="410" customFormat="1" ht="15.75">
      <c r="E184" s="497"/>
    </row>
    <row r="185" s="410" customFormat="1" ht="15.75">
      <c r="E185" s="497"/>
    </row>
    <row r="186" s="410" customFormat="1" ht="15.75">
      <c r="E186" s="497"/>
    </row>
    <row r="187" s="410" customFormat="1" ht="15.75">
      <c r="E187" s="497"/>
    </row>
    <row r="188" s="410" customFormat="1" ht="15.75">
      <c r="E188" s="497"/>
    </row>
    <row r="189" s="410" customFormat="1" ht="15.75">
      <c r="E189" s="497"/>
    </row>
    <row r="190" s="410" customFormat="1" ht="15.75">
      <c r="E190" s="497"/>
    </row>
    <row r="191" s="410" customFormat="1" ht="15.75">
      <c r="E191" s="497"/>
    </row>
    <row r="192" s="410" customFormat="1" ht="15.75">
      <c r="E192" s="497"/>
    </row>
    <row r="193" s="410" customFormat="1" ht="15.75">
      <c r="E193" s="497"/>
    </row>
    <row r="194" s="410" customFormat="1" ht="15.75">
      <c r="E194" s="497"/>
    </row>
    <row r="195" s="410" customFormat="1" ht="15.75">
      <c r="E195" s="497"/>
    </row>
    <row r="196" s="410" customFormat="1" ht="15.75">
      <c r="E196" s="497"/>
    </row>
    <row r="197" s="410" customFormat="1" ht="15.75">
      <c r="E197" s="497"/>
    </row>
  </sheetData>
  <sheetProtection selectLockedCells="1" selectUnlockedCells="1"/>
  <mergeCells count="110">
    <mergeCell ref="A2:F2"/>
    <mergeCell ref="B6:F6"/>
    <mergeCell ref="B7:F7"/>
    <mergeCell ref="B8:F8"/>
    <mergeCell ref="C9:D9"/>
    <mergeCell ref="C10:D10"/>
    <mergeCell ref="C11:D11"/>
    <mergeCell ref="C12:D12"/>
    <mergeCell ref="C13:D13"/>
    <mergeCell ref="B15:F15"/>
    <mergeCell ref="B16:F16"/>
    <mergeCell ref="B17:F17"/>
    <mergeCell ref="C18:D18"/>
    <mergeCell ref="C19:D19"/>
    <mergeCell ref="C20:D20"/>
    <mergeCell ref="C21:D21"/>
    <mergeCell ref="C22:D22"/>
    <mergeCell ref="B25:F25"/>
    <mergeCell ref="B26:F26"/>
    <mergeCell ref="C27:D27"/>
    <mergeCell ref="C28:D28"/>
    <mergeCell ref="C29:D29"/>
    <mergeCell ref="C30:D30"/>
    <mergeCell ref="C31:D31"/>
    <mergeCell ref="B33:F33"/>
    <mergeCell ref="B34:F34"/>
    <mergeCell ref="B35:F35"/>
    <mergeCell ref="C36:D36"/>
    <mergeCell ref="C37:D37"/>
    <mergeCell ref="C38:D38"/>
    <mergeCell ref="C39:D39"/>
    <mergeCell ref="C40:D40"/>
    <mergeCell ref="B42:F42"/>
    <mergeCell ref="B43:F43"/>
    <mergeCell ref="B44:F44"/>
    <mergeCell ref="C45:D45"/>
    <mergeCell ref="C46:D46"/>
    <mergeCell ref="C47:D47"/>
    <mergeCell ref="C48:D48"/>
    <mergeCell ref="C49:D49"/>
    <mergeCell ref="B51:F51"/>
    <mergeCell ref="B52:F52"/>
    <mergeCell ref="B53:F53"/>
    <mergeCell ref="C54:D54"/>
    <mergeCell ref="C55:D55"/>
    <mergeCell ref="C56:D56"/>
    <mergeCell ref="C57:D57"/>
    <mergeCell ref="C58:D58"/>
    <mergeCell ref="B60:F60"/>
    <mergeCell ref="B61:F61"/>
    <mergeCell ref="B62:F62"/>
    <mergeCell ref="C63:D63"/>
    <mergeCell ref="C64:D64"/>
    <mergeCell ref="C65:D65"/>
    <mergeCell ref="C66:D66"/>
    <mergeCell ref="C67:D67"/>
    <mergeCell ref="B69:F69"/>
    <mergeCell ref="B70:F70"/>
    <mergeCell ref="B71:F71"/>
    <mergeCell ref="C72:D72"/>
    <mergeCell ref="C73:D73"/>
    <mergeCell ref="C74:D74"/>
    <mergeCell ref="C75:D75"/>
    <mergeCell ref="C76:D76"/>
    <mergeCell ref="B77:F77"/>
    <mergeCell ref="B78:F78"/>
    <mergeCell ref="B79:F79"/>
    <mergeCell ref="C80:D80"/>
    <mergeCell ref="C81:D81"/>
    <mergeCell ref="C82:D82"/>
    <mergeCell ref="C83:D83"/>
    <mergeCell ref="C84:D84"/>
    <mergeCell ref="B86:F86"/>
    <mergeCell ref="B87:F87"/>
    <mergeCell ref="B88:F88"/>
    <mergeCell ref="C89:D89"/>
    <mergeCell ref="C90:D90"/>
    <mergeCell ref="C91:D91"/>
    <mergeCell ref="C92:D92"/>
    <mergeCell ref="C93:D93"/>
    <mergeCell ref="B95:F95"/>
    <mergeCell ref="B96:F96"/>
    <mergeCell ref="B97:F97"/>
    <mergeCell ref="C98:D98"/>
    <mergeCell ref="C99:D99"/>
    <mergeCell ref="C100:D100"/>
    <mergeCell ref="C101:D101"/>
    <mergeCell ref="C102:D102"/>
    <mergeCell ref="B104:F104"/>
    <mergeCell ref="B105:F105"/>
    <mergeCell ref="B106:F106"/>
    <mergeCell ref="C107:D107"/>
    <mergeCell ref="C108:D108"/>
    <mergeCell ref="C109:D109"/>
    <mergeCell ref="C110:D110"/>
    <mergeCell ref="C111:D111"/>
    <mergeCell ref="B113:F113"/>
    <mergeCell ref="B114:F114"/>
    <mergeCell ref="B115:F115"/>
    <mergeCell ref="C116:D116"/>
    <mergeCell ref="C117:D117"/>
    <mergeCell ref="C118:D118"/>
    <mergeCell ref="C119:D119"/>
    <mergeCell ref="C120:D120"/>
    <mergeCell ref="B124:F124"/>
    <mergeCell ref="B125:F125"/>
    <mergeCell ref="C126:D126"/>
    <mergeCell ref="B128:F128"/>
    <mergeCell ref="B129:F129"/>
    <mergeCell ref="C130:D130"/>
  </mergeCells>
  <printOptions horizontalCentered="1"/>
  <pageMargins left="0.7875" right="0.7875" top="0.6604166666666667" bottom="0.5798611111111112" header="0.27569444444444446" footer="0.5118055555555555"/>
  <pageSetup horizontalDpi="300" verticalDpi="300" orientation="portrait" paperSize="9" scale="70"/>
  <headerFooter alignWithMargins="0">
    <oddHeader>&amp;L10/a melléklet a 16/2011.(V.02) önkormányzati rendelethez</oddHeader>
  </headerFooter>
  <rowBreaks count="1" manualBreakCount="1">
    <brk id="7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E28" sqref="E28"/>
    </sheetView>
  </sheetViews>
  <sheetFormatPr defaultColWidth="9.00390625" defaultRowHeight="12.75"/>
  <cols>
    <col min="1" max="1" width="54.375" style="370" customWidth="1"/>
    <col min="2" max="3" width="14.75390625" style="370" customWidth="1"/>
    <col min="4" max="4" width="13.75390625" style="370" customWidth="1"/>
    <col min="5" max="16384" width="9.125" style="370" customWidth="1"/>
  </cols>
  <sheetData>
    <row r="1" ht="15.75">
      <c r="A1" s="410"/>
    </row>
    <row r="2" spans="1:4" ht="15" customHeight="1">
      <c r="A2" s="540" t="s">
        <v>789</v>
      </c>
      <c r="B2" s="540"/>
      <c r="C2" s="540"/>
      <c r="D2" s="540"/>
    </row>
    <row r="3" spans="1:2" ht="15">
      <c r="A3" s="541"/>
      <c r="B3" s="541"/>
    </row>
    <row r="4" spans="1:2" ht="15">
      <c r="A4" s="542"/>
      <c r="B4" s="543"/>
    </row>
    <row r="5" spans="1:2" ht="14.25" customHeight="1">
      <c r="A5" s="544"/>
      <c r="B5" s="543"/>
    </row>
    <row r="6" spans="1:4" ht="22.5" customHeight="1">
      <c r="A6" s="545" t="s">
        <v>790</v>
      </c>
      <c r="B6" s="546" t="s">
        <v>791</v>
      </c>
      <c r="C6" s="546"/>
      <c r="D6" s="546"/>
    </row>
    <row r="7" spans="1:4" ht="15" customHeight="1">
      <c r="A7" s="545"/>
      <c r="B7" s="547" t="s">
        <v>3</v>
      </c>
      <c r="C7" s="548" t="s">
        <v>792</v>
      </c>
      <c r="D7" s="549" t="s">
        <v>201</v>
      </c>
    </row>
    <row r="8" spans="1:4" ht="15" customHeight="1">
      <c r="A8" s="550" t="s">
        <v>368</v>
      </c>
      <c r="B8" s="551">
        <v>20</v>
      </c>
      <c r="C8" s="552">
        <v>20</v>
      </c>
      <c r="D8" s="553">
        <v>20</v>
      </c>
    </row>
    <row r="9" spans="1:4" ht="15" customHeight="1">
      <c r="A9" s="550" t="s">
        <v>374</v>
      </c>
      <c r="B9" s="551">
        <v>14</v>
      </c>
      <c r="C9" s="552">
        <v>14</v>
      </c>
      <c r="D9" s="553">
        <v>14.2</v>
      </c>
    </row>
    <row r="10" spans="1:4" ht="15" customHeight="1">
      <c r="A10" s="550" t="s">
        <v>375</v>
      </c>
      <c r="B10" s="551">
        <v>7</v>
      </c>
      <c r="C10" s="552">
        <v>7</v>
      </c>
      <c r="D10" s="553">
        <v>7.3</v>
      </c>
    </row>
    <row r="11" spans="1:4" ht="15" customHeight="1">
      <c r="A11" s="550" t="s">
        <v>376</v>
      </c>
      <c r="B11" s="551">
        <v>10</v>
      </c>
      <c r="C11" s="552">
        <v>0</v>
      </c>
      <c r="D11" s="553">
        <v>0</v>
      </c>
    </row>
    <row r="12" spans="1:4" ht="15" customHeight="1">
      <c r="A12" s="550" t="s">
        <v>377</v>
      </c>
      <c r="B12" s="551">
        <v>16.25</v>
      </c>
      <c r="C12" s="552">
        <v>16.25</v>
      </c>
      <c r="D12" s="553">
        <v>16.6</v>
      </c>
    </row>
    <row r="13" spans="1:4" ht="15" customHeight="1">
      <c r="A13" s="550" t="s">
        <v>793</v>
      </c>
      <c r="B13" s="551">
        <v>9</v>
      </c>
      <c r="C13" s="552">
        <v>21</v>
      </c>
      <c r="D13" s="553">
        <v>19.6</v>
      </c>
    </row>
    <row r="14" spans="1:4" ht="15" customHeight="1">
      <c r="A14" s="550" t="s">
        <v>379</v>
      </c>
      <c r="B14" s="551">
        <v>15.5</v>
      </c>
      <c r="C14" s="552">
        <v>15.5</v>
      </c>
      <c r="D14" s="553">
        <v>16</v>
      </c>
    </row>
    <row r="15" spans="1:4" ht="15" customHeight="1">
      <c r="A15" s="550" t="s">
        <v>380</v>
      </c>
      <c r="B15" s="551">
        <v>14</v>
      </c>
      <c r="C15" s="552">
        <v>14</v>
      </c>
      <c r="D15" s="553">
        <v>13.4</v>
      </c>
    </row>
    <row r="16" spans="1:4" ht="15" customHeight="1">
      <c r="A16" s="550" t="s">
        <v>381</v>
      </c>
      <c r="B16" s="551">
        <v>3.5</v>
      </c>
      <c r="C16" s="552">
        <v>3.5</v>
      </c>
      <c r="D16" s="553">
        <v>4</v>
      </c>
    </row>
    <row r="17" spans="1:4" ht="15" customHeight="1">
      <c r="A17" s="550" t="s">
        <v>794</v>
      </c>
      <c r="B17" s="551">
        <v>27</v>
      </c>
      <c r="C17" s="552">
        <v>27</v>
      </c>
      <c r="D17" s="553">
        <v>29.6</v>
      </c>
    </row>
    <row r="18" spans="1:4" ht="15" customHeight="1">
      <c r="A18" s="550" t="s">
        <v>388</v>
      </c>
      <c r="B18" s="551">
        <v>60.5</v>
      </c>
      <c r="C18" s="552">
        <v>60.5</v>
      </c>
      <c r="D18" s="553">
        <v>59.6</v>
      </c>
    </row>
    <row r="19" spans="1:4" ht="15" customHeight="1">
      <c r="A19" s="550" t="s">
        <v>795</v>
      </c>
      <c r="B19" s="551">
        <v>22</v>
      </c>
      <c r="C19" s="552">
        <v>22</v>
      </c>
      <c r="D19" s="553">
        <v>21.2</v>
      </c>
    </row>
    <row r="20" spans="1:4" ht="15" customHeight="1">
      <c r="A20" s="550" t="s">
        <v>796</v>
      </c>
      <c r="B20" s="551">
        <v>77.5</v>
      </c>
      <c r="C20" s="552">
        <v>77.5</v>
      </c>
      <c r="D20" s="553">
        <v>76.3</v>
      </c>
    </row>
    <row r="21" spans="1:4" ht="15" customHeight="1">
      <c r="A21" s="550" t="s">
        <v>797</v>
      </c>
      <c r="B21" s="551">
        <v>20</v>
      </c>
      <c r="C21" s="552">
        <v>20</v>
      </c>
      <c r="D21" s="553">
        <v>19.7</v>
      </c>
    </row>
    <row r="22" spans="1:4" ht="15" customHeight="1">
      <c r="A22" s="550" t="s">
        <v>798</v>
      </c>
      <c r="B22" s="551">
        <v>13</v>
      </c>
      <c r="C22" s="552">
        <v>13</v>
      </c>
      <c r="D22" s="553">
        <v>12.8</v>
      </c>
    </row>
    <row r="23" spans="1:4" ht="15" customHeight="1">
      <c r="A23" s="550" t="s">
        <v>799</v>
      </c>
      <c r="B23" s="551">
        <v>22</v>
      </c>
      <c r="C23" s="552">
        <v>23</v>
      </c>
      <c r="D23" s="553">
        <v>26.6</v>
      </c>
    </row>
    <row r="24" spans="1:4" ht="15.75" customHeight="1">
      <c r="A24" s="550" t="s">
        <v>800</v>
      </c>
      <c r="B24" s="551">
        <v>9.5</v>
      </c>
      <c r="C24" s="552">
        <v>9.5</v>
      </c>
      <c r="D24" s="553">
        <v>10.2</v>
      </c>
    </row>
    <row r="25" spans="1:4" ht="15" customHeight="1">
      <c r="A25" s="554" t="s">
        <v>801</v>
      </c>
      <c r="B25" s="555">
        <v>52.5</v>
      </c>
      <c r="C25" s="552">
        <v>53.5</v>
      </c>
      <c r="D25" s="553">
        <v>52.4</v>
      </c>
    </row>
    <row r="26" spans="1:4" ht="15" customHeight="1">
      <c r="A26" s="550" t="s">
        <v>802</v>
      </c>
      <c r="B26" s="551">
        <v>10</v>
      </c>
      <c r="C26" s="552">
        <v>10</v>
      </c>
      <c r="D26" s="553">
        <v>9.6</v>
      </c>
    </row>
    <row r="27" spans="1:4" ht="15" customHeight="1">
      <c r="A27" s="556" t="s">
        <v>803</v>
      </c>
      <c r="B27" s="557">
        <f>SUM(B8:B26)</f>
        <v>423.25</v>
      </c>
      <c r="C27" s="558">
        <f>SUM(C8:C26)</f>
        <v>427.25</v>
      </c>
      <c r="D27" s="559">
        <f>SUM(D8:D26)</f>
        <v>429.1</v>
      </c>
    </row>
    <row r="28" spans="1:4" ht="15" customHeight="1">
      <c r="A28" s="560" t="s">
        <v>150</v>
      </c>
      <c r="B28" s="561">
        <v>200</v>
      </c>
      <c r="C28" s="562">
        <v>200</v>
      </c>
      <c r="D28" s="563">
        <v>173</v>
      </c>
    </row>
    <row r="29" spans="1:4" ht="15" customHeight="1">
      <c r="A29" s="564" t="s">
        <v>804</v>
      </c>
      <c r="B29" s="565">
        <f>SUM(B27:B28)</f>
        <v>623.25</v>
      </c>
      <c r="C29" s="566">
        <f>SUM(C27:C28)</f>
        <v>627.25</v>
      </c>
      <c r="D29" s="567">
        <f>SUM(D27:D28)</f>
        <v>602.1</v>
      </c>
    </row>
    <row r="30" spans="1:4" ht="15" customHeight="1">
      <c r="A30" s="550"/>
      <c r="B30" s="551"/>
      <c r="C30" s="568"/>
      <c r="D30" s="569"/>
    </row>
    <row r="31" spans="1:4" ht="15" customHeight="1">
      <c r="A31" s="550" t="s">
        <v>805</v>
      </c>
      <c r="B31" s="551"/>
      <c r="C31" s="568"/>
      <c r="D31" s="569"/>
    </row>
    <row r="32" spans="1:4" ht="15" customHeight="1">
      <c r="A32" s="550" t="s">
        <v>806</v>
      </c>
      <c r="B32" s="551">
        <v>96</v>
      </c>
      <c r="C32" s="552">
        <v>96</v>
      </c>
      <c r="D32" s="553">
        <v>96</v>
      </c>
    </row>
    <row r="33" spans="1:4" ht="15" customHeight="1">
      <c r="A33" s="550" t="s">
        <v>807</v>
      </c>
      <c r="B33" s="555">
        <v>3</v>
      </c>
      <c r="C33" s="552">
        <v>3</v>
      </c>
      <c r="D33" s="553">
        <v>3</v>
      </c>
    </row>
    <row r="34" spans="1:4" ht="15" customHeight="1">
      <c r="A34" s="550" t="s">
        <v>808</v>
      </c>
      <c r="B34" s="570">
        <v>4</v>
      </c>
      <c r="C34" s="571">
        <v>5</v>
      </c>
      <c r="D34" s="572">
        <v>5</v>
      </c>
    </row>
    <row r="35" spans="1:4" s="382" customFormat="1" ht="15" customHeight="1">
      <c r="A35" s="573" t="s">
        <v>120</v>
      </c>
      <c r="B35" s="574">
        <f>SUM(B31:B34)</f>
        <v>103</v>
      </c>
      <c r="C35" s="575">
        <f>SUM(C31:C34)</f>
        <v>104</v>
      </c>
      <c r="D35" s="576">
        <f>SUM(D31:D34)</f>
        <v>104</v>
      </c>
    </row>
    <row r="36" spans="1:4" ht="15" customHeight="1">
      <c r="A36" s="550"/>
      <c r="B36" s="570"/>
      <c r="C36" s="577"/>
      <c r="D36" s="578"/>
    </row>
    <row r="37" spans="1:4" ht="15" customHeight="1">
      <c r="A37" s="579" t="s">
        <v>345</v>
      </c>
      <c r="B37" s="580">
        <f>SUM(B29+B35)</f>
        <v>726.25</v>
      </c>
      <c r="C37" s="581">
        <f>SUM(C29+C35)</f>
        <v>731.25</v>
      </c>
      <c r="D37" s="582">
        <f>SUM(D29+D35)</f>
        <v>706.1</v>
      </c>
    </row>
    <row r="38" spans="1:2" ht="19.5">
      <c r="A38" s="583"/>
      <c r="B38" s="584"/>
    </row>
    <row r="39" spans="1:4" ht="14.25">
      <c r="A39" s="541" t="s">
        <v>809</v>
      </c>
      <c r="B39" s="541"/>
      <c r="C39" s="541"/>
      <c r="D39" s="541"/>
    </row>
    <row r="40" ht="13.5"/>
    <row r="41" spans="1:4" ht="13.5" customHeight="1">
      <c r="A41" s="585" t="s">
        <v>224</v>
      </c>
      <c r="B41" s="586" t="s">
        <v>810</v>
      </c>
      <c r="C41" s="586"/>
      <c r="D41" s="586"/>
    </row>
    <row r="42" spans="1:4" ht="12.75">
      <c r="A42" s="585"/>
      <c r="B42" s="398" t="s">
        <v>3</v>
      </c>
      <c r="C42" s="548" t="s">
        <v>4</v>
      </c>
      <c r="D42" s="549" t="s">
        <v>201</v>
      </c>
    </row>
    <row r="43" spans="1:4" ht="12.75">
      <c r="A43" s="393" t="s">
        <v>811</v>
      </c>
      <c r="B43" s="587">
        <v>70</v>
      </c>
      <c r="C43" s="588">
        <v>135</v>
      </c>
      <c r="D43" s="589">
        <v>113</v>
      </c>
    </row>
    <row r="44" spans="1:4" ht="13.5">
      <c r="A44" s="393" t="s">
        <v>812</v>
      </c>
      <c r="B44" s="590">
        <v>15</v>
      </c>
      <c r="C44" s="591">
        <v>7</v>
      </c>
      <c r="D44" s="592">
        <v>7</v>
      </c>
    </row>
    <row r="45" spans="1:4" s="369" customFormat="1" ht="13.5">
      <c r="A45" s="593" t="s">
        <v>120</v>
      </c>
      <c r="B45" s="594">
        <f>SUM(B43:B44)</f>
        <v>85</v>
      </c>
      <c r="C45" s="595">
        <f>SUM(C43:C44)</f>
        <v>142</v>
      </c>
      <c r="D45" s="596">
        <f>SUM(D43:D44)</f>
        <v>120</v>
      </c>
    </row>
    <row r="46" ht="13.5"/>
  </sheetData>
  <sheetProtection selectLockedCells="1" selectUnlockedCells="1"/>
  <mergeCells count="7">
    <mergeCell ref="A2:D2"/>
    <mergeCell ref="A3:B3"/>
    <mergeCell ref="A6:A7"/>
    <mergeCell ref="B6:D6"/>
    <mergeCell ref="A39:D39"/>
    <mergeCell ref="A41:A42"/>
    <mergeCell ref="B41:D41"/>
  </mergeCells>
  <printOptions/>
  <pageMargins left="0.35" right="0.3798611111111111" top="0.7701388888888889" bottom="0.9840277777777777" header="0.5" footer="0.5118055555555555"/>
  <pageSetup horizontalDpi="300" verticalDpi="300" orientation="portrait" paperSize="9"/>
  <headerFooter alignWithMargins="0">
    <oddHeader>&amp;L&amp;8 11. melléklet a 16/2011.(V.02.)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6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88.375" style="370" customWidth="1"/>
    <col min="2" max="2" width="9.875" style="370" customWidth="1"/>
    <col min="3" max="3" width="10.125" style="370" customWidth="1"/>
    <col min="4" max="4" width="11.00390625" style="370" customWidth="1"/>
    <col min="5" max="16384" width="9.125" style="370" customWidth="1"/>
  </cols>
  <sheetData>
    <row r="1" ht="12.75">
      <c r="A1" s="216" t="s">
        <v>813</v>
      </c>
    </row>
    <row r="2" ht="12" customHeight="1">
      <c r="A2" s="544"/>
    </row>
    <row r="3" spans="1:3" ht="12.75">
      <c r="A3" s="597" t="s">
        <v>814</v>
      </c>
      <c r="B3" s="597"/>
      <c r="C3" s="597"/>
    </row>
    <row r="4" spans="1:3" ht="12.75" customHeight="1">
      <c r="A4" s="597" t="s">
        <v>815</v>
      </c>
      <c r="B4" s="597"/>
      <c r="C4" s="597"/>
    </row>
    <row r="5" ht="13.5"/>
    <row r="6" spans="1:4" ht="13.5">
      <c r="A6" s="598" t="s">
        <v>816</v>
      </c>
      <c r="B6" s="411" t="s">
        <v>3</v>
      </c>
      <c r="C6" s="411" t="s">
        <v>4</v>
      </c>
      <c r="D6" s="586" t="s">
        <v>5</v>
      </c>
    </row>
    <row r="7" spans="1:4" ht="12.75">
      <c r="A7" s="393" t="s">
        <v>817</v>
      </c>
      <c r="B7" s="384">
        <v>1700000</v>
      </c>
      <c r="C7" s="384">
        <v>1742567</v>
      </c>
      <c r="D7" s="171">
        <v>1742567</v>
      </c>
    </row>
    <row r="8" spans="1:4" ht="12.75">
      <c r="A8" s="393" t="s">
        <v>818</v>
      </c>
      <c r="B8" s="384"/>
      <c r="C8" s="384">
        <v>100000</v>
      </c>
      <c r="D8" s="171">
        <v>100000</v>
      </c>
    </row>
    <row r="9" spans="1:4" ht="12.75">
      <c r="A9" s="393" t="s">
        <v>819</v>
      </c>
      <c r="B9" s="384"/>
      <c r="C9" s="384">
        <v>9447</v>
      </c>
      <c r="D9" s="171">
        <v>8574</v>
      </c>
    </row>
    <row r="10" spans="1:4" ht="12.75">
      <c r="A10" s="393" t="s">
        <v>138</v>
      </c>
      <c r="B10" s="384">
        <v>129000</v>
      </c>
      <c r="C10" s="384">
        <v>129000</v>
      </c>
      <c r="D10" s="171">
        <v>68625</v>
      </c>
    </row>
    <row r="11" spans="1:4" ht="12.75">
      <c r="A11" s="393" t="s">
        <v>820</v>
      </c>
      <c r="B11" s="384"/>
      <c r="C11" s="384"/>
      <c r="D11" s="171">
        <v>67424</v>
      </c>
    </row>
    <row r="12" spans="1:4" ht="12.75">
      <c r="A12" s="393" t="s">
        <v>821</v>
      </c>
      <c r="B12" s="384">
        <v>507722</v>
      </c>
      <c r="C12" s="384">
        <v>507722</v>
      </c>
      <c r="D12" s="171"/>
    </row>
    <row r="13" spans="1:4" ht="13.5">
      <c r="A13" s="599" t="s">
        <v>822</v>
      </c>
      <c r="B13" s="401">
        <f>SUM(B14:B25)</f>
        <v>2472354</v>
      </c>
      <c r="C13" s="401">
        <f>SUM(C14:C26)</f>
        <v>2127375</v>
      </c>
      <c r="D13" s="600">
        <f>SUM(D14:D26)</f>
        <v>316186</v>
      </c>
    </row>
    <row r="14" spans="1:4" ht="12.75">
      <c r="A14" s="393" t="s">
        <v>823</v>
      </c>
      <c r="B14" s="384">
        <v>142597</v>
      </c>
      <c r="C14" s="384">
        <v>92688</v>
      </c>
      <c r="D14" s="171"/>
    </row>
    <row r="15" spans="1:4" ht="12.75">
      <c r="A15" s="393" t="s">
        <v>824</v>
      </c>
      <c r="B15" s="384">
        <v>238476</v>
      </c>
      <c r="C15" s="601">
        <v>155009</v>
      </c>
      <c r="D15" s="602">
        <v>15289</v>
      </c>
    </row>
    <row r="16" spans="1:4" ht="12.75">
      <c r="A16" s="393" t="s">
        <v>825</v>
      </c>
      <c r="B16" s="384">
        <v>534622</v>
      </c>
      <c r="C16" s="384">
        <v>367236</v>
      </c>
      <c r="D16" s="171"/>
    </row>
    <row r="17" spans="1:4" ht="12.75">
      <c r="A17" s="393" t="s">
        <v>826</v>
      </c>
      <c r="B17" s="384">
        <v>53582</v>
      </c>
      <c r="C17" s="384">
        <v>53582</v>
      </c>
      <c r="D17" s="171"/>
    </row>
    <row r="18" spans="1:4" ht="12.75">
      <c r="A18" s="393" t="s">
        <v>827</v>
      </c>
      <c r="B18" s="384">
        <v>179030</v>
      </c>
      <c r="C18" s="384">
        <v>179030</v>
      </c>
      <c r="D18" s="171"/>
    </row>
    <row r="19" spans="1:4" ht="12.75">
      <c r="A19" s="393" t="s">
        <v>828</v>
      </c>
      <c r="B19" s="384">
        <v>99994</v>
      </c>
      <c r="C19" s="384">
        <v>99994</v>
      </c>
      <c r="D19" s="171"/>
    </row>
    <row r="20" spans="1:4" ht="12.75">
      <c r="A20" s="393" t="s">
        <v>829</v>
      </c>
      <c r="B20" s="384">
        <v>700000</v>
      </c>
      <c r="C20" s="384">
        <v>700000</v>
      </c>
      <c r="D20" s="171"/>
    </row>
    <row r="21" spans="1:4" ht="12.75">
      <c r="A21" s="393" t="s">
        <v>830</v>
      </c>
      <c r="B21" s="384">
        <v>315000</v>
      </c>
      <c r="C21" s="384"/>
      <c r="D21" s="171"/>
    </row>
    <row r="22" spans="1:4" ht="12.75" customHeight="1">
      <c r="A22" s="393" t="s">
        <v>831</v>
      </c>
      <c r="B22" s="384">
        <v>44059</v>
      </c>
      <c r="C22" s="384">
        <v>44059</v>
      </c>
      <c r="D22" s="171"/>
    </row>
    <row r="23" spans="1:4" ht="12.75">
      <c r="A23" s="393" t="s">
        <v>832</v>
      </c>
      <c r="B23" s="384">
        <v>30000</v>
      </c>
      <c r="C23" s="384"/>
      <c r="D23" s="171"/>
    </row>
    <row r="24" spans="1:4" ht="12.75">
      <c r="A24" s="393" t="s">
        <v>833</v>
      </c>
      <c r="B24" s="384">
        <v>134994</v>
      </c>
      <c r="C24" s="384">
        <v>134994</v>
      </c>
      <c r="D24" s="171">
        <v>135</v>
      </c>
    </row>
    <row r="25" spans="1:4" ht="12.75">
      <c r="A25" s="393" t="s">
        <v>834</v>
      </c>
      <c r="B25" s="384" t="s">
        <v>835</v>
      </c>
      <c r="C25" s="384">
        <v>300762</v>
      </c>
      <c r="D25" s="171">
        <v>300762</v>
      </c>
    </row>
    <row r="26" spans="1:4" ht="12.75">
      <c r="A26" s="393" t="s">
        <v>836</v>
      </c>
      <c r="B26" s="384"/>
      <c r="C26" s="384">
        <v>21</v>
      </c>
      <c r="D26" s="171"/>
    </row>
    <row r="27" spans="1:4" ht="12.75">
      <c r="A27" s="416" t="s">
        <v>120</v>
      </c>
      <c r="B27" s="391">
        <f>SUM(B7:B12)+B13</f>
        <v>4809076</v>
      </c>
      <c r="C27" s="391">
        <f>SUM(C7:C12)+C13</f>
        <v>4616111</v>
      </c>
      <c r="D27" s="175">
        <f>SUM(D7:D12)+D13</f>
        <v>2303376</v>
      </c>
    </row>
    <row r="28" spans="1:4" ht="12.75">
      <c r="A28" s="393"/>
      <c r="B28" s="487"/>
      <c r="C28" s="487"/>
      <c r="D28" s="603"/>
    </row>
    <row r="29" spans="1:4" ht="15.75" customHeight="1">
      <c r="A29" s="604" t="s">
        <v>837</v>
      </c>
      <c r="B29" s="605" t="s">
        <v>3</v>
      </c>
      <c r="C29" s="606" t="s">
        <v>4</v>
      </c>
      <c r="D29" s="607" t="s">
        <v>5</v>
      </c>
    </row>
    <row r="30" spans="1:4" ht="10.5" customHeight="1">
      <c r="A30" s="604"/>
      <c r="B30" s="605"/>
      <c r="C30" s="487"/>
      <c r="D30" s="603"/>
    </row>
    <row r="31" spans="1:4" s="610" customFormat="1" ht="12.75" customHeight="1">
      <c r="A31" s="608" t="s">
        <v>838</v>
      </c>
      <c r="B31" s="609">
        <v>128930</v>
      </c>
      <c r="C31" s="401">
        <v>44825</v>
      </c>
      <c r="D31" s="600">
        <v>44802</v>
      </c>
    </row>
    <row r="32" spans="1:4" s="610" customFormat="1" ht="12" customHeight="1">
      <c r="A32" s="608" t="s">
        <v>839</v>
      </c>
      <c r="B32" s="609">
        <v>12000</v>
      </c>
      <c r="C32" s="401">
        <v>12000</v>
      </c>
      <c r="D32" s="600">
        <v>12632</v>
      </c>
    </row>
    <row r="33" spans="1:4" ht="10.5" customHeight="1">
      <c r="A33" s="604"/>
      <c r="B33" s="605"/>
      <c r="C33" s="384"/>
      <c r="D33" s="171"/>
    </row>
    <row r="34" spans="1:4" ht="12.75">
      <c r="A34" s="611" t="s">
        <v>840</v>
      </c>
      <c r="B34" s="391"/>
      <c r="C34" s="384"/>
      <c r="D34" s="171"/>
    </row>
    <row r="35" spans="1:4" ht="10.5" customHeight="1">
      <c r="A35" s="393"/>
      <c r="B35" s="487"/>
      <c r="C35" s="384"/>
      <c r="D35" s="171"/>
    </row>
    <row r="36" spans="1:4" ht="12.75">
      <c r="A36" s="611" t="s">
        <v>470</v>
      </c>
      <c r="B36" s="487"/>
      <c r="C36" s="384"/>
      <c r="D36" s="171"/>
    </row>
    <row r="37" spans="1:4" ht="12.75">
      <c r="A37" s="393" t="s">
        <v>841</v>
      </c>
      <c r="B37" s="384">
        <v>15000</v>
      </c>
      <c r="C37" s="384"/>
      <c r="D37" s="171"/>
    </row>
    <row r="38" spans="1:4" ht="12.75">
      <c r="A38" s="393" t="s">
        <v>842</v>
      </c>
      <c r="B38" s="384">
        <v>442625</v>
      </c>
      <c r="C38" s="384">
        <v>455507</v>
      </c>
      <c r="D38" s="171">
        <v>369800</v>
      </c>
    </row>
    <row r="39" spans="1:4" ht="12.75">
      <c r="A39" s="393" t="s">
        <v>843</v>
      </c>
      <c r="B39" s="384">
        <v>534614</v>
      </c>
      <c r="C39" s="384">
        <v>523133</v>
      </c>
      <c r="D39" s="171">
        <v>503381</v>
      </c>
    </row>
    <row r="40" spans="1:4" ht="12.75">
      <c r="A40" s="393" t="s">
        <v>844</v>
      </c>
      <c r="B40" s="384">
        <v>674000</v>
      </c>
      <c r="C40" s="384">
        <v>670221</v>
      </c>
      <c r="D40" s="171">
        <v>60141</v>
      </c>
    </row>
    <row r="41" spans="1:4" ht="12.75">
      <c r="A41" s="393" t="s">
        <v>845</v>
      </c>
      <c r="B41" s="384">
        <v>85059</v>
      </c>
      <c r="C41" s="384">
        <v>83567</v>
      </c>
      <c r="D41" s="171">
        <v>62338</v>
      </c>
    </row>
    <row r="42" spans="1:4" ht="12.75">
      <c r="A42" s="393" t="s">
        <v>846</v>
      </c>
      <c r="B42" s="384">
        <v>413856</v>
      </c>
      <c r="C42" s="384">
        <v>413856</v>
      </c>
      <c r="D42" s="171">
        <v>5822</v>
      </c>
    </row>
    <row r="43" spans="1:4" ht="12.75">
      <c r="A43" s="393" t="s">
        <v>847</v>
      </c>
      <c r="B43" s="384">
        <v>125211</v>
      </c>
      <c r="C43" s="384">
        <v>125731</v>
      </c>
      <c r="D43" s="171">
        <v>1679</v>
      </c>
    </row>
    <row r="44" spans="1:4" ht="12.75">
      <c r="A44" s="393" t="s">
        <v>848</v>
      </c>
      <c r="B44" s="384">
        <v>933000</v>
      </c>
      <c r="C44" s="384">
        <v>933000</v>
      </c>
      <c r="D44" s="171">
        <v>16767</v>
      </c>
    </row>
    <row r="45" spans="1:4" ht="12.75">
      <c r="A45" s="393" t="s">
        <v>849</v>
      </c>
      <c r="B45" s="384">
        <v>418000</v>
      </c>
      <c r="C45" s="384">
        <v>4765</v>
      </c>
      <c r="D45" s="171">
        <v>4765</v>
      </c>
    </row>
    <row r="46" spans="1:4" ht="12.75">
      <c r="A46" s="393" t="s">
        <v>850</v>
      </c>
      <c r="B46" s="384">
        <v>48954</v>
      </c>
      <c r="C46" s="384">
        <v>48954</v>
      </c>
      <c r="D46" s="171">
        <v>3218</v>
      </c>
    </row>
    <row r="47" spans="1:4" ht="12.75">
      <c r="A47" s="393" t="s">
        <v>851</v>
      </c>
      <c r="B47" s="384">
        <v>220000</v>
      </c>
      <c r="C47" s="384">
        <v>220000</v>
      </c>
      <c r="D47" s="171">
        <v>220000</v>
      </c>
    </row>
    <row r="48" spans="1:4" ht="12.75">
      <c r="A48" s="393" t="s">
        <v>852</v>
      </c>
      <c r="B48" s="384">
        <v>8875</v>
      </c>
      <c r="C48" s="384">
        <v>6750</v>
      </c>
      <c r="D48" s="171">
        <v>6750</v>
      </c>
    </row>
    <row r="49" spans="1:4" ht="12.75">
      <c r="A49" s="612" t="s">
        <v>853</v>
      </c>
      <c r="B49" s="384">
        <v>1500</v>
      </c>
      <c r="C49" s="384">
        <v>1500</v>
      </c>
      <c r="D49" s="171"/>
    </row>
    <row r="50" spans="1:4" ht="12.75">
      <c r="A50" s="393" t="s">
        <v>854</v>
      </c>
      <c r="B50" s="384">
        <v>6250</v>
      </c>
      <c r="C50" s="384">
        <v>3625</v>
      </c>
      <c r="D50" s="171">
        <v>3625</v>
      </c>
    </row>
    <row r="51" spans="1:4" ht="12.75">
      <c r="A51" s="393" t="s">
        <v>855</v>
      </c>
      <c r="B51" s="384">
        <v>1250</v>
      </c>
      <c r="C51" s="384">
        <v>500</v>
      </c>
      <c r="D51" s="171">
        <v>500</v>
      </c>
    </row>
    <row r="52" spans="1:4" ht="12.75">
      <c r="A52" s="612" t="s">
        <v>856</v>
      </c>
      <c r="B52" s="384">
        <v>7000</v>
      </c>
      <c r="C52" s="384"/>
      <c r="D52" s="171"/>
    </row>
    <row r="53" spans="1:4" ht="12.75">
      <c r="A53" s="612" t="s">
        <v>857</v>
      </c>
      <c r="B53" s="384">
        <v>15000</v>
      </c>
      <c r="C53" s="384">
        <v>15000</v>
      </c>
      <c r="D53" s="171">
        <v>15000</v>
      </c>
    </row>
    <row r="54" spans="1:4" ht="12.75">
      <c r="A54" s="393" t="s">
        <v>858</v>
      </c>
      <c r="B54" s="384">
        <v>149993</v>
      </c>
      <c r="C54" s="384">
        <v>149993</v>
      </c>
      <c r="D54" s="171">
        <v>6188</v>
      </c>
    </row>
    <row r="55" spans="1:4" ht="12.75">
      <c r="A55" s="393" t="s">
        <v>859</v>
      </c>
      <c r="B55" s="384"/>
      <c r="C55" s="384">
        <v>931</v>
      </c>
      <c r="D55" s="171">
        <v>931</v>
      </c>
    </row>
    <row r="56" spans="1:4" ht="12.75">
      <c r="A56" s="613" t="s">
        <v>120</v>
      </c>
      <c r="B56" s="614">
        <f>SUM(B37:B54)</f>
        <v>4100187</v>
      </c>
      <c r="C56" s="614">
        <f>SUM(C37:C55)</f>
        <v>3657033</v>
      </c>
      <c r="D56" s="173">
        <f>SUM(D37:D55)</f>
        <v>1280905</v>
      </c>
    </row>
    <row r="57" spans="1:4" ht="11.25" customHeight="1">
      <c r="A57" s="393"/>
      <c r="B57" s="487"/>
      <c r="C57" s="384"/>
      <c r="D57" s="171"/>
    </row>
    <row r="58" spans="1:4" ht="12.75">
      <c r="A58" s="611" t="s">
        <v>860</v>
      </c>
      <c r="B58" s="487"/>
      <c r="C58" s="384"/>
      <c r="D58" s="171"/>
    </row>
    <row r="59" spans="1:4" ht="12.75">
      <c r="A59" s="393" t="s">
        <v>535</v>
      </c>
      <c r="B59" s="384">
        <v>15000</v>
      </c>
      <c r="C59" s="384">
        <v>6066</v>
      </c>
      <c r="D59" s="171">
        <v>1001</v>
      </c>
    </row>
    <row r="60" spans="1:4" ht="12.75">
      <c r="A60" s="393" t="s">
        <v>536</v>
      </c>
      <c r="B60" s="384" t="s">
        <v>835</v>
      </c>
      <c r="C60" s="384"/>
      <c r="D60" s="171"/>
    </row>
    <row r="61" spans="1:4" ht="12.75">
      <c r="A61" s="393" t="s">
        <v>861</v>
      </c>
      <c r="B61" s="384">
        <v>7500</v>
      </c>
      <c r="C61" s="384">
        <v>7500</v>
      </c>
      <c r="D61" s="171">
        <v>164</v>
      </c>
    </row>
    <row r="62" spans="1:4" ht="12.75">
      <c r="A62" s="393" t="s">
        <v>862</v>
      </c>
      <c r="B62" s="384">
        <v>5000</v>
      </c>
      <c r="C62" s="384">
        <v>5000</v>
      </c>
      <c r="D62" s="171">
        <v>2569</v>
      </c>
    </row>
    <row r="63" spans="1:4" ht="12.75">
      <c r="A63" s="393" t="s">
        <v>539</v>
      </c>
      <c r="B63" s="384">
        <v>30000</v>
      </c>
      <c r="C63" s="384">
        <v>22849</v>
      </c>
      <c r="D63" s="171">
        <v>4385</v>
      </c>
    </row>
    <row r="64" spans="1:4" ht="12.75">
      <c r="A64" s="393" t="s">
        <v>863</v>
      </c>
      <c r="B64" s="384"/>
      <c r="C64" s="384">
        <v>17600</v>
      </c>
      <c r="D64" s="171">
        <v>4271</v>
      </c>
    </row>
    <row r="65" spans="1:4" ht="12.75">
      <c r="A65" s="393" t="s">
        <v>864</v>
      </c>
      <c r="B65" s="384"/>
      <c r="C65" s="384">
        <v>3156</v>
      </c>
      <c r="D65" s="171">
        <v>3156</v>
      </c>
    </row>
    <row r="66" spans="1:4" ht="12.75">
      <c r="A66" s="393" t="s">
        <v>865</v>
      </c>
      <c r="B66" s="384"/>
      <c r="C66" s="384">
        <v>100000</v>
      </c>
      <c r="D66" s="171">
        <v>100000</v>
      </c>
    </row>
    <row r="67" spans="1:4" ht="12.75">
      <c r="A67" s="615" t="s">
        <v>540</v>
      </c>
      <c r="B67" s="384">
        <v>6250</v>
      </c>
      <c r="C67" s="384">
        <v>3750</v>
      </c>
      <c r="D67" s="171"/>
    </row>
    <row r="68" spans="1:4" ht="12.75">
      <c r="A68" s="615" t="s">
        <v>866</v>
      </c>
      <c r="B68" s="384"/>
      <c r="C68" s="384">
        <v>3308</v>
      </c>
      <c r="D68" s="171"/>
    </row>
    <row r="69" spans="1:4" ht="12.75">
      <c r="A69" s="615" t="s">
        <v>867</v>
      </c>
      <c r="B69" s="384"/>
      <c r="C69" s="384">
        <v>36865</v>
      </c>
      <c r="D69" s="171"/>
    </row>
    <row r="70" spans="1:4" ht="12.75">
      <c r="A70" s="615" t="s">
        <v>868</v>
      </c>
      <c r="B70" s="384"/>
      <c r="C70" s="384">
        <v>15610</v>
      </c>
      <c r="D70" s="171"/>
    </row>
    <row r="71" spans="1:4" ht="12.75">
      <c r="A71" s="615" t="s">
        <v>869</v>
      </c>
      <c r="B71" s="384"/>
      <c r="C71" s="384">
        <v>8000</v>
      </c>
      <c r="D71" s="171">
        <v>270</v>
      </c>
    </row>
    <row r="72" spans="1:4" ht="12.75">
      <c r="A72" s="615" t="s">
        <v>870</v>
      </c>
      <c r="B72" s="384"/>
      <c r="C72" s="384">
        <v>5795</v>
      </c>
      <c r="D72" s="171"/>
    </row>
    <row r="73" spans="1:4" ht="12.75">
      <c r="A73" s="615" t="s">
        <v>871</v>
      </c>
      <c r="B73" s="384"/>
      <c r="C73" s="384">
        <v>1356</v>
      </c>
      <c r="D73" s="171"/>
    </row>
    <row r="74" spans="1:4" ht="12.75">
      <c r="A74" s="615" t="s">
        <v>872</v>
      </c>
      <c r="B74" s="384"/>
      <c r="C74" s="384">
        <v>2529</v>
      </c>
      <c r="D74" s="171"/>
    </row>
    <row r="75" spans="1:4" ht="12.75">
      <c r="A75" s="615" t="s">
        <v>873</v>
      </c>
      <c r="B75" s="384"/>
      <c r="C75" s="384">
        <v>581</v>
      </c>
      <c r="D75" s="171">
        <v>581</v>
      </c>
    </row>
    <row r="76" spans="1:4" ht="12.75">
      <c r="A76" s="615" t="s">
        <v>874</v>
      </c>
      <c r="B76" s="384"/>
      <c r="C76" s="384">
        <v>3500</v>
      </c>
      <c r="D76" s="171"/>
    </row>
    <row r="77" spans="1:4" ht="12.75">
      <c r="A77" s="615" t="s">
        <v>875</v>
      </c>
      <c r="B77" s="384"/>
      <c r="C77" s="384">
        <v>9068</v>
      </c>
      <c r="D77" s="171">
        <v>1438</v>
      </c>
    </row>
    <row r="78" spans="1:4" ht="12.75">
      <c r="A78" s="615" t="s">
        <v>876</v>
      </c>
      <c r="B78" s="384"/>
      <c r="C78" s="384">
        <v>17000</v>
      </c>
      <c r="D78" s="171">
        <v>14378</v>
      </c>
    </row>
    <row r="79" spans="1:4" ht="12.75">
      <c r="A79" s="615" t="s">
        <v>877</v>
      </c>
      <c r="B79" s="384"/>
      <c r="C79" s="384">
        <v>2029</v>
      </c>
      <c r="D79" s="171">
        <v>2029</v>
      </c>
    </row>
    <row r="80" spans="1:4" ht="12.75">
      <c r="A80" s="615" t="s">
        <v>555</v>
      </c>
      <c r="B80" s="384"/>
      <c r="C80" s="384">
        <v>1023</v>
      </c>
      <c r="D80" s="171">
        <v>1023</v>
      </c>
    </row>
    <row r="81" spans="1:4" ht="12.75">
      <c r="A81" s="616" t="s">
        <v>120</v>
      </c>
      <c r="B81" s="617">
        <f>SUM(B59:B75)</f>
        <v>63750</v>
      </c>
      <c r="C81" s="617">
        <f>SUM(C59:C80)</f>
        <v>272585</v>
      </c>
      <c r="D81" s="618">
        <f>SUM(D59:D80)</f>
        <v>135265</v>
      </c>
    </row>
    <row r="82" spans="1:4" ht="11.25" customHeight="1">
      <c r="A82" s="393" t="s">
        <v>878</v>
      </c>
      <c r="B82" s="619"/>
      <c r="C82" s="384"/>
      <c r="D82" s="171"/>
    </row>
    <row r="83" spans="1:4" s="610" customFormat="1" ht="13.5">
      <c r="A83" s="599" t="s">
        <v>879</v>
      </c>
      <c r="B83" s="401">
        <f>B56+B81</f>
        <v>4163937</v>
      </c>
      <c r="C83" s="401">
        <f>C56+C81</f>
        <v>3929618</v>
      </c>
      <c r="D83" s="600">
        <f>D56+D81</f>
        <v>1416170</v>
      </c>
    </row>
    <row r="84" spans="1:4" ht="13.5">
      <c r="A84" s="620"/>
      <c r="B84" s="621"/>
      <c r="C84" s="419"/>
      <c r="D84" s="622"/>
    </row>
    <row r="85" spans="1:4" ht="13.5">
      <c r="A85" s="598" t="s">
        <v>880</v>
      </c>
      <c r="B85" s="623"/>
      <c r="C85" s="624"/>
      <c r="D85" s="625"/>
    </row>
    <row r="86" spans="1:4" ht="12.75">
      <c r="A86" s="393"/>
      <c r="B86" s="487"/>
      <c r="C86" s="384"/>
      <c r="D86" s="171"/>
    </row>
    <row r="87" spans="1:4" ht="12.75">
      <c r="A87" s="611" t="s">
        <v>470</v>
      </c>
      <c r="B87" s="487"/>
      <c r="C87" s="384"/>
      <c r="D87" s="171"/>
    </row>
    <row r="88" spans="1:4" ht="12.75">
      <c r="A88" s="612" t="s">
        <v>881</v>
      </c>
      <c r="B88" s="384">
        <v>17000</v>
      </c>
      <c r="C88" s="384">
        <v>17386</v>
      </c>
      <c r="D88" s="171">
        <v>17000</v>
      </c>
    </row>
    <row r="89" spans="1:4" ht="12.75">
      <c r="A89" s="393" t="s">
        <v>882</v>
      </c>
      <c r="B89" s="384">
        <v>8650</v>
      </c>
      <c r="C89" s="384">
        <v>8650</v>
      </c>
      <c r="D89" s="171">
        <v>8650</v>
      </c>
    </row>
    <row r="90" spans="1:4" ht="12.75">
      <c r="A90" s="393" t="s">
        <v>883</v>
      </c>
      <c r="B90" s="384">
        <v>1465</v>
      </c>
      <c r="C90" s="384">
        <v>1465</v>
      </c>
      <c r="D90" s="171"/>
    </row>
    <row r="91" spans="1:4" ht="12.75">
      <c r="A91" s="393" t="s">
        <v>884</v>
      </c>
      <c r="B91" s="384">
        <v>33962</v>
      </c>
      <c r="C91" s="384"/>
      <c r="D91" s="171"/>
    </row>
    <row r="92" spans="1:4" ht="12.75">
      <c r="A92" s="393" t="s">
        <v>885</v>
      </c>
      <c r="B92" s="384">
        <v>69791</v>
      </c>
      <c r="C92" s="384">
        <v>66863</v>
      </c>
      <c r="D92" s="171">
        <v>63289</v>
      </c>
    </row>
    <row r="93" spans="1:4" ht="12.75">
      <c r="A93" s="393" t="s">
        <v>886</v>
      </c>
      <c r="B93" s="384"/>
      <c r="C93" s="384">
        <v>3337</v>
      </c>
      <c r="D93" s="171">
        <v>3</v>
      </c>
    </row>
    <row r="94" spans="1:4" ht="12.75">
      <c r="A94" s="393" t="s">
        <v>887</v>
      </c>
      <c r="B94" s="384">
        <v>5000</v>
      </c>
      <c r="C94" s="384">
        <v>3046</v>
      </c>
      <c r="D94" s="171">
        <v>1705</v>
      </c>
    </row>
    <row r="95" spans="1:4" ht="12.75">
      <c r="A95" s="613" t="s">
        <v>120</v>
      </c>
      <c r="B95" s="614">
        <f>SUM(B88:B94)</f>
        <v>135868</v>
      </c>
      <c r="C95" s="614">
        <f>SUM(C88:C94)</f>
        <v>100747</v>
      </c>
      <c r="D95" s="173">
        <f>SUM(D88:D94)</f>
        <v>90647</v>
      </c>
    </row>
    <row r="96" spans="1:4" ht="12.75">
      <c r="A96" s="613"/>
      <c r="B96" s="614"/>
      <c r="C96" s="384"/>
      <c r="D96" s="171"/>
    </row>
    <row r="97" spans="1:4" ht="12.75">
      <c r="A97" s="611" t="s">
        <v>478</v>
      </c>
      <c r="B97" s="487"/>
      <c r="C97" s="384"/>
      <c r="D97" s="171"/>
    </row>
    <row r="98" spans="1:4" ht="12.75">
      <c r="A98" s="393" t="s">
        <v>433</v>
      </c>
      <c r="B98" s="384">
        <v>1000</v>
      </c>
      <c r="C98" s="384">
        <v>1000</v>
      </c>
      <c r="D98" s="171"/>
    </row>
    <row r="99" spans="1:4" ht="12.75">
      <c r="A99" s="393" t="s">
        <v>888</v>
      </c>
      <c r="B99" s="384" t="s">
        <v>835</v>
      </c>
      <c r="C99" s="384">
        <v>192</v>
      </c>
      <c r="D99" s="171">
        <v>192</v>
      </c>
    </row>
    <row r="100" spans="1:4" ht="12.75">
      <c r="A100" s="393" t="s">
        <v>889</v>
      </c>
      <c r="B100" s="384"/>
      <c r="C100" s="384">
        <v>7000</v>
      </c>
      <c r="D100" s="171"/>
    </row>
    <row r="101" spans="1:4" ht="12.75">
      <c r="A101" s="393" t="s">
        <v>890</v>
      </c>
      <c r="B101" s="384"/>
      <c r="C101" s="384">
        <v>5000</v>
      </c>
      <c r="D101" s="171"/>
    </row>
    <row r="102" spans="1:4" ht="12.75">
      <c r="A102" s="393" t="s">
        <v>891</v>
      </c>
      <c r="B102" s="384"/>
      <c r="C102" s="384">
        <v>643</v>
      </c>
      <c r="D102" s="171"/>
    </row>
    <row r="103" spans="1:4" ht="12.75">
      <c r="A103" s="393" t="s">
        <v>892</v>
      </c>
      <c r="B103" s="384"/>
      <c r="C103" s="384">
        <v>756</v>
      </c>
      <c r="D103" s="171"/>
    </row>
    <row r="104" spans="1:4" ht="12.75">
      <c r="A104" s="613" t="s">
        <v>120</v>
      </c>
      <c r="B104" s="614">
        <f>SUM(B98:B101)</f>
        <v>1000</v>
      </c>
      <c r="C104" s="614">
        <f>SUM(C98:C103)</f>
        <v>14591</v>
      </c>
      <c r="D104" s="173">
        <f>SUM(D98:D103)</f>
        <v>192</v>
      </c>
    </row>
    <row r="105" spans="1:4" ht="12.75">
      <c r="A105" s="388"/>
      <c r="B105" s="384"/>
      <c r="C105" s="384"/>
      <c r="D105" s="171"/>
    </row>
    <row r="106" spans="1:4" s="610" customFormat="1" ht="13.5">
      <c r="A106" s="399" t="s">
        <v>893</v>
      </c>
      <c r="B106" s="401">
        <f>B95+B104</f>
        <v>136868</v>
      </c>
      <c r="C106" s="401">
        <f>C95+C104</f>
        <v>115338</v>
      </c>
      <c r="D106" s="600">
        <f>D95+D104</f>
        <v>90839</v>
      </c>
    </row>
    <row r="107" spans="1:4" ht="12.75">
      <c r="A107" s="388"/>
      <c r="B107" s="384"/>
      <c r="C107" s="384"/>
      <c r="D107" s="171"/>
    </row>
    <row r="108" spans="1:4" ht="12.75">
      <c r="A108" s="393"/>
      <c r="B108" s="487"/>
      <c r="C108" s="384"/>
      <c r="D108" s="171"/>
    </row>
    <row r="109" spans="1:4" ht="12.75">
      <c r="A109" s="611" t="s">
        <v>671</v>
      </c>
      <c r="B109" s="487"/>
      <c r="C109" s="384"/>
      <c r="D109" s="171"/>
    </row>
    <row r="110" spans="1:4" ht="12.75">
      <c r="A110" s="393" t="s">
        <v>894</v>
      </c>
      <c r="B110" s="384">
        <v>8265</v>
      </c>
      <c r="C110" s="384">
        <v>8265</v>
      </c>
      <c r="D110" s="171">
        <v>8265</v>
      </c>
    </row>
    <row r="111" spans="1:4" ht="12.75">
      <c r="A111" s="393" t="s">
        <v>895</v>
      </c>
      <c r="B111" s="384">
        <v>29264</v>
      </c>
      <c r="C111" s="384">
        <v>29264</v>
      </c>
      <c r="D111" s="171"/>
    </row>
    <row r="112" spans="1:4" ht="12.75">
      <c r="A112" s="393" t="s">
        <v>896</v>
      </c>
      <c r="B112" s="384">
        <v>178545</v>
      </c>
      <c r="C112" s="384">
        <v>161545</v>
      </c>
      <c r="D112" s="171">
        <v>148749</v>
      </c>
    </row>
    <row r="113" spans="1:4" ht="12.75">
      <c r="A113" s="393" t="s">
        <v>897</v>
      </c>
      <c r="B113" s="384">
        <v>45000</v>
      </c>
      <c r="C113" s="384">
        <v>45000</v>
      </c>
      <c r="D113" s="171">
        <v>8787</v>
      </c>
    </row>
    <row r="114" spans="1:4" ht="12.75">
      <c r="A114" s="393" t="s">
        <v>680</v>
      </c>
      <c r="B114" s="384">
        <v>6267</v>
      </c>
      <c r="C114" s="384">
        <v>6267</v>
      </c>
      <c r="D114" s="171"/>
    </row>
    <row r="115" spans="1:4" ht="12.75">
      <c r="A115" s="393" t="s">
        <v>681</v>
      </c>
      <c r="B115" s="384">
        <v>55000</v>
      </c>
      <c r="C115" s="384">
        <v>55000</v>
      </c>
      <c r="D115" s="171">
        <v>55000</v>
      </c>
    </row>
    <row r="116" spans="1:4" ht="12.75">
      <c r="A116" s="393" t="s">
        <v>898</v>
      </c>
      <c r="B116" s="384">
        <v>45000</v>
      </c>
      <c r="C116" s="384">
        <v>45000</v>
      </c>
      <c r="D116" s="171"/>
    </row>
    <row r="117" spans="1:4" ht="12.75">
      <c r="A117" s="393" t="s">
        <v>899</v>
      </c>
      <c r="B117" s="384"/>
      <c r="C117" s="384">
        <v>12000</v>
      </c>
      <c r="D117" s="171">
        <v>12000</v>
      </c>
    </row>
    <row r="118" spans="1:4" ht="12.75">
      <c r="A118" s="393" t="s">
        <v>900</v>
      </c>
      <c r="B118" s="384" t="s">
        <v>835</v>
      </c>
      <c r="C118" s="384">
        <v>23000</v>
      </c>
      <c r="D118" s="171">
        <v>23000</v>
      </c>
    </row>
    <row r="119" spans="1:4" ht="12.75">
      <c r="A119" s="393" t="s">
        <v>901</v>
      </c>
      <c r="B119" s="384"/>
      <c r="C119" s="384">
        <v>9100</v>
      </c>
      <c r="D119" s="171"/>
    </row>
    <row r="120" spans="1:4" ht="12.75">
      <c r="A120" s="393" t="s">
        <v>902</v>
      </c>
      <c r="B120" s="384"/>
      <c r="C120" s="384">
        <v>5000</v>
      </c>
      <c r="D120" s="171">
        <v>5000</v>
      </c>
    </row>
    <row r="121" spans="1:4" ht="12.75">
      <c r="A121" s="393" t="s">
        <v>903</v>
      </c>
      <c r="B121" s="384"/>
      <c r="C121" s="384">
        <v>5000</v>
      </c>
      <c r="D121" s="171">
        <v>5000</v>
      </c>
    </row>
    <row r="122" spans="1:4" s="610" customFormat="1" ht="13.5">
      <c r="A122" s="599" t="s">
        <v>904</v>
      </c>
      <c r="B122" s="401">
        <f>SUM(B110:B121)</f>
        <v>367341</v>
      </c>
      <c r="C122" s="401">
        <f>SUM(C110:C121)</f>
        <v>404441</v>
      </c>
      <c r="D122" s="600">
        <f>SUM(D110:D121)</f>
        <v>265801</v>
      </c>
    </row>
    <row r="123" spans="1:4" ht="12.75">
      <c r="A123" s="393"/>
      <c r="B123" s="391"/>
      <c r="C123" s="384"/>
      <c r="D123" s="171"/>
    </row>
    <row r="124" spans="1:4" ht="12.75">
      <c r="A124" s="416" t="s">
        <v>905</v>
      </c>
      <c r="B124" s="391"/>
      <c r="C124" s="391">
        <v>22166</v>
      </c>
      <c r="D124" s="175"/>
    </row>
    <row r="125" spans="1:4" ht="12.75">
      <c r="A125" s="416"/>
      <c r="B125" s="391"/>
      <c r="C125" s="391"/>
      <c r="D125" s="175"/>
    </row>
    <row r="126" spans="1:4" ht="12.75">
      <c r="A126" s="416" t="s">
        <v>906</v>
      </c>
      <c r="B126" s="487"/>
      <c r="C126" s="391">
        <v>3779</v>
      </c>
      <c r="D126" s="175">
        <v>2461</v>
      </c>
    </row>
    <row r="127" spans="1:4" ht="12.75">
      <c r="A127" s="416"/>
      <c r="B127" s="487"/>
      <c r="C127" s="391"/>
      <c r="D127" s="175"/>
    </row>
    <row r="128" spans="1:4" ht="12.75">
      <c r="A128" s="416" t="s">
        <v>907</v>
      </c>
      <c r="B128" s="487"/>
      <c r="C128" s="391">
        <v>11481</v>
      </c>
      <c r="D128" s="175">
        <v>11451</v>
      </c>
    </row>
    <row r="129" spans="1:4" ht="12.75">
      <c r="A129" s="416"/>
      <c r="B129" s="487"/>
      <c r="C129" s="391"/>
      <c r="D129" s="175"/>
    </row>
    <row r="130" spans="1:4" ht="12.75">
      <c r="A130" s="416" t="s">
        <v>908</v>
      </c>
      <c r="B130" s="487"/>
      <c r="C130" s="391">
        <v>1492</v>
      </c>
      <c r="D130" s="175">
        <v>1492</v>
      </c>
    </row>
    <row r="131" spans="1:4" ht="12.75">
      <c r="A131" s="416"/>
      <c r="B131" s="487"/>
      <c r="C131" s="391"/>
      <c r="D131" s="175"/>
    </row>
    <row r="132" spans="1:4" ht="12.75">
      <c r="A132" s="416" t="s">
        <v>909</v>
      </c>
      <c r="B132" s="487"/>
      <c r="C132" s="391"/>
      <c r="D132" s="175">
        <v>109</v>
      </c>
    </row>
    <row r="133" spans="1:4" ht="12.75">
      <c r="A133" s="416"/>
      <c r="B133" s="487"/>
      <c r="C133" s="391"/>
      <c r="D133" s="175"/>
    </row>
    <row r="134" spans="1:4" ht="12.75">
      <c r="A134" s="416" t="s">
        <v>910</v>
      </c>
      <c r="B134" s="487"/>
      <c r="C134" s="391"/>
      <c r="D134" s="175">
        <v>1269</v>
      </c>
    </row>
    <row r="135" spans="1:4" ht="12.75">
      <c r="A135" s="416"/>
      <c r="B135" s="487"/>
      <c r="C135" s="391"/>
      <c r="D135" s="175"/>
    </row>
    <row r="136" spans="1:4" ht="12.75">
      <c r="A136" s="416" t="s">
        <v>911</v>
      </c>
      <c r="B136" s="487"/>
      <c r="C136" s="391"/>
      <c r="D136" s="175">
        <v>1582</v>
      </c>
    </row>
    <row r="137" spans="1:4" ht="12.75">
      <c r="A137" s="416"/>
      <c r="B137" s="487"/>
      <c r="C137" s="391"/>
      <c r="D137" s="175"/>
    </row>
    <row r="138" spans="1:4" ht="12.75">
      <c r="A138" s="416" t="s">
        <v>912</v>
      </c>
      <c r="B138" s="487"/>
      <c r="C138" s="391">
        <v>40200</v>
      </c>
      <c r="D138" s="175">
        <v>40200</v>
      </c>
    </row>
    <row r="139" spans="1:4" ht="12.75">
      <c r="A139" s="393"/>
      <c r="B139" s="487"/>
      <c r="C139" s="391"/>
      <c r="D139" s="175"/>
    </row>
    <row r="140" spans="1:4" ht="12.75">
      <c r="A140" s="416" t="s">
        <v>913</v>
      </c>
      <c r="B140" s="391">
        <f>SUM(B31+B32+B83+B106+B122+B124+B126+B128+B130+B138)</f>
        <v>4809076</v>
      </c>
      <c r="C140" s="391">
        <f>SUM(C31+C32+C83+C106+C122+C124+C126+C128+C130+C138)</f>
        <v>4585340</v>
      </c>
      <c r="D140" s="175">
        <f>SUM(D31+D32+D83+D106+D122+D124+D126+D128+D130+D132+D134+D136+D138)</f>
        <v>1888808</v>
      </c>
    </row>
    <row r="141" spans="1:4" ht="12.75">
      <c r="A141" s="393"/>
      <c r="B141" s="487"/>
      <c r="C141" s="384"/>
      <c r="D141" s="171"/>
    </row>
    <row r="142" spans="1:4" ht="13.5">
      <c r="A142" s="593" t="s">
        <v>914</v>
      </c>
      <c r="B142" s="408">
        <f>B27-B140</f>
        <v>0</v>
      </c>
      <c r="C142" s="408">
        <f>C27-C140</f>
        <v>30771</v>
      </c>
      <c r="D142" s="626">
        <f>D27-D140</f>
        <v>414568</v>
      </c>
    </row>
    <row r="143" spans="1:3" ht="13.5">
      <c r="A143" s="627"/>
      <c r="B143" s="628"/>
      <c r="C143" s="370" t="s">
        <v>835</v>
      </c>
    </row>
    <row r="144" spans="1:3" ht="12.75">
      <c r="A144" s="373"/>
      <c r="B144" s="373"/>
      <c r="C144" s="370" t="s">
        <v>835</v>
      </c>
    </row>
    <row r="145" spans="1:3" ht="12.75">
      <c r="A145" s="629"/>
      <c r="B145" s="373"/>
      <c r="C145" s="370" t="s">
        <v>835</v>
      </c>
    </row>
    <row r="146" spans="1:3" ht="12.75">
      <c r="A146" s="373"/>
      <c r="B146" s="630"/>
      <c r="C146" s="370" t="s">
        <v>835</v>
      </c>
    </row>
    <row r="147" spans="1:2" ht="12.75">
      <c r="A147" s="373"/>
      <c r="B147" s="630"/>
    </row>
    <row r="148" spans="1:2" ht="12.75">
      <c r="A148" s="373"/>
      <c r="B148" s="630"/>
    </row>
    <row r="149" spans="1:2" ht="12.75">
      <c r="A149" s="373"/>
      <c r="B149" s="630"/>
    </row>
    <row r="150" spans="1:2" ht="12.75">
      <c r="A150" s="373"/>
      <c r="B150" s="630"/>
    </row>
    <row r="151" spans="1:2" ht="12.75">
      <c r="A151" s="373"/>
      <c r="B151" s="630"/>
    </row>
    <row r="152" spans="1:2" ht="12.75">
      <c r="A152" s="373"/>
      <c r="B152" s="630"/>
    </row>
    <row r="153" spans="1:2" ht="12.75">
      <c r="A153" s="373"/>
      <c r="B153" s="630"/>
    </row>
    <row r="154" spans="1:2" ht="12.75">
      <c r="A154" s="373"/>
      <c r="B154" s="630"/>
    </row>
    <row r="155" spans="1:2" ht="12.75">
      <c r="A155" s="373"/>
      <c r="B155" s="630"/>
    </row>
    <row r="156" spans="1:2" s="369" customFormat="1" ht="12.75">
      <c r="A156" s="631"/>
      <c r="B156" s="632"/>
    </row>
    <row r="157" spans="1:2" ht="12.75">
      <c r="A157" s="631"/>
      <c r="B157" s="632"/>
    </row>
    <row r="158" spans="1:2" ht="12.75">
      <c r="A158" s="631"/>
      <c r="B158" s="632"/>
    </row>
    <row r="159" spans="1:2" ht="12.75">
      <c r="A159" s="631"/>
      <c r="B159" s="632"/>
    </row>
    <row r="160" spans="1:2" ht="12.75">
      <c r="A160" s="631"/>
      <c r="B160" s="632"/>
    </row>
    <row r="161" spans="1:2" ht="12.75">
      <c r="A161" s="373"/>
      <c r="B161" s="373"/>
    </row>
    <row r="162" spans="1:2" s="369" customFormat="1" ht="12.75">
      <c r="A162" s="631"/>
      <c r="B162" s="631"/>
    </row>
    <row r="163" spans="1:2" ht="12.75">
      <c r="A163" s="373"/>
      <c r="B163" s="373"/>
    </row>
    <row r="164" spans="1:2" ht="13.5">
      <c r="A164" s="633"/>
      <c r="B164" s="634"/>
    </row>
    <row r="165" spans="1:2" ht="12.75">
      <c r="A165" s="373"/>
      <c r="B165" s="373"/>
    </row>
    <row r="166" spans="1:2" ht="13.5">
      <c r="A166" s="633"/>
      <c r="B166" s="634"/>
    </row>
  </sheetData>
  <sheetProtection selectLockedCells="1" selectUnlockedCells="1"/>
  <mergeCells count="2">
    <mergeCell ref="A3:C3"/>
    <mergeCell ref="A4:C4"/>
  </mergeCells>
  <printOptions horizontalCentered="1"/>
  <pageMargins left="0.24027777777777778" right="0.2361111111111111" top="0.3" bottom="0.3" header="0.5118055555555555" footer="0.5118055555555555"/>
  <pageSetup horizontalDpi="300" verticalDpi="300" orientation="portrait" paperSize="9" scale="76"/>
  <rowBreaks count="1" manualBreakCount="1">
    <brk id="8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8"/>
  <sheetViews>
    <sheetView workbookViewId="0" topLeftCell="A96">
      <selection activeCell="I30" sqref="I30"/>
    </sheetView>
  </sheetViews>
  <sheetFormatPr defaultColWidth="9.00390625" defaultRowHeight="12.75"/>
  <cols>
    <col min="6" max="6" width="11.75390625" style="0" customWidth="1"/>
    <col min="9" max="9" width="11.375" style="0" customWidth="1"/>
    <col min="10" max="10" width="11.25390625" style="0" customWidth="1"/>
  </cols>
  <sheetData>
    <row r="1" spans="1:12" ht="12.75">
      <c r="A1" s="635"/>
      <c r="B1" s="635"/>
      <c r="C1" s="635"/>
      <c r="D1" s="635"/>
      <c r="E1" s="635"/>
      <c r="G1" s="635"/>
      <c r="H1" s="635"/>
      <c r="K1" s="636"/>
      <c r="L1" s="637"/>
    </row>
    <row r="2" spans="1:12" ht="12.75">
      <c r="A2" s="635"/>
      <c r="B2" s="635"/>
      <c r="C2" s="635"/>
      <c r="D2" s="635"/>
      <c r="E2" s="635"/>
      <c r="G2" s="635"/>
      <c r="H2" s="635"/>
      <c r="K2" s="636"/>
      <c r="L2" s="637"/>
    </row>
    <row r="3" spans="1:12" ht="12.75">
      <c r="A3" s="635" t="s">
        <v>915</v>
      </c>
      <c r="B3" s="635"/>
      <c r="C3" s="635"/>
      <c r="D3" s="635"/>
      <c r="E3" s="635"/>
      <c r="F3" s="635"/>
      <c r="G3" s="635"/>
      <c r="H3" s="635"/>
      <c r="I3" s="635"/>
      <c r="J3" s="635"/>
      <c r="K3" s="636"/>
      <c r="L3" s="637"/>
    </row>
    <row r="4" spans="1:12" ht="12.75" customHeight="1">
      <c r="A4" s="635" t="s">
        <v>916</v>
      </c>
      <c r="B4" s="635"/>
      <c r="C4" s="635"/>
      <c r="D4" s="635"/>
      <c r="E4" s="635"/>
      <c r="F4" s="635"/>
      <c r="G4" s="635"/>
      <c r="H4" s="635"/>
      <c r="I4" s="635"/>
      <c r="J4" s="635"/>
      <c r="K4" s="636"/>
      <c r="L4" s="637"/>
    </row>
    <row r="5" spans="5:12" ht="13.5">
      <c r="E5" s="637" t="s">
        <v>835</v>
      </c>
      <c r="K5" s="636"/>
      <c r="L5" s="637"/>
    </row>
    <row r="6" spans="1:11" ht="27.75" customHeight="1">
      <c r="A6" s="638" t="s">
        <v>917</v>
      </c>
      <c r="B6" s="638"/>
      <c r="C6" s="638"/>
      <c r="D6" s="638"/>
      <c r="E6" s="638"/>
      <c r="F6" s="638"/>
      <c r="G6" s="639" t="s">
        <v>918</v>
      </c>
      <c r="H6" s="639" t="s">
        <v>3</v>
      </c>
      <c r="I6" s="640" t="s">
        <v>919</v>
      </c>
      <c r="J6" s="641" t="s">
        <v>5</v>
      </c>
      <c r="K6" s="636"/>
    </row>
    <row r="7" spans="1:11" ht="12.75">
      <c r="A7" s="642" t="s">
        <v>9</v>
      </c>
      <c r="B7" s="642"/>
      <c r="C7" s="642"/>
      <c r="D7" s="642"/>
      <c r="E7" s="642"/>
      <c r="F7" s="642"/>
      <c r="G7" s="643">
        <v>1</v>
      </c>
      <c r="H7" s="619"/>
      <c r="I7" s="619"/>
      <c r="J7" s="644"/>
      <c r="K7" s="636"/>
    </row>
    <row r="8" spans="1:11" ht="12.75">
      <c r="A8" s="642" t="s">
        <v>13</v>
      </c>
      <c r="B8" s="642"/>
      <c r="C8" s="642"/>
      <c r="D8" s="642"/>
      <c r="E8" s="642"/>
      <c r="F8" s="642"/>
      <c r="G8" s="643">
        <v>2</v>
      </c>
      <c r="H8" s="619"/>
      <c r="I8" s="619"/>
      <c r="J8" s="644"/>
      <c r="K8" s="636"/>
    </row>
    <row r="9" spans="1:11" ht="12.75">
      <c r="A9" s="645" t="s">
        <v>920</v>
      </c>
      <c r="B9" s="645"/>
      <c r="C9" s="645"/>
      <c r="D9" s="645"/>
      <c r="E9" s="645"/>
      <c r="F9" s="645"/>
      <c r="G9" s="643">
        <v>3</v>
      </c>
      <c r="H9" s="619"/>
      <c r="I9" s="619"/>
      <c r="J9" s="644" t="s">
        <v>835</v>
      </c>
      <c r="K9" s="636"/>
    </row>
    <row r="10" spans="1:11" ht="12.75">
      <c r="A10" s="645" t="s">
        <v>921</v>
      </c>
      <c r="B10" s="645"/>
      <c r="C10" s="645"/>
      <c r="D10" s="645"/>
      <c r="E10" s="645"/>
      <c r="F10" s="645"/>
      <c r="G10" s="643">
        <v>4</v>
      </c>
      <c r="H10" s="619">
        <v>566</v>
      </c>
      <c r="I10" s="619">
        <v>1193</v>
      </c>
      <c r="J10" s="644">
        <v>756</v>
      </c>
      <c r="K10" s="636"/>
    </row>
    <row r="11" spans="1:11" ht="12.75">
      <c r="A11" s="642" t="s">
        <v>922</v>
      </c>
      <c r="B11" s="642"/>
      <c r="C11" s="642"/>
      <c r="D11" s="642"/>
      <c r="E11" s="642"/>
      <c r="F11" s="642"/>
      <c r="G11" s="643">
        <v>5</v>
      </c>
      <c r="H11" s="646">
        <v>566</v>
      </c>
      <c r="I11" s="646">
        <v>1193</v>
      </c>
      <c r="J11" s="647">
        <v>756</v>
      </c>
      <c r="K11" s="636"/>
    </row>
    <row r="12" spans="1:11" ht="12.75">
      <c r="A12" s="648" t="s">
        <v>923</v>
      </c>
      <c r="B12" s="648"/>
      <c r="C12" s="648"/>
      <c r="D12" s="648"/>
      <c r="E12" s="648"/>
      <c r="F12" s="648"/>
      <c r="G12" s="643">
        <v>6</v>
      </c>
      <c r="H12" s="619"/>
      <c r="I12" s="619"/>
      <c r="J12" s="644"/>
      <c r="K12" s="636"/>
    </row>
    <row r="13" spans="1:11" ht="12.75">
      <c r="A13" s="648" t="s">
        <v>924</v>
      </c>
      <c r="B13" s="648"/>
      <c r="C13" s="648"/>
      <c r="D13" s="648"/>
      <c r="E13" s="648"/>
      <c r="F13" s="648"/>
      <c r="G13" s="643">
        <v>7</v>
      </c>
      <c r="H13" s="619"/>
      <c r="I13" s="619"/>
      <c r="J13" s="644"/>
      <c r="K13" s="636"/>
    </row>
    <row r="14" spans="1:11" ht="12.75">
      <c r="A14" s="649" t="s">
        <v>925</v>
      </c>
      <c r="B14" s="649"/>
      <c r="C14" s="649"/>
      <c r="D14" s="649"/>
      <c r="E14" s="649"/>
      <c r="F14" s="649"/>
      <c r="G14" s="643">
        <v>8</v>
      </c>
      <c r="H14" s="619"/>
      <c r="I14" s="619"/>
      <c r="J14" s="644"/>
      <c r="K14" s="636"/>
    </row>
    <row r="15" spans="1:11" ht="12.75">
      <c r="A15" s="642" t="s">
        <v>926</v>
      </c>
      <c r="B15" s="642"/>
      <c r="C15" s="642"/>
      <c r="D15" s="642"/>
      <c r="E15" s="642"/>
      <c r="F15" s="642"/>
      <c r="G15" s="643">
        <v>9</v>
      </c>
      <c r="H15" s="646">
        <v>566</v>
      </c>
      <c r="I15" s="646">
        <v>1193</v>
      </c>
      <c r="J15" s="647">
        <v>756</v>
      </c>
      <c r="K15" s="636"/>
    </row>
    <row r="16" spans="1:11" ht="12.75">
      <c r="A16" s="642" t="s">
        <v>927</v>
      </c>
      <c r="B16" s="642"/>
      <c r="C16" s="642"/>
      <c r="D16" s="642"/>
      <c r="E16" s="642"/>
      <c r="F16" s="642"/>
      <c r="G16" s="643">
        <v>10</v>
      </c>
      <c r="H16" s="619"/>
      <c r="I16" s="619"/>
      <c r="J16" s="644"/>
      <c r="K16" s="636"/>
    </row>
    <row r="17" spans="1:11" ht="12.75">
      <c r="A17" s="642" t="s">
        <v>928</v>
      </c>
      <c r="B17" s="642"/>
      <c r="C17" s="642"/>
      <c r="D17" s="642"/>
      <c r="E17" s="642"/>
      <c r="F17" s="642"/>
      <c r="G17" s="643">
        <v>11</v>
      </c>
      <c r="H17" s="619"/>
      <c r="I17" s="619"/>
      <c r="J17" s="644"/>
      <c r="K17" s="636"/>
    </row>
    <row r="18" spans="1:11" ht="12.75">
      <c r="A18" s="642" t="s">
        <v>929</v>
      </c>
      <c r="B18" s="642"/>
      <c r="C18" s="642"/>
      <c r="D18" s="642"/>
      <c r="E18" s="642"/>
      <c r="F18" s="642"/>
      <c r="G18" s="643">
        <v>12</v>
      </c>
      <c r="H18" s="646">
        <v>566</v>
      </c>
      <c r="I18" s="646">
        <v>1193</v>
      </c>
      <c r="J18" s="647">
        <v>756</v>
      </c>
      <c r="K18" s="636"/>
    </row>
    <row r="19" spans="1:11" ht="12.75">
      <c r="A19" s="645" t="s">
        <v>930</v>
      </c>
      <c r="B19" s="645"/>
      <c r="C19" s="645"/>
      <c r="D19" s="645"/>
      <c r="E19" s="645"/>
      <c r="F19" s="645"/>
      <c r="G19" s="643">
        <v>13</v>
      </c>
      <c r="H19" s="619">
        <v>566</v>
      </c>
      <c r="I19" s="619" t="s">
        <v>835</v>
      </c>
      <c r="J19" s="644">
        <v>0</v>
      </c>
      <c r="K19" s="636"/>
    </row>
    <row r="20" spans="1:11" ht="12.75">
      <c r="A20" s="648" t="s">
        <v>931</v>
      </c>
      <c r="B20" s="648"/>
      <c r="C20" s="648"/>
      <c r="D20" s="648"/>
      <c r="E20" s="648"/>
      <c r="F20" s="648"/>
      <c r="G20" s="643">
        <v>14</v>
      </c>
      <c r="H20" s="619"/>
      <c r="I20" s="619">
        <v>832</v>
      </c>
      <c r="J20" s="644">
        <v>832</v>
      </c>
      <c r="K20" s="636"/>
    </row>
    <row r="21" spans="1:11" ht="12.75">
      <c r="A21" s="645" t="s">
        <v>932</v>
      </c>
      <c r="B21" s="645"/>
      <c r="C21" s="645"/>
      <c r="D21" s="645"/>
      <c r="E21" s="645"/>
      <c r="F21" s="645"/>
      <c r="G21" s="643">
        <v>15</v>
      </c>
      <c r="H21" s="619"/>
      <c r="I21" s="619" t="s">
        <v>835</v>
      </c>
      <c r="J21" s="644" t="s">
        <v>835</v>
      </c>
      <c r="K21" s="636"/>
    </row>
    <row r="22" spans="1:11" ht="12.75">
      <c r="A22" s="645" t="s">
        <v>933</v>
      </c>
      <c r="B22" s="645"/>
      <c r="C22" s="645"/>
      <c r="D22" s="645"/>
      <c r="E22" s="645"/>
      <c r="F22" s="645"/>
      <c r="G22" s="643">
        <v>16</v>
      </c>
      <c r="H22" s="619"/>
      <c r="I22" s="619"/>
      <c r="J22" s="644">
        <v>-15</v>
      </c>
      <c r="K22" s="636"/>
    </row>
    <row r="23" spans="1:11" ht="12.75">
      <c r="A23" s="645" t="s">
        <v>195</v>
      </c>
      <c r="B23" s="645"/>
      <c r="C23" s="645"/>
      <c r="D23" s="645"/>
      <c r="E23" s="645"/>
      <c r="F23" s="645"/>
      <c r="G23" s="643">
        <v>17</v>
      </c>
      <c r="H23" s="619"/>
      <c r="I23" s="619">
        <v>361</v>
      </c>
      <c r="J23" s="644">
        <v>361</v>
      </c>
      <c r="K23" s="636"/>
    </row>
    <row r="24" spans="1:11" ht="13.5">
      <c r="A24" s="650" t="s">
        <v>934</v>
      </c>
      <c r="B24" s="650"/>
      <c r="C24" s="650"/>
      <c r="D24" s="650"/>
      <c r="E24" s="650"/>
      <c r="F24" s="650"/>
      <c r="G24" s="651">
        <v>18</v>
      </c>
      <c r="H24" s="652">
        <v>566</v>
      </c>
      <c r="I24" s="652">
        <v>1193</v>
      </c>
      <c r="J24" s="653">
        <v>1178</v>
      </c>
      <c r="K24" s="654"/>
    </row>
    <row r="25" spans="1:11" ht="13.5">
      <c r="A25" s="636"/>
      <c r="B25" s="636"/>
      <c r="C25" s="636"/>
      <c r="D25" s="636"/>
      <c r="E25" s="636"/>
      <c r="F25" s="636"/>
      <c r="G25" s="636"/>
      <c r="H25" s="636"/>
      <c r="I25" s="636"/>
      <c r="J25" s="636"/>
      <c r="K25" s="636"/>
    </row>
    <row r="26" spans="6:8" ht="12.75">
      <c r="F26" s="655" t="s">
        <v>82</v>
      </c>
      <c r="G26" s="656"/>
      <c r="H26" s="655" t="s">
        <v>935</v>
      </c>
    </row>
    <row r="27" spans="1:3" ht="12.75">
      <c r="A27" s="657" t="s">
        <v>936</v>
      </c>
      <c r="B27" s="658"/>
      <c r="C27" s="658"/>
    </row>
    <row r="28" spans="1:8" ht="12.75">
      <c r="A28" t="s">
        <v>937</v>
      </c>
      <c r="C28" s="659"/>
      <c r="F28" s="660">
        <v>368</v>
      </c>
      <c r="H28" s="660" t="s">
        <v>938</v>
      </c>
    </row>
    <row r="29" spans="1:8" ht="12.75">
      <c r="A29" t="s">
        <v>939</v>
      </c>
      <c r="F29" s="660" t="s">
        <v>940</v>
      </c>
      <c r="H29" s="660" t="s">
        <v>941</v>
      </c>
    </row>
    <row r="30" spans="1:8" ht="12.75">
      <c r="A30" t="s">
        <v>942</v>
      </c>
      <c r="F30" s="660">
        <v>-361</v>
      </c>
      <c r="H30" s="660" t="s">
        <v>943</v>
      </c>
    </row>
    <row r="31" spans="1:8" ht="12.75">
      <c r="A31" t="s">
        <v>944</v>
      </c>
      <c r="F31" s="660">
        <v>-756</v>
      </c>
      <c r="H31" s="660" t="s">
        <v>945</v>
      </c>
    </row>
    <row r="32" spans="1:8" ht="12.75">
      <c r="A32" s="637" t="s">
        <v>946</v>
      </c>
      <c r="B32" s="637"/>
      <c r="C32" s="637"/>
      <c r="F32" s="660">
        <v>429</v>
      </c>
      <c r="H32" s="660" t="s">
        <v>947</v>
      </c>
    </row>
    <row r="33" spans="1:8" ht="12.75">
      <c r="A33" t="s">
        <v>948</v>
      </c>
      <c r="F33" s="660" t="s">
        <v>940</v>
      </c>
      <c r="H33" s="660" t="s">
        <v>949</v>
      </c>
    </row>
    <row r="34" spans="1:8" ht="12.75">
      <c r="A34" t="s">
        <v>950</v>
      </c>
      <c r="F34" s="660">
        <v>-15</v>
      </c>
      <c r="H34" s="660" t="s">
        <v>951</v>
      </c>
    </row>
    <row r="35" spans="1:8" ht="12.75">
      <c r="A35" s="637" t="s">
        <v>952</v>
      </c>
      <c r="B35" s="637"/>
      <c r="C35" s="637"/>
      <c r="F35" s="660">
        <v>415</v>
      </c>
      <c r="H35" s="660" t="s">
        <v>953</v>
      </c>
    </row>
    <row r="37" ht="12.75" hidden="1"/>
    <row r="38" ht="12.75" hidden="1"/>
    <row r="40" spans="1:10" ht="12.75">
      <c r="A40" s="635" t="s">
        <v>343</v>
      </c>
      <c r="B40" s="635"/>
      <c r="C40" s="635"/>
      <c r="D40" s="635"/>
      <c r="E40" s="635"/>
      <c r="F40" s="635"/>
      <c r="G40" s="635"/>
      <c r="H40" s="635"/>
      <c r="I40" s="635"/>
      <c r="J40" s="635"/>
    </row>
    <row r="41" spans="1:10" ht="12.75" customHeight="1">
      <c r="A41" s="635" t="s">
        <v>916</v>
      </c>
      <c r="B41" s="635"/>
      <c r="C41" s="635"/>
      <c r="D41" s="635"/>
      <c r="E41" s="635"/>
      <c r="F41" s="635"/>
      <c r="G41" s="635"/>
      <c r="H41" s="635"/>
      <c r="I41" s="635"/>
      <c r="J41" s="635"/>
    </row>
    <row r="43" ht="13.5"/>
    <row r="44" spans="1:12" ht="26.25" customHeight="1">
      <c r="A44" s="661" t="s">
        <v>224</v>
      </c>
      <c r="B44" s="661"/>
      <c r="C44" s="661"/>
      <c r="D44" s="661"/>
      <c r="E44" s="661"/>
      <c r="F44" s="661"/>
      <c r="G44" s="640" t="s">
        <v>918</v>
      </c>
      <c r="H44" s="640" t="s">
        <v>3</v>
      </c>
      <c r="I44" s="640" t="s">
        <v>919</v>
      </c>
      <c r="J44" s="662" t="s">
        <v>5</v>
      </c>
      <c r="K44" s="654"/>
      <c r="L44" s="636"/>
    </row>
    <row r="45" spans="1:12" ht="12.75" customHeight="1">
      <c r="A45" s="642" t="s">
        <v>9</v>
      </c>
      <c r="B45" s="642"/>
      <c r="C45" s="642"/>
      <c r="D45" s="642"/>
      <c r="E45" s="642"/>
      <c r="F45" s="642"/>
      <c r="G45" s="643">
        <v>1</v>
      </c>
      <c r="H45" s="619"/>
      <c r="I45" s="619"/>
      <c r="J45" s="644"/>
      <c r="K45" s="636"/>
      <c r="L45" s="636"/>
    </row>
    <row r="46" spans="1:12" ht="12.75">
      <c r="A46" s="642" t="s">
        <v>13</v>
      </c>
      <c r="B46" s="642"/>
      <c r="C46" s="642"/>
      <c r="D46" s="642"/>
      <c r="E46" s="642"/>
      <c r="F46" s="642"/>
      <c r="G46" s="643">
        <v>2</v>
      </c>
      <c r="H46" s="619"/>
      <c r="I46" s="619"/>
      <c r="J46" s="644"/>
      <c r="K46" s="636"/>
      <c r="L46" s="636"/>
    </row>
    <row r="47" spans="1:12" ht="12.75">
      <c r="A47" s="645" t="s">
        <v>920</v>
      </c>
      <c r="B47" s="645"/>
      <c r="C47" s="645"/>
      <c r="D47" s="645"/>
      <c r="E47" s="645"/>
      <c r="F47" s="645"/>
      <c r="G47" s="643">
        <v>3</v>
      </c>
      <c r="H47" s="619"/>
      <c r="I47" s="619"/>
      <c r="J47" s="644" t="s">
        <v>835</v>
      </c>
      <c r="K47" s="636"/>
      <c r="L47" s="636"/>
    </row>
    <row r="48" spans="1:12" ht="12.75">
      <c r="A48" s="645" t="s">
        <v>921</v>
      </c>
      <c r="B48" s="645"/>
      <c r="C48" s="645"/>
      <c r="D48" s="645"/>
      <c r="E48" s="645"/>
      <c r="F48" s="645"/>
      <c r="G48" s="643">
        <v>4</v>
      </c>
      <c r="H48" s="619">
        <v>566</v>
      </c>
      <c r="I48" s="619">
        <v>779</v>
      </c>
      <c r="J48" s="644">
        <v>767</v>
      </c>
      <c r="K48" s="636"/>
      <c r="L48" s="636"/>
    </row>
    <row r="49" spans="1:12" ht="12.75">
      <c r="A49" s="642" t="s">
        <v>922</v>
      </c>
      <c r="B49" s="642"/>
      <c r="C49" s="642"/>
      <c r="D49" s="642"/>
      <c r="E49" s="642"/>
      <c r="F49" s="642"/>
      <c r="G49" s="643">
        <v>5</v>
      </c>
      <c r="H49" s="646">
        <v>566</v>
      </c>
      <c r="I49" s="646">
        <v>779</v>
      </c>
      <c r="J49" s="647">
        <v>767</v>
      </c>
      <c r="K49" s="636"/>
      <c r="L49" s="636"/>
    </row>
    <row r="50" spans="1:12" ht="12.75">
      <c r="A50" s="648" t="s">
        <v>923</v>
      </c>
      <c r="B50" s="648"/>
      <c r="C50" s="648"/>
      <c r="D50" s="648"/>
      <c r="E50" s="648"/>
      <c r="F50" s="648"/>
      <c r="G50" s="643">
        <v>6</v>
      </c>
      <c r="H50" s="619"/>
      <c r="I50" s="619"/>
      <c r="J50" s="644"/>
      <c r="K50" s="636"/>
      <c r="L50" s="636"/>
    </row>
    <row r="51" spans="1:12" ht="12.75">
      <c r="A51" s="648" t="s">
        <v>924</v>
      </c>
      <c r="B51" s="648"/>
      <c r="C51" s="648"/>
      <c r="D51" s="648"/>
      <c r="E51" s="648"/>
      <c r="F51" s="648"/>
      <c r="G51" s="643">
        <v>7</v>
      </c>
      <c r="H51" s="619"/>
      <c r="I51" s="619"/>
      <c r="J51" s="644"/>
      <c r="K51" s="636"/>
      <c r="L51" s="636"/>
    </row>
    <row r="52" spans="1:12" ht="12.75">
      <c r="A52" s="642" t="s">
        <v>954</v>
      </c>
      <c r="B52" s="642"/>
      <c r="C52" s="642"/>
      <c r="D52" s="642"/>
      <c r="E52" s="642"/>
      <c r="F52" s="642"/>
      <c r="G52" s="643">
        <v>8</v>
      </c>
      <c r="H52" s="619"/>
      <c r="I52" s="619"/>
      <c r="J52" s="644"/>
      <c r="K52" s="636"/>
      <c r="L52" s="636"/>
    </row>
    <row r="53" spans="1:12" ht="12.75">
      <c r="A53" s="642" t="s">
        <v>955</v>
      </c>
      <c r="B53" s="642"/>
      <c r="C53" s="642"/>
      <c r="D53" s="642"/>
      <c r="E53" s="642"/>
      <c r="F53" s="642"/>
      <c r="G53" s="643">
        <v>9</v>
      </c>
      <c r="H53" s="646">
        <v>566</v>
      </c>
      <c r="I53" s="646">
        <v>779</v>
      </c>
      <c r="J53" s="647">
        <v>767</v>
      </c>
      <c r="K53" s="636"/>
      <c r="L53" s="636"/>
    </row>
    <row r="54" spans="1:12" ht="12.75">
      <c r="A54" s="642" t="s">
        <v>927</v>
      </c>
      <c r="B54" s="642"/>
      <c r="C54" s="642"/>
      <c r="D54" s="642"/>
      <c r="E54" s="642"/>
      <c r="F54" s="642"/>
      <c r="G54" s="643">
        <v>10</v>
      </c>
      <c r="H54" s="619"/>
      <c r="I54" s="619"/>
      <c r="J54" s="644"/>
      <c r="K54" s="636"/>
      <c r="L54" s="636"/>
    </row>
    <row r="55" spans="1:12" ht="12.75">
      <c r="A55" s="642" t="s">
        <v>928</v>
      </c>
      <c r="B55" s="642"/>
      <c r="C55" s="642"/>
      <c r="D55" s="642"/>
      <c r="E55" s="642"/>
      <c r="F55" s="642"/>
      <c r="G55" s="643">
        <v>11</v>
      </c>
      <c r="H55" s="619"/>
      <c r="I55" s="619"/>
      <c r="J55" s="644"/>
      <c r="K55" s="636"/>
      <c r="L55" s="636"/>
    </row>
    <row r="56" spans="1:12" ht="12.75">
      <c r="A56" s="642" t="s">
        <v>929</v>
      </c>
      <c r="B56" s="642"/>
      <c r="C56" s="642"/>
      <c r="D56" s="642"/>
      <c r="E56" s="642"/>
      <c r="F56" s="642"/>
      <c r="G56" s="643">
        <v>12</v>
      </c>
      <c r="H56" s="646">
        <v>566</v>
      </c>
      <c r="I56" s="646">
        <v>779</v>
      </c>
      <c r="J56" s="647">
        <v>767</v>
      </c>
      <c r="K56" s="636"/>
      <c r="L56" s="636"/>
    </row>
    <row r="57" spans="1:12" ht="12.75">
      <c r="A57" s="645" t="s">
        <v>930</v>
      </c>
      <c r="B57" s="645"/>
      <c r="C57" s="645"/>
      <c r="D57" s="645"/>
      <c r="E57" s="645"/>
      <c r="F57" s="645"/>
      <c r="G57" s="643">
        <v>13</v>
      </c>
      <c r="H57" s="619">
        <v>566</v>
      </c>
      <c r="I57" s="619" t="s">
        <v>835</v>
      </c>
      <c r="J57" s="644">
        <v>0</v>
      </c>
      <c r="K57" s="636"/>
      <c r="L57" s="636"/>
    </row>
    <row r="58" spans="1:12" ht="12.75">
      <c r="A58" s="648" t="s">
        <v>956</v>
      </c>
      <c r="B58" s="648"/>
      <c r="C58" s="648"/>
      <c r="D58" s="648"/>
      <c r="E58" s="648"/>
      <c r="F58" s="648"/>
      <c r="G58" s="643">
        <v>14</v>
      </c>
      <c r="H58" s="619"/>
      <c r="I58" s="619">
        <v>744</v>
      </c>
      <c r="J58" s="644">
        <v>744</v>
      </c>
      <c r="K58" s="636"/>
      <c r="L58" s="636"/>
    </row>
    <row r="59" spans="1:12" ht="12.75">
      <c r="A59" s="645" t="s">
        <v>932</v>
      </c>
      <c r="B59" s="645"/>
      <c r="C59" s="645"/>
      <c r="D59" s="645"/>
      <c r="E59" s="645"/>
      <c r="F59" s="645"/>
      <c r="G59" s="643">
        <v>15</v>
      </c>
      <c r="H59" s="619"/>
      <c r="I59" s="619" t="s">
        <v>835</v>
      </c>
      <c r="J59" s="644" t="s">
        <v>835</v>
      </c>
      <c r="K59" s="636"/>
      <c r="L59" s="636"/>
    </row>
    <row r="60" spans="1:12" ht="12.75">
      <c r="A60" s="645" t="s">
        <v>933</v>
      </c>
      <c r="B60" s="645"/>
      <c r="C60" s="645"/>
      <c r="D60" s="645"/>
      <c r="E60" s="645"/>
      <c r="F60" s="645"/>
      <c r="G60" s="643">
        <v>16</v>
      </c>
      <c r="H60" s="619"/>
      <c r="I60" s="619"/>
      <c r="J60" s="644">
        <v>-4</v>
      </c>
      <c r="K60" s="636"/>
      <c r="L60" s="636"/>
    </row>
    <row r="61" spans="1:12" ht="12.75">
      <c r="A61" s="645" t="s">
        <v>195</v>
      </c>
      <c r="B61" s="645"/>
      <c r="C61" s="645"/>
      <c r="D61" s="645"/>
      <c r="E61" s="645"/>
      <c r="F61" s="645"/>
      <c r="G61" s="643">
        <v>17</v>
      </c>
      <c r="H61" s="619"/>
      <c r="I61" s="619" t="s">
        <v>835</v>
      </c>
      <c r="J61" s="644">
        <v>35</v>
      </c>
      <c r="K61" s="636"/>
      <c r="L61" s="636"/>
    </row>
    <row r="62" spans="1:12" ht="13.5">
      <c r="A62" s="650" t="s">
        <v>934</v>
      </c>
      <c r="B62" s="650"/>
      <c r="C62" s="650"/>
      <c r="D62" s="650"/>
      <c r="E62" s="650"/>
      <c r="F62" s="650"/>
      <c r="G62" s="663">
        <v>18</v>
      </c>
      <c r="H62" s="652">
        <v>566</v>
      </c>
      <c r="I62" s="652">
        <v>779</v>
      </c>
      <c r="J62" s="653">
        <v>775</v>
      </c>
      <c r="K62" s="636"/>
      <c r="L62" s="636"/>
    </row>
    <row r="63" spans="1:12" ht="13.5">
      <c r="A63" s="636"/>
      <c r="B63" s="636"/>
      <c r="C63" s="636"/>
      <c r="D63" s="636"/>
      <c r="E63" s="636"/>
      <c r="F63" s="636"/>
      <c r="G63" s="636"/>
      <c r="H63" s="636"/>
      <c r="I63" s="636"/>
      <c r="J63" s="636"/>
      <c r="K63" s="636"/>
      <c r="L63" s="636"/>
    </row>
    <row r="64" spans="1:10" ht="12.75">
      <c r="A64" s="636"/>
      <c r="B64" s="636"/>
      <c r="C64" s="636"/>
      <c r="D64" s="636"/>
      <c r="E64" s="636"/>
      <c r="F64" s="664" t="s">
        <v>82</v>
      </c>
      <c r="G64" s="635"/>
      <c r="H64" s="664" t="s">
        <v>935</v>
      </c>
      <c r="I64" s="636"/>
      <c r="J64" s="636"/>
    </row>
    <row r="65" spans="1:8" ht="12.75">
      <c r="A65" s="637" t="s">
        <v>936</v>
      </c>
      <c r="B65" s="637"/>
      <c r="C65" s="637"/>
      <c r="F65" s="665"/>
      <c r="H65" s="660" t="s">
        <v>835</v>
      </c>
    </row>
    <row r="66" spans="1:8" ht="12.75">
      <c r="A66" t="s">
        <v>937</v>
      </c>
      <c r="F66" s="660">
        <v>39</v>
      </c>
      <c r="H66" s="660" t="s">
        <v>957</v>
      </c>
    </row>
    <row r="67" spans="1:8" ht="12.75">
      <c r="A67" t="s">
        <v>939</v>
      </c>
      <c r="F67" s="660">
        <v>775</v>
      </c>
      <c r="H67" s="660" t="s">
        <v>958</v>
      </c>
    </row>
    <row r="68" spans="1:8" ht="12.75">
      <c r="A68" t="s">
        <v>942</v>
      </c>
      <c r="F68" s="660">
        <v>-35</v>
      </c>
      <c r="H68" s="660" t="s">
        <v>959</v>
      </c>
    </row>
    <row r="69" spans="1:8" ht="12.75">
      <c r="A69" t="s">
        <v>944</v>
      </c>
      <c r="F69" s="660">
        <v>-767</v>
      </c>
      <c r="H69" s="660" t="s">
        <v>960</v>
      </c>
    </row>
    <row r="70" spans="1:8" ht="12.75">
      <c r="A70" s="637" t="s">
        <v>946</v>
      </c>
      <c r="B70" s="637"/>
      <c r="F70" s="660">
        <v>12</v>
      </c>
      <c r="H70" s="660" t="s">
        <v>961</v>
      </c>
    </row>
    <row r="71" spans="1:8" ht="12.75">
      <c r="A71" t="s">
        <v>948</v>
      </c>
      <c r="F71" s="660"/>
      <c r="H71" s="660"/>
    </row>
    <row r="72" spans="1:8" ht="12.75">
      <c r="A72" t="s">
        <v>962</v>
      </c>
      <c r="B72" t="s">
        <v>963</v>
      </c>
      <c r="F72" s="660">
        <v>-4</v>
      </c>
      <c r="H72" s="660" t="s">
        <v>964</v>
      </c>
    </row>
    <row r="73" spans="1:8" ht="12.75">
      <c r="A73" s="637" t="s">
        <v>952</v>
      </c>
      <c r="B73" s="637"/>
      <c r="C73" s="637"/>
      <c r="F73" s="660">
        <v>8</v>
      </c>
      <c r="H73" s="660" t="s">
        <v>965</v>
      </c>
    </row>
    <row r="78" spans="1:10" ht="12.75">
      <c r="A78" s="635" t="s">
        <v>342</v>
      </c>
      <c r="B78" s="635"/>
      <c r="C78" s="635"/>
      <c r="D78" s="635"/>
      <c r="E78" s="635"/>
      <c r="F78" s="635"/>
      <c r="G78" s="635"/>
      <c r="H78" s="635"/>
      <c r="I78" s="635"/>
      <c r="J78" s="635"/>
    </row>
    <row r="79" spans="1:10" ht="12.75">
      <c r="A79" s="635" t="s">
        <v>916</v>
      </c>
      <c r="B79" s="635"/>
      <c r="C79" s="635"/>
      <c r="D79" s="635"/>
      <c r="E79" s="635"/>
      <c r="F79" s="635"/>
      <c r="G79" s="635"/>
      <c r="H79" s="635"/>
      <c r="I79" s="635"/>
      <c r="J79" s="635"/>
    </row>
    <row r="80" ht="13.5">
      <c r="E80" s="637" t="s">
        <v>835</v>
      </c>
    </row>
    <row r="81" spans="1:10" ht="26.25">
      <c r="A81" s="638" t="s">
        <v>917</v>
      </c>
      <c r="B81" s="638"/>
      <c r="C81" s="638"/>
      <c r="D81" s="638"/>
      <c r="E81" s="638"/>
      <c r="F81" s="638"/>
      <c r="G81" s="639" t="s">
        <v>918</v>
      </c>
      <c r="H81" s="639" t="s">
        <v>3</v>
      </c>
      <c r="I81" s="640" t="s">
        <v>919</v>
      </c>
      <c r="J81" s="641" t="s">
        <v>5</v>
      </c>
    </row>
    <row r="82" spans="1:10" ht="12.75">
      <c r="A82" s="642" t="s">
        <v>9</v>
      </c>
      <c r="B82" s="642"/>
      <c r="C82" s="642"/>
      <c r="D82" s="642"/>
      <c r="E82" s="642"/>
      <c r="F82" s="642"/>
      <c r="G82" s="643">
        <v>1</v>
      </c>
      <c r="H82" s="619"/>
      <c r="I82" s="619"/>
      <c r="J82" s="644"/>
    </row>
    <row r="83" spans="1:10" ht="12.75">
      <c r="A83" s="642" t="s">
        <v>13</v>
      </c>
      <c r="B83" s="642"/>
      <c r="C83" s="642"/>
      <c r="D83" s="642"/>
      <c r="E83" s="642"/>
      <c r="F83" s="642"/>
      <c r="G83" s="643">
        <v>2</v>
      </c>
      <c r="H83" s="619"/>
      <c r="I83" s="619"/>
      <c r="J83" s="644"/>
    </row>
    <row r="84" spans="1:10" ht="12.75">
      <c r="A84" s="645" t="s">
        <v>920</v>
      </c>
      <c r="B84" s="645"/>
      <c r="C84" s="645"/>
      <c r="D84" s="645"/>
      <c r="E84" s="645"/>
      <c r="F84" s="645"/>
      <c r="G84" s="643">
        <v>3</v>
      </c>
      <c r="H84" s="619"/>
      <c r="I84" s="619"/>
      <c r="J84" s="644" t="s">
        <v>835</v>
      </c>
    </row>
    <row r="85" spans="1:10" ht="12.75">
      <c r="A85" s="645" t="s">
        <v>921</v>
      </c>
      <c r="B85" s="645"/>
      <c r="C85" s="645"/>
      <c r="D85" s="645"/>
      <c r="E85" s="645"/>
      <c r="F85" s="645"/>
      <c r="G85" s="643">
        <v>4</v>
      </c>
      <c r="H85" s="619">
        <v>566</v>
      </c>
      <c r="I85" s="619">
        <v>1294</v>
      </c>
      <c r="J85" s="644">
        <v>1280</v>
      </c>
    </row>
    <row r="86" spans="1:10" ht="12.75">
      <c r="A86" s="642" t="s">
        <v>922</v>
      </c>
      <c r="B86" s="642"/>
      <c r="C86" s="642"/>
      <c r="D86" s="642"/>
      <c r="E86" s="642"/>
      <c r="F86" s="642"/>
      <c r="G86" s="643">
        <v>5</v>
      </c>
      <c r="H86" s="646">
        <v>566</v>
      </c>
      <c r="I86" s="646">
        <v>1294</v>
      </c>
      <c r="J86" s="647">
        <v>1280</v>
      </c>
    </row>
    <row r="87" spans="1:10" ht="12.75">
      <c r="A87" s="648" t="s">
        <v>923</v>
      </c>
      <c r="B87" s="648"/>
      <c r="C87" s="648"/>
      <c r="D87" s="648"/>
      <c r="E87" s="648"/>
      <c r="F87" s="648"/>
      <c r="G87" s="643">
        <v>6</v>
      </c>
      <c r="H87" s="619"/>
      <c r="I87" s="619"/>
      <c r="J87" s="644" t="s">
        <v>835</v>
      </c>
    </row>
    <row r="88" spans="1:10" ht="12.75">
      <c r="A88" s="648" t="s">
        <v>924</v>
      </c>
      <c r="B88" s="648"/>
      <c r="C88" s="648"/>
      <c r="D88" s="648"/>
      <c r="E88" s="648"/>
      <c r="F88" s="648"/>
      <c r="G88" s="643">
        <v>7</v>
      </c>
      <c r="H88" s="619"/>
      <c r="I88" s="619">
        <v>30</v>
      </c>
      <c r="J88" s="644">
        <v>30</v>
      </c>
    </row>
    <row r="89" spans="1:10" ht="12.75">
      <c r="A89" s="649" t="s">
        <v>925</v>
      </c>
      <c r="B89" s="649"/>
      <c r="C89" s="649"/>
      <c r="D89" s="649"/>
      <c r="E89" s="649"/>
      <c r="F89" s="649"/>
      <c r="G89" s="643">
        <v>8</v>
      </c>
      <c r="H89" s="619"/>
      <c r="I89" s="619">
        <v>30</v>
      </c>
      <c r="J89" s="644">
        <v>30</v>
      </c>
    </row>
    <row r="90" spans="1:10" ht="12.75">
      <c r="A90" s="642" t="s">
        <v>926</v>
      </c>
      <c r="B90" s="642"/>
      <c r="C90" s="642"/>
      <c r="D90" s="642"/>
      <c r="E90" s="642"/>
      <c r="F90" s="642"/>
      <c r="G90" s="643">
        <v>9</v>
      </c>
      <c r="H90" s="646">
        <v>566</v>
      </c>
      <c r="I90" s="646">
        <v>1324</v>
      </c>
      <c r="J90" s="647">
        <v>1310</v>
      </c>
    </row>
    <row r="91" spans="1:10" ht="12.75">
      <c r="A91" s="642" t="s">
        <v>927</v>
      </c>
      <c r="B91" s="642"/>
      <c r="C91" s="642"/>
      <c r="D91" s="642"/>
      <c r="E91" s="642"/>
      <c r="F91" s="642"/>
      <c r="G91" s="643">
        <v>10</v>
      </c>
      <c r="H91" s="619"/>
      <c r="I91" s="619"/>
      <c r="J91" s="644"/>
    </row>
    <row r="92" spans="1:10" ht="12.75">
      <c r="A92" s="642" t="s">
        <v>928</v>
      </c>
      <c r="B92" s="642"/>
      <c r="C92" s="642"/>
      <c r="D92" s="642"/>
      <c r="E92" s="642"/>
      <c r="F92" s="642"/>
      <c r="G92" s="643">
        <v>11</v>
      </c>
      <c r="H92" s="619"/>
      <c r="I92" s="619"/>
      <c r="J92" s="644"/>
    </row>
    <row r="93" spans="1:10" ht="12.75">
      <c r="A93" s="642" t="s">
        <v>929</v>
      </c>
      <c r="B93" s="642"/>
      <c r="C93" s="642"/>
      <c r="D93" s="642"/>
      <c r="E93" s="642"/>
      <c r="F93" s="642"/>
      <c r="G93" s="643">
        <v>12</v>
      </c>
      <c r="H93" s="646">
        <v>566</v>
      </c>
      <c r="I93" s="646">
        <v>1324</v>
      </c>
      <c r="J93" s="647">
        <v>1310</v>
      </c>
    </row>
    <row r="94" spans="1:10" ht="12.75">
      <c r="A94" s="645" t="s">
        <v>930</v>
      </c>
      <c r="B94" s="645"/>
      <c r="C94" s="645"/>
      <c r="D94" s="645"/>
      <c r="E94" s="645"/>
      <c r="F94" s="645"/>
      <c r="G94" s="643">
        <v>13</v>
      </c>
      <c r="H94" s="619">
        <v>566</v>
      </c>
      <c r="I94" s="619" t="s">
        <v>835</v>
      </c>
      <c r="J94" s="644">
        <v>0</v>
      </c>
    </row>
    <row r="95" spans="1:10" ht="12.75">
      <c r="A95" s="648" t="s">
        <v>966</v>
      </c>
      <c r="B95" s="648"/>
      <c r="C95" s="648"/>
      <c r="D95" s="648"/>
      <c r="E95" s="648"/>
      <c r="F95" s="648"/>
      <c r="G95" s="643">
        <v>14</v>
      </c>
      <c r="H95" s="619"/>
      <c r="I95" s="619">
        <v>939</v>
      </c>
      <c r="J95" s="644">
        <v>939</v>
      </c>
    </row>
    <row r="96" spans="1:10" ht="12.75">
      <c r="A96" s="648" t="s">
        <v>967</v>
      </c>
      <c r="B96" s="648"/>
      <c r="C96" s="648"/>
      <c r="D96" s="648"/>
      <c r="E96" s="648"/>
      <c r="F96" s="648"/>
      <c r="G96" s="643">
        <v>15</v>
      </c>
      <c r="H96" s="619"/>
      <c r="I96" s="619">
        <v>350</v>
      </c>
      <c r="J96" s="644">
        <v>350</v>
      </c>
    </row>
    <row r="97" spans="1:10" ht="12.75">
      <c r="A97" s="645" t="s">
        <v>932</v>
      </c>
      <c r="B97" s="645"/>
      <c r="C97" s="645"/>
      <c r="D97" s="645"/>
      <c r="E97" s="645"/>
      <c r="F97" s="645"/>
      <c r="G97" s="643">
        <v>16</v>
      </c>
      <c r="H97" s="619"/>
      <c r="I97" s="619" t="s">
        <v>835</v>
      </c>
      <c r="J97" s="644" t="s">
        <v>835</v>
      </c>
    </row>
    <row r="98" spans="1:10" ht="12.75">
      <c r="A98" s="645" t="s">
        <v>933</v>
      </c>
      <c r="B98" s="645"/>
      <c r="C98" s="645"/>
      <c r="D98" s="645"/>
      <c r="E98" s="645"/>
      <c r="F98" s="645"/>
      <c r="G98" s="643">
        <v>17</v>
      </c>
      <c r="H98" s="619"/>
      <c r="I98" s="619"/>
      <c r="J98" s="644" t="s">
        <v>835</v>
      </c>
    </row>
    <row r="99" spans="1:10" ht="12.75">
      <c r="A99" s="645" t="s">
        <v>195</v>
      </c>
      <c r="B99" s="645"/>
      <c r="C99" s="645"/>
      <c r="D99" s="645"/>
      <c r="E99" s="645"/>
      <c r="F99" s="645"/>
      <c r="G99" s="643">
        <v>18</v>
      </c>
      <c r="H99" s="619"/>
      <c r="I99" s="619">
        <v>35</v>
      </c>
      <c r="J99" s="644">
        <v>35</v>
      </c>
    </row>
    <row r="100" spans="1:10" ht="13.5">
      <c r="A100" s="650" t="s">
        <v>934</v>
      </c>
      <c r="B100" s="650"/>
      <c r="C100" s="650"/>
      <c r="D100" s="650"/>
      <c r="E100" s="650"/>
      <c r="F100" s="650"/>
      <c r="G100" s="651">
        <v>17</v>
      </c>
      <c r="H100" s="652">
        <v>566</v>
      </c>
      <c r="I100" s="652">
        <v>1324</v>
      </c>
      <c r="J100" s="653">
        <v>1324</v>
      </c>
    </row>
    <row r="101" spans="1:10" ht="13.5">
      <c r="A101" s="636"/>
      <c r="B101" s="636"/>
      <c r="C101" s="636"/>
      <c r="D101" s="636"/>
      <c r="E101" s="636"/>
      <c r="F101" s="636"/>
      <c r="G101" s="636"/>
      <c r="H101" s="636"/>
      <c r="I101" s="636"/>
      <c r="J101" s="636"/>
    </row>
    <row r="102" spans="6:8" ht="12.75">
      <c r="F102" s="655" t="s">
        <v>82</v>
      </c>
      <c r="G102" s="656"/>
      <c r="H102" s="655" t="s">
        <v>935</v>
      </c>
    </row>
    <row r="103" spans="1:3" ht="12.75">
      <c r="A103" s="657" t="s">
        <v>968</v>
      </c>
      <c r="B103" s="658"/>
      <c r="C103" s="658"/>
    </row>
    <row r="104" spans="1:8" ht="12.75">
      <c r="A104" t="s">
        <v>937</v>
      </c>
      <c r="F104" s="660">
        <v>38</v>
      </c>
      <c r="H104" s="660" t="s">
        <v>969</v>
      </c>
    </row>
    <row r="105" spans="1:8" ht="12.75">
      <c r="A105" t="s">
        <v>939</v>
      </c>
      <c r="F105" s="660" t="s">
        <v>970</v>
      </c>
      <c r="H105" s="660" t="s">
        <v>971</v>
      </c>
    </row>
    <row r="106" spans="1:8" ht="12.75">
      <c r="A106" t="s">
        <v>942</v>
      </c>
      <c r="F106" s="660">
        <v>-35</v>
      </c>
      <c r="H106" s="660" t="s">
        <v>972</v>
      </c>
    </row>
    <row r="107" spans="1:8" ht="12.75">
      <c r="A107" t="s">
        <v>944</v>
      </c>
      <c r="F107" s="660" t="s">
        <v>973</v>
      </c>
      <c r="H107" s="660" t="s">
        <v>974</v>
      </c>
    </row>
    <row r="108" spans="1:8" ht="12.75">
      <c r="A108" s="637" t="s">
        <v>946</v>
      </c>
      <c r="B108" s="637"/>
      <c r="C108" s="637"/>
      <c r="F108" s="660">
        <v>17</v>
      </c>
      <c r="H108" s="660" t="s">
        <v>975</v>
      </c>
    </row>
    <row r="109" spans="1:8" ht="12.75">
      <c r="A109" t="s">
        <v>948</v>
      </c>
      <c r="F109" s="660"/>
      <c r="H109" s="660"/>
    </row>
    <row r="110" spans="1:8" ht="12.75">
      <c r="A110" t="s">
        <v>950</v>
      </c>
      <c r="F110" s="660" t="s">
        <v>835</v>
      </c>
      <c r="H110" s="660" t="s">
        <v>835</v>
      </c>
    </row>
    <row r="111" spans="1:8" ht="12.75">
      <c r="A111" s="637" t="s">
        <v>952</v>
      </c>
      <c r="B111" s="637"/>
      <c r="C111" s="637"/>
      <c r="F111" s="660">
        <v>17</v>
      </c>
      <c r="H111" s="660" t="s">
        <v>975</v>
      </c>
    </row>
    <row r="114" spans="1:10" ht="12.75">
      <c r="A114" s="635" t="s">
        <v>976</v>
      </c>
      <c r="B114" s="635"/>
      <c r="C114" s="635"/>
      <c r="D114" s="635"/>
      <c r="E114" s="635"/>
      <c r="F114" s="635"/>
      <c r="G114" s="635"/>
      <c r="H114" s="635"/>
      <c r="I114" s="635"/>
      <c r="J114" s="635"/>
    </row>
    <row r="115" spans="1:10" ht="12.75">
      <c r="A115" s="635" t="s">
        <v>916</v>
      </c>
      <c r="B115" s="635"/>
      <c r="C115" s="635"/>
      <c r="D115" s="635"/>
      <c r="E115" s="635"/>
      <c r="F115" s="635"/>
      <c r="G115" s="635"/>
      <c r="H115" s="635"/>
      <c r="I115" s="635"/>
      <c r="J115" s="635"/>
    </row>
    <row r="117" ht="13.5"/>
    <row r="118" spans="1:10" ht="26.25" customHeight="1">
      <c r="A118" s="661" t="s">
        <v>224</v>
      </c>
      <c r="B118" s="661"/>
      <c r="C118" s="661"/>
      <c r="D118" s="661"/>
      <c r="E118" s="661"/>
      <c r="F118" s="661"/>
      <c r="G118" s="640" t="s">
        <v>918</v>
      </c>
      <c r="H118" s="640" t="s">
        <v>3</v>
      </c>
      <c r="I118" s="640" t="s">
        <v>919</v>
      </c>
      <c r="J118" s="662" t="s">
        <v>5</v>
      </c>
    </row>
    <row r="119" spans="1:10" ht="12.75">
      <c r="A119" s="642" t="s">
        <v>9</v>
      </c>
      <c r="B119" s="642"/>
      <c r="C119" s="642"/>
      <c r="D119" s="642"/>
      <c r="E119" s="642"/>
      <c r="F119" s="642"/>
      <c r="G119" s="643">
        <v>1</v>
      </c>
      <c r="H119" s="619"/>
      <c r="I119" s="619"/>
      <c r="J119" s="644"/>
    </row>
    <row r="120" spans="1:10" ht="12.75">
      <c r="A120" s="642" t="s">
        <v>13</v>
      </c>
      <c r="B120" s="642"/>
      <c r="C120" s="642"/>
      <c r="D120" s="642"/>
      <c r="E120" s="642"/>
      <c r="F120" s="642"/>
      <c r="G120" s="643">
        <v>2</v>
      </c>
      <c r="H120" s="619"/>
      <c r="I120" s="619"/>
      <c r="J120" s="644"/>
    </row>
    <row r="121" spans="1:10" ht="12.75">
      <c r="A121" s="645" t="s">
        <v>920</v>
      </c>
      <c r="B121" s="645"/>
      <c r="C121" s="645"/>
      <c r="D121" s="645"/>
      <c r="E121" s="645"/>
      <c r="F121" s="645"/>
      <c r="G121" s="643">
        <v>3</v>
      </c>
      <c r="H121" s="619"/>
      <c r="I121" s="619"/>
      <c r="J121" s="644" t="s">
        <v>835</v>
      </c>
    </row>
    <row r="122" spans="1:10" ht="12.75">
      <c r="A122" s="645" t="s">
        <v>921</v>
      </c>
      <c r="B122" s="645"/>
      <c r="C122" s="645"/>
      <c r="D122" s="645"/>
      <c r="E122" s="645"/>
      <c r="F122" s="645"/>
      <c r="G122" s="643">
        <v>4</v>
      </c>
      <c r="H122" s="619">
        <v>1698</v>
      </c>
      <c r="I122" s="619">
        <v>3266</v>
      </c>
      <c r="J122" s="644">
        <v>2803</v>
      </c>
    </row>
    <row r="123" spans="1:10" ht="12.75">
      <c r="A123" s="642" t="s">
        <v>922</v>
      </c>
      <c r="B123" s="642"/>
      <c r="C123" s="642"/>
      <c r="D123" s="642"/>
      <c r="E123" s="642"/>
      <c r="F123" s="642"/>
      <c r="G123" s="643">
        <v>5</v>
      </c>
      <c r="H123" s="646">
        <v>1698</v>
      </c>
      <c r="I123" s="646">
        <v>3266</v>
      </c>
      <c r="J123" s="647">
        <v>2803</v>
      </c>
    </row>
    <row r="124" spans="1:10" ht="12.75">
      <c r="A124" s="648" t="s">
        <v>923</v>
      </c>
      <c r="B124" s="648"/>
      <c r="C124" s="648"/>
      <c r="D124" s="648"/>
      <c r="E124" s="648"/>
      <c r="F124" s="648"/>
      <c r="G124" s="643">
        <v>6</v>
      </c>
      <c r="H124" s="619"/>
      <c r="I124" s="619"/>
      <c r="J124" s="644" t="s">
        <v>835</v>
      </c>
    </row>
    <row r="125" spans="1:10" ht="12.75">
      <c r="A125" s="648" t="s">
        <v>924</v>
      </c>
      <c r="B125" s="648"/>
      <c r="C125" s="648"/>
      <c r="D125" s="648"/>
      <c r="E125" s="648"/>
      <c r="F125" s="648"/>
      <c r="G125" s="643">
        <v>7</v>
      </c>
      <c r="H125" s="619"/>
      <c r="I125" s="619">
        <v>30</v>
      </c>
      <c r="J125" s="644">
        <v>30</v>
      </c>
    </row>
    <row r="126" spans="1:10" ht="12.75">
      <c r="A126" s="642" t="s">
        <v>954</v>
      </c>
      <c r="B126" s="642"/>
      <c r="C126" s="642"/>
      <c r="D126" s="642"/>
      <c r="E126" s="642"/>
      <c r="F126" s="642"/>
      <c r="G126" s="643">
        <v>8</v>
      </c>
      <c r="H126" s="619"/>
      <c r="I126" s="619">
        <v>30</v>
      </c>
      <c r="J126" s="644">
        <v>30</v>
      </c>
    </row>
    <row r="127" spans="1:10" ht="12.75">
      <c r="A127" s="642" t="s">
        <v>955</v>
      </c>
      <c r="B127" s="642"/>
      <c r="C127" s="642"/>
      <c r="D127" s="642"/>
      <c r="E127" s="642"/>
      <c r="F127" s="642"/>
      <c r="G127" s="643">
        <v>9</v>
      </c>
      <c r="H127" s="646">
        <v>1698</v>
      </c>
      <c r="I127" s="646">
        <v>3296</v>
      </c>
      <c r="J127" s="647">
        <v>2833</v>
      </c>
    </row>
    <row r="128" spans="1:10" ht="12.75">
      <c r="A128" s="642" t="s">
        <v>927</v>
      </c>
      <c r="B128" s="642"/>
      <c r="C128" s="642"/>
      <c r="D128" s="642"/>
      <c r="E128" s="642"/>
      <c r="F128" s="642"/>
      <c r="G128" s="643">
        <v>10</v>
      </c>
      <c r="H128" s="619"/>
      <c r="I128" s="619"/>
      <c r="J128" s="644"/>
    </row>
    <row r="129" spans="1:10" ht="12.75">
      <c r="A129" s="642" t="s">
        <v>928</v>
      </c>
      <c r="B129" s="642"/>
      <c r="C129" s="642"/>
      <c r="D129" s="642"/>
      <c r="E129" s="642"/>
      <c r="F129" s="642"/>
      <c r="G129" s="643">
        <v>11</v>
      </c>
      <c r="H129" s="619"/>
      <c r="I129" s="619"/>
      <c r="J129" s="644"/>
    </row>
    <row r="130" spans="1:10" ht="12.75">
      <c r="A130" s="642" t="s">
        <v>929</v>
      </c>
      <c r="B130" s="642"/>
      <c r="C130" s="642"/>
      <c r="D130" s="642"/>
      <c r="E130" s="642"/>
      <c r="F130" s="642"/>
      <c r="G130" s="643">
        <v>12</v>
      </c>
      <c r="H130" s="646">
        <v>1698</v>
      </c>
      <c r="I130" s="646">
        <v>3296</v>
      </c>
      <c r="J130" s="647">
        <v>2833</v>
      </c>
    </row>
    <row r="131" spans="1:10" ht="12.75">
      <c r="A131" s="645" t="s">
        <v>930</v>
      </c>
      <c r="B131" s="645"/>
      <c r="C131" s="645"/>
      <c r="D131" s="645"/>
      <c r="E131" s="645"/>
      <c r="F131" s="645"/>
      <c r="G131" s="643">
        <v>13</v>
      </c>
      <c r="H131" s="619">
        <v>1698</v>
      </c>
      <c r="I131" s="619" t="s">
        <v>835</v>
      </c>
      <c r="J131" s="644">
        <v>0</v>
      </c>
    </row>
    <row r="132" spans="1:10" ht="12.75">
      <c r="A132" s="648" t="s">
        <v>966</v>
      </c>
      <c r="B132" s="648"/>
      <c r="C132" s="648"/>
      <c r="D132" s="648"/>
      <c r="E132" s="648"/>
      <c r="F132" s="648"/>
      <c r="G132" s="643">
        <v>14</v>
      </c>
      <c r="H132" s="619"/>
      <c r="I132" s="619">
        <v>2515</v>
      </c>
      <c r="J132" s="644">
        <v>2515</v>
      </c>
    </row>
    <row r="133" spans="1:10" ht="12.75">
      <c r="A133" s="648" t="s">
        <v>967</v>
      </c>
      <c r="B133" s="648"/>
      <c r="C133" s="648"/>
      <c r="D133" s="648"/>
      <c r="E133" s="648"/>
      <c r="F133" s="648"/>
      <c r="G133" s="643">
        <v>15</v>
      </c>
      <c r="H133" s="619"/>
      <c r="I133" s="619">
        <v>350</v>
      </c>
      <c r="J133" s="644">
        <v>350</v>
      </c>
    </row>
    <row r="134" spans="1:10" ht="12.75">
      <c r="A134" s="645" t="s">
        <v>932</v>
      </c>
      <c r="B134" s="645"/>
      <c r="C134" s="645"/>
      <c r="D134" s="645"/>
      <c r="E134" s="645"/>
      <c r="F134" s="645"/>
      <c r="G134" s="643">
        <v>16</v>
      </c>
      <c r="H134" s="619"/>
      <c r="I134" s="619" t="s">
        <v>835</v>
      </c>
      <c r="J134" s="644" t="s">
        <v>835</v>
      </c>
    </row>
    <row r="135" spans="1:10" ht="12.75">
      <c r="A135" s="645" t="s">
        <v>933</v>
      </c>
      <c r="B135" s="645"/>
      <c r="C135" s="645"/>
      <c r="D135" s="645"/>
      <c r="E135" s="645"/>
      <c r="F135" s="645"/>
      <c r="G135" s="643">
        <v>17</v>
      </c>
      <c r="H135" s="619"/>
      <c r="I135" s="619"/>
      <c r="J135" s="644">
        <v>-19</v>
      </c>
    </row>
    <row r="136" spans="1:10" ht="12.75">
      <c r="A136" s="645" t="s">
        <v>195</v>
      </c>
      <c r="B136" s="645"/>
      <c r="C136" s="645"/>
      <c r="D136" s="645"/>
      <c r="E136" s="645"/>
      <c r="F136" s="645"/>
      <c r="G136" s="643">
        <v>18</v>
      </c>
      <c r="H136" s="619"/>
      <c r="I136" s="619">
        <v>431</v>
      </c>
      <c r="J136" s="644">
        <v>431</v>
      </c>
    </row>
    <row r="137" spans="1:10" ht="13.5">
      <c r="A137" s="650" t="s">
        <v>934</v>
      </c>
      <c r="B137" s="650"/>
      <c r="C137" s="650"/>
      <c r="D137" s="650"/>
      <c r="E137" s="650"/>
      <c r="F137" s="650"/>
      <c r="G137" s="663">
        <v>19</v>
      </c>
      <c r="H137" s="652">
        <v>1698</v>
      </c>
      <c r="I137" s="652">
        <v>3296</v>
      </c>
      <c r="J137" s="653">
        <v>3277</v>
      </c>
    </row>
    <row r="138" spans="1:10" ht="13.5">
      <c r="A138" s="636"/>
      <c r="B138" s="636"/>
      <c r="C138" s="636"/>
      <c r="D138" s="636"/>
      <c r="E138" s="636"/>
      <c r="F138" s="636"/>
      <c r="G138" s="636"/>
      <c r="H138" s="636"/>
      <c r="I138" s="636"/>
      <c r="J138" s="636"/>
    </row>
    <row r="139" spans="1:10" ht="12.75">
      <c r="A139" s="636"/>
      <c r="B139" s="636"/>
      <c r="C139" s="636"/>
      <c r="D139" s="636"/>
      <c r="E139" s="636"/>
      <c r="F139" s="664" t="s">
        <v>82</v>
      </c>
      <c r="G139" s="635"/>
      <c r="H139" s="664" t="s">
        <v>935</v>
      </c>
      <c r="I139" s="636"/>
      <c r="J139" s="636"/>
    </row>
    <row r="140" spans="1:8" ht="12.75">
      <c r="A140" s="637" t="s">
        <v>968</v>
      </c>
      <c r="B140" s="637"/>
      <c r="C140" s="637"/>
      <c r="H140" s="660" t="s">
        <v>835</v>
      </c>
    </row>
    <row r="141" spans="1:8" ht="12.75">
      <c r="A141" t="s">
        <v>937</v>
      </c>
      <c r="F141" s="660">
        <v>445</v>
      </c>
      <c r="H141" s="660" t="s">
        <v>977</v>
      </c>
    </row>
    <row r="142" spans="1:8" ht="12.75">
      <c r="A142" t="s">
        <v>939</v>
      </c>
      <c r="F142" s="660" t="s">
        <v>978</v>
      </c>
      <c r="H142" s="660" t="s">
        <v>979</v>
      </c>
    </row>
    <row r="143" spans="1:8" ht="12.75">
      <c r="A143" t="s">
        <v>195</v>
      </c>
      <c r="F143" s="660">
        <v>-431</v>
      </c>
      <c r="H143" s="660" t="s">
        <v>980</v>
      </c>
    </row>
    <row r="144" spans="1:8" ht="12.75">
      <c r="A144" t="s">
        <v>944</v>
      </c>
      <c r="F144" s="660">
        <v>-2833</v>
      </c>
      <c r="H144" s="660" t="s">
        <v>981</v>
      </c>
    </row>
    <row r="145" spans="1:8" ht="12.75">
      <c r="A145" s="637" t="s">
        <v>946</v>
      </c>
      <c r="B145" s="637"/>
      <c r="F145" s="660">
        <v>458</v>
      </c>
      <c r="H145" s="660" t="s">
        <v>982</v>
      </c>
    </row>
    <row r="146" spans="1:8" ht="12.75">
      <c r="A146" t="s">
        <v>948</v>
      </c>
      <c r="F146" s="660">
        <v>1</v>
      </c>
      <c r="H146" s="660" t="s">
        <v>949</v>
      </c>
    </row>
    <row r="147" spans="1:8" ht="12.75">
      <c r="A147" t="s">
        <v>962</v>
      </c>
      <c r="B147" t="s">
        <v>963</v>
      </c>
      <c r="F147" s="660">
        <v>-19</v>
      </c>
      <c r="H147" s="660" t="s">
        <v>983</v>
      </c>
    </row>
    <row r="148" spans="1:8" ht="12.75">
      <c r="A148" s="637" t="s">
        <v>952</v>
      </c>
      <c r="B148" s="637"/>
      <c r="C148" s="637"/>
      <c r="F148" s="660">
        <v>440</v>
      </c>
      <c r="H148" s="660" t="s">
        <v>984</v>
      </c>
    </row>
  </sheetData>
  <sheetProtection selectLockedCells="1" selectUnlockedCells="1"/>
  <mergeCells count="86">
    <mergeCell ref="A3:J3"/>
    <mergeCell ref="A4:J4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40:J40"/>
    <mergeCell ref="A41:J41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78:J78"/>
    <mergeCell ref="A79:J79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14:J114"/>
    <mergeCell ref="A115:J115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</mergeCells>
  <printOptions horizontalCentered="1"/>
  <pageMargins left="0.31527777777777777" right="0.3541666666666667" top="0.48055555555555557" bottom="0.5513888888888889" header="0.3402777777777778" footer="0.5118055555555555"/>
  <pageSetup horizontalDpi="300" verticalDpi="300" orientation="portrait" paperSize="9" scale="80"/>
  <headerFooter alignWithMargins="0">
    <oddHeader>&amp;L&amp;8 13. melléklet a 16/2011.(V.02.)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2" sqref="A2"/>
    </sheetView>
  </sheetViews>
  <sheetFormatPr defaultColWidth="9.00390625" defaultRowHeight="12.75"/>
  <cols>
    <col min="1" max="1" width="59.125" style="410" customWidth="1"/>
    <col min="2" max="2" width="15.875" style="410" customWidth="1"/>
    <col min="3" max="4" width="13.75390625" style="410" customWidth="1"/>
    <col min="5" max="5" width="16.00390625" style="410" customWidth="1"/>
    <col min="6" max="6" width="14.125" style="410" customWidth="1"/>
    <col min="7" max="7" width="11.75390625" style="410" customWidth="1"/>
    <col min="8" max="8" width="9.125" style="410" customWidth="1"/>
    <col min="9" max="9" width="10.125" style="410" customWidth="1"/>
    <col min="10" max="16384" width="9.125" style="410" customWidth="1"/>
  </cols>
  <sheetData>
    <row r="1" spans="1:5" ht="18.75">
      <c r="A1" s="666" t="s">
        <v>985</v>
      </c>
      <c r="B1" s="666"/>
      <c r="C1" s="666"/>
      <c r="D1" s="666"/>
      <c r="E1" s="666"/>
    </row>
    <row r="2" spans="1:10" ht="15.75">
      <c r="A2" s="372" t="s">
        <v>986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6.5">
      <c r="A3" s="485"/>
      <c r="B3" s="485"/>
      <c r="C3" s="485"/>
      <c r="D3" s="485"/>
      <c r="E3" s="485"/>
      <c r="F3" s="485"/>
      <c r="G3" s="485"/>
      <c r="H3" s="485"/>
      <c r="I3" s="485"/>
      <c r="J3" s="485"/>
    </row>
    <row r="4" spans="1:10" ht="16.5" customHeight="1">
      <c r="A4" s="667" t="s">
        <v>224</v>
      </c>
      <c r="B4" s="668" t="s">
        <v>987</v>
      </c>
      <c r="C4" s="669" t="s">
        <v>988</v>
      </c>
      <c r="D4" s="669"/>
      <c r="E4" s="670" t="s">
        <v>989</v>
      </c>
      <c r="F4" s="670" t="s">
        <v>990</v>
      </c>
      <c r="G4" s="670" t="s">
        <v>991</v>
      </c>
      <c r="H4" s="670" t="s">
        <v>992</v>
      </c>
      <c r="I4" s="670" t="s">
        <v>993</v>
      </c>
      <c r="J4" s="670" t="s">
        <v>994</v>
      </c>
    </row>
    <row r="5" spans="1:10" ht="48.75" customHeight="1">
      <c r="A5" s="667"/>
      <c r="B5" s="668"/>
      <c r="C5" s="669" t="s">
        <v>995</v>
      </c>
      <c r="D5" s="669" t="s">
        <v>996</v>
      </c>
      <c r="E5" s="670"/>
      <c r="F5" s="670"/>
      <c r="G5" s="670"/>
      <c r="H5" s="670"/>
      <c r="I5" s="670"/>
      <c r="J5" s="670"/>
    </row>
    <row r="6" spans="1:10" ht="16.5">
      <c r="A6" s="671" t="s">
        <v>997</v>
      </c>
      <c r="B6" s="671" t="s">
        <v>998</v>
      </c>
      <c r="C6" s="672">
        <v>2002</v>
      </c>
      <c r="D6" s="673">
        <v>13130</v>
      </c>
      <c r="E6" s="674">
        <v>2012</v>
      </c>
      <c r="F6" s="675">
        <v>4370</v>
      </c>
      <c r="G6" s="675">
        <v>1460</v>
      </c>
      <c r="H6" s="675">
        <v>2910</v>
      </c>
      <c r="I6" s="675">
        <v>2910</v>
      </c>
      <c r="J6" s="676">
        <v>1460</v>
      </c>
    </row>
    <row r="7" spans="1:10" ht="16.5">
      <c r="A7" s="671" t="s">
        <v>999</v>
      </c>
      <c r="B7" s="671" t="s">
        <v>1000</v>
      </c>
      <c r="C7" s="677">
        <v>2006</v>
      </c>
      <c r="D7" s="678">
        <v>5680</v>
      </c>
      <c r="E7" s="679">
        <v>2012</v>
      </c>
      <c r="F7" s="680">
        <v>3002</v>
      </c>
      <c r="G7" s="680">
        <v>804</v>
      </c>
      <c r="H7" s="680">
        <v>2198</v>
      </c>
      <c r="I7" s="680">
        <v>2198</v>
      </c>
      <c r="J7" s="681">
        <v>1067</v>
      </c>
    </row>
    <row r="8" spans="1:10" ht="16.5">
      <c r="A8" s="671" t="s">
        <v>1001</v>
      </c>
      <c r="B8" s="671" t="s">
        <v>998</v>
      </c>
      <c r="C8" s="677">
        <v>2006</v>
      </c>
      <c r="D8" s="678">
        <v>100000</v>
      </c>
      <c r="E8" s="679">
        <v>2016</v>
      </c>
      <c r="F8" s="680">
        <v>85581</v>
      </c>
      <c r="G8" s="680">
        <v>9512</v>
      </c>
      <c r="H8" s="680">
        <v>76069</v>
      </c>
      <c r="I8" s="680">
        <v>92426</v>
      </c>
      <c r="J8" s="681">
        <v>15000</v>
      </c>
    </row>
    <row r="9" spans="1:10" ht="16.5">
      <c r="A9" s="682" t="s">
        <v>1002</v>
      </c>
      <c r="B9" s="682"/>
      <c r="C9" s="683"/>
      <c r="D9" s="684">
        <f>SUM(D6:D8)</f>
        <v>118810</v>
      </c>
      <c r="E9" s="685"/>
      <c r="F9" s="686">
        <f>SUM(F6:F8)</f>
        <v>92953</v>
      </c>
      <c r="G9" s="686">
        <f>SUM(G6:G8)</f>
        <v>11776</v>
      </c>
      <c r="H9" s="686">
        <f>SUM(H6:H8)</f>
        <v>81177</v>
      </c>
      <c r="I9" s="686">
        <f>SUM(I6:I8)</f>
        <v>97534</v>
      </c>
      <c r="J9" s="681">
        <f>SUM(J6:J8)</f>
        <v>17527</v>
      </c>
    </row>
    <row r="10" spans="1:10" ht="16.5">
      <c r="A10" s="682" t="s">
        <v>1003</v>
      </c>
      <c r="B10" s="682" t="s">
        <v>1004</v>
      </c>
      <c r="C10" s="683">
        <v>2008</v>
      </c>
      <c r="D10" s="684">
        <v>3569115</v>
      </c>
      <c r="E10" s="685">
        <v>2031</v>
      </c>
      <c r="F10" s="686">
        <v>4086921</v>
      </c>
      <c r="G10" s="686"/>
      <c r="H10" s="686">
        <v>4086921</v>
      </c>
      <c r="I10" s="686">
        <v>4965764</v>
      </c>
      <c r="J10" s="681">
        <v>0</v>
      </c>
    </row>
    <row r="11" spans="1:10" ht="16.5">
      <c r="A11" s="682" t="s">
        <v>1005</v>
      </c>
      <c r="B11" s="671"/>
      <c r="C11" s="677"/>
      <c r="D11" s="684">
        <f>SUM(D9+D10)</f>
        <v>3687925</v>
      </c>
      <c r="E11" s="679"/>
      <c r="F11" s="686">
        <f>SUM(F9+F10)</f>
        <v>4179874</v>
      </c>
      <c r="G11" s="686">
        <f>SUM(G9+G10)</f>
        <v>11776</v>
      </c>
      <c r="H11" s="686">
        <f>SUM(H9+H10)</f>
        <v>4168098</v>
      </c>
      <c r="I11" s="686">
        <f>SUM(I9+I10)</f>
        <v>5063298</v>
      </c>
      <c r="J11" s="681">
        <f>SUM(J6:J8)</f>
        <v>17527</v>
      </c>
    </row>
    <row r="13" spans="1:7" ht="15.75">
      <c r="A13" s="372" t="s">
        <v>1006</v>
      </c>
      <c r="B13" s="372"/>
      <c r="C13" s="372"/>
      <c r="D13" s="372"/>
      <c r="E13" s="372"/>
      <c r="F13" s="372"/>
      <c r="G13" s="372"/>
    </row>
    <row r="14" ht="16.5"/>
    <row r="15" spans="1:7" ht="60" customHeight="1">
      <c r="A15" s="687" t="s">
        <v>1007</v>
      </c>
      <c r="B15" s="688" t="s">
        <v>1008</v>
      </c>
      <c r="C15" s="688" t="s">
        <v>1009</v>
      </c>
      <c r="D15" s="688" t="s">
        <v>1010</v>
      </c>
      <c r="E15" s="688" t="s">
        <v>1011</v>
      </c>
      <c r="F15" s="688" t="s">
        <v>1012</v>
      </c>
      <c r="G15" s="689" t="s">
        <v>1013</v>
      </c>
    </row>
    <row r="16" spans="1:7" ht="15.75">
      <c r="A16" s="690" t="s">
        <v>1014</v>
      </c>
      <c r="B16" s="691">
        <v>2010</v>
      </c>
      <c r="C16" s="692">
        <f>D16+G16</f>
        <v>15845</v>
      </c>
      <c r="D16" s="692">
        <v>6805</v>
      </c>
      <c r="E16" s="692">
        <v>8650</v>
      </c>
      <c r="F16" s="692">
        <f>8650+198+192</f>
        <v>9040</v>
      </c>
      <c r="G16" s="693">
        <f>8650+198+192</f>
        <v>9040</v>
      </c>
    </row>
    <row r="17" spans="1:7" ht="15.75">
      <c r="A17" s="694" t="s">
        <v>832</v>
      </c>
      <c r="B17" s="695">
        <v>2010</v>
      </c>
      <c r="C17" s="696">
        <f>D17+G17</f>
        <v>600</v>
      </c>
      <c r="D17" s="696">
        <v>600</v>
      </c>
      <c r="E17" s="696">
        <v>33962</v>
      </c>
      <c r="F17" s="696">
        <v>0</v>
      </c>
      <c r="G17" s="697">
        <v>0</v>
      </c>
    </row>
    <row r="18" spans="1:7" ht="15.75">
      <c r="A18" s="694" t="s">
        <v>1015</v>
      </c>
      <c r="B18" s="695">
        <v>2010</v>
      </c>
      <c r="C18" s="696">
        <f>D18+G18</f>
        <v>83333</v>
      </c>
      <c r="D18" s="696">
        <v>2420</v>
      </c>
      <c r="E18" s="696">
        <v>69791</v>
      </c>
      <c r="F18" s="696">
        <f>66863+563+6000+2000+3500+2029</f>
        <v>80955</v>
      </c>
      <c r="G18" s="697">
        <f>2029+3500+2000+5958+563+66863</f>
        <v>80913</v>
      </c>
    </row>
    <row r="19" spans="1:7" ht="15.75">
      <c r="A19" s="694" t="s">
        <v>1016</v>
      </c>
      <c r="B19" s="695">
        <v>2010</v>
      </c>
      <c r="C19" s="696">
        <f>D19+G19</f>
        <v>460760</v>
      </c>
      <c r="D19" s="696">
        <v>14541</v>
      </c>
      <c r="E19" s="696">
        <v>442625</v>
      </c>
      <c r="F19" s="696">
        <f>455507+275+3156</f>
        <v>458938</v>
      </c>
      <c r="G19" s="697">
        <f>3156+275+442788</f>
        <v>446219</v>
      </c>
    </row>
    <row r="20" spans="1:7" ht="15.75">
      <c r="A20" s="694" t="s">
        <v>1017</v>
      </c>
      <c r="B20" s="695">
        <v>2010</v>
      </c>
      <c r="C20" s="696">
        <f>D20+G20+46933</f>
        <v>533306</v>
      </c>
      <c r="D20" s="696">
        <v>23674</v>
      </c>
      <c r="E20" s="696">
        <v>534614</v>
      </c>
      <c r="F20" s="696">
        <f>523133+15610</f>
        <v>538743</v>
      </c>
      <c r="G20" s="697">
        <f>15610+447089</f>
        <v>462699</v>
      </c>
    </row>
    <row r="21" spans="1:7" ht="15.75">
      <c r="A21" s="694" t="s">
        <v>825</v>
      </c>
      <c r="B21" s="695">
        <v>2011</v>
      </c>
      <c r="C21" s="696">
        <f>794975-((3301+(9*104.412)+(9*139.216)+(10*119.328)))</f>
        <v>788288.068</v>
      </c>
      <c r="D21" s="696">
        <v>18154</v>
      </c>
      <c r="E21" s="696">
        <v>674000</v>
      </c>
      <c r="F21" s="696">
        <v>670221</v>
      </c>
      <c r="G21" s="697">
        <v>65854</v>
      </c>
    </row>
    <row r="22" spans="1:7" ht="15.75">
      <c r="A22" s="694" t="s">
        <v>1018</v>
      </c>
      <c r="B22" s="695">
        <v>2010</v>
      </c>
      <c r="C22" s="696">
        <v>74051</v>
      </c>
      <c r="D22" s="696">
        <v>1254</v>
      </c>
      <c r="E22" s="696">
        <v>85059</v>
      </c>
      <c r="F22" s="696">
        <v>83567</v>
      </c>
      <c r="G22" s="697">
        <v>12615</v>
      </c>
    </row>
    <row r="23" spans="1:7" ht="15.75">
      <c r="A23" s="694" t="s">
        <v>1019</v>
      </c>
      <c r="B23" s="695">
        <v>2010</v>
      </c>
      <c r="C23" s="696">
        <v>414318</v>
      </c>
      <c r="D23" s="696">
        <v>462</v>
      </c>
      <c r="E23" s="696">
        <v>413856</v>
      </c>
      <c r="F23" s="696">
        <v>413856</v>
      </c>
      <c r="G23" s="697">
        <v>5822</v>
      </c>
    </row>
    <row r="24" spans="1:7" ht="15.75">
      <c r="A24" s="694" t="s">
        <v>828</v>
      </c>
      <c r="B24" s="695">
        <v>2011</v>
      </c>
      <c r="C24" s="696">
        <f>D24+F24</f>
        <v>125794</v>
      </c>
      <c r="D24" s="696">
        <v>63</v>
      </c>
      <c r="E24" s="696">
        <v>125211</v>
      </c>
      <c r="F24" s="696">
        <v>125731</v>
      </c>
      <c r="G24" s="697">
        <v>1680</v>
      </c>
    </row>
    <row r="25" spans="1:7" ht="15.75">
      <c r="A25" s="694" t="s">
        <v>829</v>
      </c>
      <c r="B25" s="695">
        <v>2012</v>
      </c>
      <c r="C25" s="696">
        <v>1280605</v>
      </c>
      <c r="D25" s="696">
        <v>3138</v>
      </c>
      <c r="E25" s="696">
        <v>933000</v>
      </c>
      <c r="F25" s="696">
        <v>933000</v>
      </c>
      <c r="G25" s="697">
        <v>16990</v>
      </c>
    </row>
    <row r="26" spans="1:7" ht="15.75">
      <c r="A26" s="694" t="s">
        <v>1020</v>
      </c>
      <c r="B26" s="695">
        <v>2011</v>
      </c>
      <c r="C26" s="696">
        <f>D26+F26</f>
        <v>6965</v>
      </c>
      <c r="D26" s="696">
        <v>2200</v>
      </c>
      <c r="E26" s="696">
        <v>418000</v>
      </c>
      <c r="F26" s="696">
        <v>4765</v>
      </c>
      <c r="G26" s="697">
        <v>4765</v>
      </c>
    </row>
    <row r="27" spans="1:7" ht="15.75">
      <c r="A27" s="694" t="s">
        <v>1021</v>
      </c>
      <c r="B27" s="695">
        <v>2010</v>
      </c>
      <c r="C27" s="696">
        <v>65337</v>
      </c>
      <c r="D27" s="696">
        <v>825</v>
      </c>
      <c r="E27" s="696">
        <v>48954</v>
      </c>
      <c r="F27" s="696">
        <v>48954</v>
      </c>
      <c r="G27" s="697">
        <v>3387</v>
      </c>
    </row>
    <row r="28" spans="1:7" ht="15.75">
      <c r="A28" s="694" t="s">
        <v>1022</v>
      </c>
      <c r="B28" s="695">
        <v>2011</v>
      </c>
      <c r="C28" s="696">
        <v>155758</v>
      </c>
      <c r="D28" s="696"/>
      <c r="E28" s="696">
        <v>149993</v>
      </c>
      <c r="F28" s="696">
        <v>149993</v>
      </c>
      <c r="G28" s="697">
        <v>3650</v>
      </c>
    </row>
    <row r="29" spans="1:7" ht="15.75">
      <c r="A29" s="694" t="s">
        <v>1023</v>
      </c>
      <c r="B29" s="695">
        <v>2010</v>
      </c>
      <c r="C29" s="696">
        <f>SUM(D29:E29)</f>
        <v>21738</v>
      </c>
      <c r="D29" s="696"/>
      <c r="E29" s="696">
        <v>21738</v>
      </c>
      <c r="F29" s="696">
        <v>5235</v>
      </c>
      <c r="G29" s="697">
        <v>0</v>
      </c>
    </row>
    <row r="30" spans="1:7" ht="16.5">
      <c r="A30" s="698" t="s">
        <v>1024</v>
      </c>
      <c r="B30" s="699">
        <v>2011</v>
      </c>
      <c r="C30" s="700">
        <v>35000</v>
      </c>
      <c r="D30" s="700"/>
      <c r="E30" s="700">
        <v>15000</v>
      </c>
      <c r="F30" s="700">
        <v>15000</v>
      </c>
      <c r="G30" s="701">
        <v>15000</v>
      </c>
    </row>
    <row r="31" spans="1:7" ht="16.5">
      <c r="A31" s="702" t="s">
        <v>120</v>
      </c>
      <c r="B31" s="703" t="s">
        <v>746</v>
      </c>
      <c r="C31" s="704">
        <f>SUM(C16:C30)</f>
        <v>4061698.068</v>
      </c>
      <c r="D31" s="704">
        <f>SUM(D16:D29)</f>
        <v>74136</v>
      </c>
      <c r="E31" s="704">
        <f>SUM(E16:E30)</f>
        <v>3974453</v>
      </c>
      <c r="F31" s="704">
        <f>SUM(F16:F30)</f>
        <v>3537998</v>
      </c>
      <c r="G31" s="705">
        <f>SUM(G16:G30)</f>
        <v>1128634</v>
      </c>
    </row>
    <row r="32" ht="16.5"/>
    <row r="33" ht="15.75">
      <c r="D33" s="706"/>
    </row>
  </sheetData>
  <sheetProtection selectLockedCells="1" selectUnlockedCells="1"/>
  <mergeCells count="12">
    <mergeCell ref="A1:E1"/>
    <mergeCell ref="A2:J2"/>
    <mergeCell ref="A4:A5"/>
    <mergeCell ref="B4:B5"/>
    <mergeCell ref="C4:D4"/>
    <mergeCell ref="E4:E5"/>
    <mergeCell ref="F4:F5"/>
    <mergeCell ref="G4:G5"/>
    <mergeCell ref="H4:H5"/>
    <mergeCell ref="I4:I5"/>
    <mergeCell ref="J4:J5"/>
    <mergeCell ref="A13:G13"/>
  </mergeCells>
  <printOptions/>
  <pageMargins left="0.35" right="0.25" top="0.9840277777777777" bottom="0.9840277777777777" header="0.5" footer="0.5118055555555555"/>
  <pageSetup horizontalDpi="300" verticalDpi="300" orientation="landscape" paperSize="9" scale="79"/>
  <headerFooter alignWithMargins="0">
    <oddHeader>&amp;L14. melléklet a 16/2011.(V.02.)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D39" sqref="D39"/>
    </sheetView>
  </sheetViews>
  <sheetFormatPr defaultColWidth="9.00390625" defaultRowHeight="12.75"/>
  <cols>
    <col min="1" max="1" width="67.875" style="707" customWidth="1"/>
    <col min="2" max="2" width="6.125" style="707" customWidth="1"/>
    <col min="3" max="3" width="15.75390625" style="707" customWidth="1"/>
    <col min="4" max="4" width="15.375" style="707" customWidth="1"/>
    <col min="5" max="5" width="16.75390625" style="707" customWidth="1"/>
    <col min="6" max="6" width="14.75390625" style="707" customWidth="1"/>
    <col min="7" max="16384" width="9.125" style="707" customWidth="1"/>
  </cols>
  <sheetData>
    <row r="1" spans="1:6" ht="14.25">
      <c r="A1" s="541" t="s">
        <v>1025</v>
      </c>
      <c r="B1" s="541"/>
      <c r="C1" s="541"/>
      <c r="D1" s="541"/>
      <c r="E1" s="541"/>
      <c r="F1" s="541"/>
    </row>
    <row r="2" ht="15"/>
    <row r="3" spans="1:6" ht="61.5" customHeight="1">
      <c r="A3" s="708" t="s">
        <v>224</v>
      </c>
      <c r="B3" s="709" t="s">
        <v>1026</v>
      </c>
      <c r="C3" s="710" t="s">
        <v>148</v>
      </c>
      <c r="D3" s="710" t="s">
        <v>149</v>
      </c>
      <c r="E3" s="711" t="s">
        <v>150</v>
      </c>
      <c r="F3" s="712" t="s">
        <v>151</v>
      </c>
    </row>
    <row r="4" spans="1:6" ht="14.25" customHeight="1">
      <c r="A4" s="713" t="s">
        <v>1027</v>
      </c>
      <c r="B4" s="714" t="s">
        <v>1028</v>
      </c>
      <c r="C4" s="715">
        <v>0</v>
      </c>
      <c r="D4" s="715">
        <v>0</v>
      </c>
      <c r="E4" s="715">
        <v>0</v>
      </c>
      <c r="F4" s="716">
        <f>SUM(C4:E4)</f>
        <v>0</v>
      </c>
    </row>
    <row r="5" spans="1:6" ht="14.25" customHeight="1">
      <c r="A5" s="713" t="s">
        <v>1029</v>
      </c>
      <c r="B5" s="714" t="s">
        <v>1030</v>
      </c>
      <c r="C5" s="715">
        <v>697146</v>
      </c>
      <c r="D5" s="715">
        <v>15365</v>
      </c>
      <c r="E5" s="715">
        <v>52197</v>
      </c>
      <c r="F5" s="716">
        <f aca="true" t="shared" si="0" ref="F5:F41">SUM(C5:E5)</f>
        <v>764708</v>
      </c>
    </row>
    <row r="6" spans="1:6" ht="14.25" customHeight="1">
      <c r="A6" s="713" t="s">
        <v>1031</v>
      </c>
      <c r="B6" s="714" t="s">
        <v>1032</v>
      </c>
      <c r="C6" s="715">
        <v>276</v>
      </c>
      <c r="D6" s="715">
        <v>0</v>
      </c>
      <c r="E6" s="715">
        <v>13</v>
      </c>
      <c r="F6" s="716">
        <f t="shared" si="0"/>
        <v>289</v>
      </c>
    </row>
    <row r="7" spans="1:6" ht="14.25" customHeight="1">
      <c r="A7" s="717" t="s">
        <v>1033</v>
      </c>
      <c r="B7" s="714" t="s">
        <v>1034</v>
      </c>
      <c r="C7" s="718">
        <f>SUM(C4:C6)</f>
        <v>697422</v>
      </c>
      <c r="D7" s="718">
        <f>SUM(D4:D6)</f>
        <v>15365</v>
      </c>
      <c r="E7" s="718">
        <f>SUM(E4:E6)</f>
        <v>52210</v>
      </c>
      <c r="F7" s="716">
        <f t="shared" si="0"/>
        <v>764997</v>
      </c>
    </row>
    <row r="8" spans="1:6" ht="14.25" customHeight="1">
      <c r="A8" s="719" t="s">
        <v>1035</v>
      </c>
      <c r="B8" s="714" t="s">
        <v>1036</v>
      </c>
      <c r="C8" s="720">
        <v>0</v>
      </c>
      <c r="D8" s="720">
        <v>0</v>
      </c>
      <c r="E8" s="720">
        <v>0</v>
      </c>
      <c r="F8" s="721">
        <f t="shared" si="0"/>
        <v>0</v>
      </c>
    </row>
    <row r="9" spans="1:6" ht="14.25" customHeight="1">
      <c r="A9" s="713" t="s">
        <v>1037</v>
      </c>
      <c r="B9" s="714" t="s">
        <v>1038</v>
      </c>
      <c r="C9" s="715">
        <v>0</v>
      </c>
      <c r="D9" s="715">
        <v>0</v>
      </c>
      <c r="E9" s="715">
        <v>0</v>
      </c>
      <c r="F9" s="721">
        <f t="shared" si="0"/>
        <v>0</v>
      </c>
    </row>
    <row r="10" spans="1:6" ht="14.25" customHeight="1">
      <c r="A10" s="722" t="s">
        <v>1039</v>
      </c>
      <c r="B10" s="714" t="s">
        <v>1040</v>
      </c>
      <c r="C10" s="723">
        <f>SUM(C8:C9)</f>
        <v>0</v>
      </c>
      <c r="D10" s="723">
        <f>SUM(D8:D9)</f>
        <v>0</v>
      </c>
      <c r="E10" s="723">
        <f>SUM(E8:E9)</f>
        <v>0</v>
      </c>
      <c r="F10" s="716">
        <f t="shared" si="0"/>
        <v>0</v>
      </c>
    </row>
    <row r="11" spans="1:6" ht="14.25" customHeight="1">
      <c r="A11" s="713" t="s">
        <v>1041</v>
      </c>
      <c r="B11" s="714" t="s">
        <v>1042</v>
      </c>
      <c r="C11" s="715">
        <v>70357</v>
      </c>
      <c r="D11" s="715">
        <v>0</v>
      </c>
      <c r="E11" s="715">
        <v>0</v>
      </c>
      <c r="F11" s="721">
        <f t="shared" si="0"/>
        <v>70357</v>
      </c>
    </row>
    <row r="12" spans="1:6" ht="14.25" customHeight="1">
      <c r="A12" s="713" t="s">
        <v>1043</v>
      </c>
      <c r="B12" s="714" t="s">
        <v>1044</v>
      </c>
      <c r="C12" s="715">
        <v>133206</v>
      </c>
      <c r="D12" s="715">
        <v>12329</v>
      </c>
      <c r="E12" s="715">
        <v>22867</v>
      </c>
      <c r="F12" s="721">
        <f t="shared" si="0"/>
        <v>168402</v>
      </c>
    </row>
    <row r="13" spans="1:6" ht="14.25" customHeight="1">
      <c r="A13" s="713" t="s">
        <v>1045</v>
      </c>
      <c r="B13" s="714" t="s">
        <v>1046</v>
      </c>
      <c r="C13" s="715">
        <v>36</v>
      </c>
      <c r="D13" s="715">
        <v>0</v>
      </c>
      <c r="E13" s="715">
        <v>0</v>
      </c>
      <c r="F13" s="721">
        <f t="shared" si="0"/>
        <v>36</v>
      </c>
    </row>
    <row r="14" spans="1:6" ht="14.25" customHeight="1">
      <c r="A14" s="713" t="s">
        <v>1047</v>
      </c>
      <c r="B14" s="714" t="s">
        <v>1048</v>
      </c>
      <c r="C14" s="715">
        <v>203599</v>
      </c>
      <c r="D14" s="715">
        <v>12329</v>
      </c>
      <c r="E14" s="715">
        <v>22867</v>
      </c>
      <c r="F14" s="721">
        <f t="shared" si="0"/>
        <v>238795</v>
      </c>
    </row>
    <row r="15" spans="1:6" ht="14.25" customHeight="1">
      <c r="A15" s="719" t="s">
        <v>1049</v>
      </c>
      <c r="B15" s="714" t="s">
        <v>1050</v>
      </c>
      <c r="C15" s="720">
        <v>8696</v>
      </c>
      <c r="D15" s="720">
        <v>0</v>
      </c>
      <c r="E15" s="720">
        <v>27607</v>
      </c>
      <c r="F15" s="721">
        <f t="shared" si="0"/>
        <v>36303</v>
      </c>
    </row>
    <row r="16" spans="1:6" ht="14.25" customHeight="1">
      <c r="A16" s="713" t="s">
        <v>1051</v>
      </c>
      <c r="B16" s="714" t="s">
        <v>1052</v>
      </c>
      <c r="C16" s="715">
        <v>76366</v>
      </c>
      <c r="D16" s="715">
        <v>0</v>
      </c>
      <c r="E16" s="715">
        <v>0</v>
      </c>
      <c r="F16" s="721">
        <f t="shared" si="0"/>
        <v>76366</v>
      </c>
    </row>
    <row r="17" spans="1:6" ht="14.25" customHeight="1">
      <c r="A17" s="713" t="s">
        <v>1053</v>
      </c>
      <c r="B17" s="714" t="s">
        <v>1054</v>
      </c>
      <c r="C17" s="715">
        <v>0</v>
      </c>
      <c r="D17" s="715">
        <v>0</v>
      </c>
      <c r="E17" s="715">
        <v>0</v>
      </c>
      <c r="F17" s="721">
        <f t="shared" si="0"/>
        <v>0</v>
      </c>
    </row>
    <row r="18" spans="1:6" ht="14.25" customHeight="1">
      <c r="A18" s="719" t="s">
        <v>1055</v>
      </c>
      <c r="B18" s="714" t="s">
        <v>1056</v>
      </c>
      <c r="C18" s="720">
        <v>85062</v>
      </c>
      <c r="D18" s="720">
        <v>0</v>
      </c>
      <c r="E18" s="720">
        <v>27607</v>
      </c>
      <c r="F18" s="721">
        <f t="shared" si="0"/>
        <v>112669</v>
      </c>
    </row>
    <row r="19" spans="1:6" ht="14.25" customHeight="1">
      <c r="A19" s="722" t="s">
        <v>1057</v>
      </c>
      <c r="B19" s="714" t="s">
        <v>1058</v>
      </c>
      <c r="C19" s="723">
        <f>SUM(C14-C18)</f>
        <v>118537</v>
      </c>
      <c r="D19" s="723">
        <f>SUM(D14-D18)</f>
        <v>12329</v>
      </c>
      <c r="E19" s="723">
        <f>SUM(E14-E18)</f>
        <v>-4740</v>
      </c>
      <c r="F19" s="716">
        <f t="shared" si="0"/>
        <v>126126</v>
      </c>
    </row>
    <row r="20" spans="1:6" ht="14.25" customHeight="1">
      <c r="A20" s="713" t="s">
        <v>1059</v>
      </c>
      <c r="B20" s="714" t="s">
        <v>1060</v>
      </c>
      <c r="C20" s="715">
        <v>238</v>
      </c>
      <c r="D20" s="715"/>
      <c r="E20" s="715"/>
      <c r="F20" s="716">
        <f t="shared" si="0"/>
        <v>238</v>
      </c>
    </row>
    <row r="21" spans="1:6" ht="14.25" customHeight="1">
      <c r="A21" s="713" t="s">
        <v>1061</v>
      </c>
      <c r="B21" s="714" t="s">
        <v>1062</v>
      </c>
      <c r="C21" s="715"/>
      <c r="D21" s="715"/>
      <c r="E21" s="715"/>
      <c r="F21" s="716">
        <f t="shared" si="0"/>
        <v>0</v>
      </c>
    </row>
    <row r="22" spans="1:6" ht="14.25" customHeight="1">
      <c r="A22" s="722" t="s">
        <v>1063</v>
      </c>
      <c r="B22" s="714" t="s">
        <v>1064</v>
      </c>
      <c r="C22" s="723">
        <f>SUM(C20:C21)</f>
        <v>238</v>
      </c>
      <c r="D22" s="723">
        <f>SUM(D20:D21)</f>
        <v>0</v>
      </c>
      <c r="E22" s="723">
        <f>SUM(E20:E21)</f>
        <v>0</v>
      </c>
      <c r="F22" s="716">
        <f t="shared" si="0"/>
        <v>238</v>
      </c>
    </row>
    <row r="23" spans="1:6" ht="14.25" customHeight="1">
      <c r="A23" s="722" t="s">
        <v>1065</v>
      </c>
      <c r="B23" s="714" t="s">
        <v>1066</v>
      </c>
      <c r="C23" s="715"/>
      <c r="D23" s="715"/>
      <c r="E23" s="715"/>
      <c r="F23" s="716">
        <f t="shared" si="0"/>
        <v>0</v>
      </c>
    </row>
    <row r="24" spans="1:6" ht="14.25" customHeight="1">
      <c r="A24" s="717" t="s">
        <v>1067</v>
      </c>
      <c r="B24" s="714" t="s">
        <v>1068</v>
      </c>
      <c r="C24" s="718">
        <f>SUM(C7+C10+C19-C22+C23)</f>
        <v>815721</v>
      </c>
      <c r="D24" s="718">
        <f>SUM(D7+D10+D19-D22+D23)</f>
        <v>27694</v>
      </c>
      <c r="E24" s="718">
        <f>SUM(E7+E10+E19-E22+E23)</f>
        <v>47470</v>
      </c>
      <c r="F24" s="724">
        <f>SUM(F7+F10+F19-F22+F23)</f>
        <v>890885</v>
      </c>
    </row>
    <row r="25" spans="1:6" ht="14.25" customHeight="1">
      <c r="A25" s="713" t="s">
        <v>1069</v>
      </c>
      <c r="B25" s="714" t="s">
        <v>1070</v>
      </c>
      <c r="C25" s="715"/>
      <c r="D25" s="715"/>
      <c r="E25" s="715"/>
      <c r="F25" s="716">
        <f t="shared" si="0"/>
        <v>0</v>
      </c>
    </row>
    <row r="26" spans="1:6" ht="14.25" customHeight="1">
      <c r="A26" s="713" t="s">
        <v>1071</v>
      </c>
      <c r="B26" s="714" t="s">
        <v>1072</v>
      </c>
      <c r="C26" s="715"/>
      <c r="D26" s="715"/>
      <c r="E26" s="715"/>
      <c r="F26" s="716">
        <f t="shared" si="0"/>
        <v>0</v>
      </c>
    </row>
    <row r="27" spans="1:6" ht="14.25" customHeight="1">
      <c r="A27" s="719" t="s">
        <v>1073</v>
      </c>
      <c r="B27" s="714" t="s">
        <v>1074</v>
      </c>
      <c r="C27" s="720">
        <v>-8105</v>
      </c>
      <c r="D27" s="720">
        <v>8105</v>
      </c>
      <c r="E27" s="720"/>
      <c r="F27" s="716">
        <f t="shared" si="0"/>
        <v>0</v>
      </c>
    </row>
    <row r="28" spans="1:6" ht="14.25" customHeight="1">
      <c r="A28" s="713" t="s">
        <v>1075</v>
      </c>
      <c r="B28" s="714" t="s">
        <v>1076</v>
      </c>
      <c r="C28" s="715">
        <v>35157</v>
      </c>
      <c r="D28" s="715"/>
      <c r="E28" s="715"/>
      <c r="F28" s="716">
        <f t="shared" si="0"/>
        <v>35157</v>
      </c>
    </row>
    <row r="29" spans="1:6" ht="14.25" customHeight="1">
      <c r="A29" s="722" t="s">
        <v>1077</v>
      </c>
      <c r="B29" s="714" t="s">
        <v>1078</v>
      </c>
      <c r="C29" s="723">
        <f>SUM(C25:C28)</f>
        <v>27052</v>
      </c>
      <c r="D29" s="723">
        <f>SUM(D25:D28)</f>
        <v>8105</v>
      </c>
      <c r="E29" s="723">
        <f>SUM(E25:E28)</f>
        <v>0</v>
      </c>
      <c r="F29" s="716">
        <f t="shared" si="0"/>
        <v>35157</v>
      </c>
    </row>
    <row r="30" spans="1:6" ht="14.25" customHeight="1">
      <c r="A30" s="722" t="s">
        <v>1079</v>
      </c>
      <c r="B30" s="714" t="s">
        <v>1080</v>
      </c>
      <c r="C30" s="715"/>
      <c r="D30" s="715"/>
      <c r="E30" s="715"/>
      <c r="F30" s="716">
        <f t="shared" si="0"/>
        <v>0</v>
      </c>
    </row>
    <row r="31" spans="1:6" ht="14.25" customHeight="1">
      <c r="A31" s="722" t="s">
        <v>1081</v>
      </c>
      <c r="B31" s="714" t="s">
        <v>1082</v>
      </c>
      <c r="C31" s="723">
        <f>SUM(C24+C29+C30)</f>
        <v>842773</v>
      </c>
      <c r="D31" s="723">
        <f>SUM(D24+D29+D30)</f>
        <v>35799</v>
      </c>
      <c r="E31" s="723">
        <f>SUM(E24+E29+E30)</f>
        <v>47470</v>
      </c>
      <c r="F31" s="716">
        <f t="shared" si="0"/>
        <v>926042</v>
      </c>
    </row>
    <row r="32" spans="1:6" ht="14.25" customHeight="1">
      <c r="A32" s="713" t="s">
        <v>1083</v>
      </c>
      <c r="B32" s="714" t="s">
        <v>1084</v>
      </c>
      <c r="C32" s="715"/>
      <c r="D32" s="715"/>
      <c r="E32" s="715"/>
      <c r="F32" s="716">
        <f t="shared" si="0"/>
        <v>0</v>
      </c>
    </row>
    <row r="33" spans="1:6" ht="14.25" customHeight="1">
      <c r="A33" s="725" t="s">
        <v>1085</v>
      </c>
      <c r="B33" s="714" t="s">
        <v>1086</v>
      </c>
      <c r="C33" s="726"/>
      <c r="D33" s="726"/>
      <c r="E33" s="726"/>
      <c r="F33" s="716">
        <f t="shared" si="0"/>
        <v>0</v>
      </c>
    </row>
    <row r="34" spans="1:6" ht="14.25" customHeight="1">
      <c r="A34" s="727" t="s">
        <v>1087</v>
      </c>
      <c r="B34" s="714" t="s">
        <v>1088</v>
      </c>
      <c r="C34" s="728">
        <f>SUM(C31:C33)</f>
        <v>842773</v>
      </c>
      <c r="D34" s="728">
        <f>SUM(D31:D33)</f>
        <v>35799</v>
      </c>
      <c r="E34" s="728">
        <f>SUM(E31:E33)</f>
        <v>47470</v>
      </c>
      <c r="F34" s="716">
        <f t="shared" si="0"/>
        <v>926042</v>
      </c>
    </row>
    <row r="35" spans="1:6" ht="32.25" customHeight="1">
      <c r="A35" s="725" t="s">
        <v>1089</v>
      </c>
      <c r="B35" s="729" t="s">
        <v>1090</v>
      </c>
      <c r="C35" s="730"/>
      <c r="D35" s="730"/>
      <c r="E35" s="730"/>
      <c r="F35" s="716">
        <f t="shared" si="0"/>
        <v>0</v>
      </c>
    </row>
    <row r="36" spans="1:6" ht="14.25" customHeight="1">
      <c r="A36" s="725" t="s">
        <v>1091</v>
      </c>
      <c r="B36" s="714" t="s">
        <v>1092</v>
      </c>
      <c r="C36" s="728">
        <f>SUM(C37:C38)</f>
        <v>842773</v>
      </c>
      <c r="D36" s="728">
        <f>SUM(D37:D38)</f>
        <v>35799</v>
      </c>
      <c r="E36" s="728">
        <f>SUM(E37:E38)</f>
        <v>47470</v>
      </c>
      <c r="F36" s="716">
        <f t="shared" si="0"/>
        <v>926042</v>
      </c>
    </row>
    <row r="37" spans="1:6" ht="14.25" customHeight="1">
      <c r="A37" s="725" t="s">
        <v>1093</v>
      </c>
      <c r="B37" s="714" t="s">
        <v>1094</v>
      </c>
      <c r="C37" s="726">
        <v>16200</v>
      </c>
      <c r="D37" s="726">
        <v>35799</v>
      </c>
      <c r="E37" s="726">
        <v>47470</v>
      </c>
      <c r="F37" s="716">
        <f t="shared" si="0"/>
        <v>99469</v>
      </c>
    </row>
    <row r="38" spans="1:6" ht="14.25" customHeight="1">
      <c r="A38" s="725" t="s">
        <v>1095</v>
      </c>
      <c r="B38" s="714" t="s">
        <v>1096</v>
      </c>
      <c r="C38" s="726">
        <v>826573</v>
      </c>
      <c r="D38" s="726"/>
      <c r="E38" s="726"/>
      <c r="F38" s="716">
        <f t="shared" si="0"/>
        <v>826573</v>
      </c>
    </row>
    <row r="39" spans="1:6" ht="14.25" customHeight="1">
      <c r="A39" s="725" t="s">
        <v>1097</v>
      </c>
      <c r="B39" s="714" t="s">
        <v>1098</v>
      </c>
      <c r="C39" s="726"/>
      <c r="D39" s="726"/>
      <c r="E39" s="726"/>
      <c r="F39" s="716">
        <f t="shared" si="0"/>
        <v>0</v>
      </c>
    </row>
    <row r="40" spans="1:6" ht="14.25" customHeight="1">
      <c r="A40" s="725" t="s">
        <v>1099</v>
      </c>
      <c r="B40" s="714" t="s">
        <v>1100</v>
      </c>
      <c r="C40" s="726"/>
      <c r="D40" s="726"/>
      <c r="E40" s="726"/>
      <c r="F40" s="716">
        <f t="shared" si="0"/>
        <v>0</v>
      </c>
    </row>
    <row r="41" spans="1:6" ht="15" customHeight="1">
      <c r="A41" s="731" t="s">
        <v>1101</v>
      </c>
      <c r="B41" s="732" t="s">
        <v>1102</v>
      </c>
      <c r="C41" s="733"/>
      <c r="D41" s="733"/>
      <c r="E41" s="733"/>
      <c r="F41" s="734">
        <f t="shared" si="0"/>
        <v>0</v>
      </c>
    </row>
    <row r="42" ht="15"/>
  </sheetData>
  <sheetProtection selectLockedCells="1" selectUnlockedCells="1"/>
  <mergeCells count="1">
    <mergeCell ref="A1:F1"/>
  </mergeCells>
  <printOptions horizontalCentered="1"/>
  <pageMargins left="0.7875" right="0.7875" top="0.39375" bottom="0.31527777777777777" header="0.2361111111111111" footer="0.5118055555555555"/>
  <pageSetup horizontalDpi="300" verticalDpi="300" orientation="landscape" paperSize="9" scale="85"/>
  <headerFooter alignWithMargins="0">
    <oddHeader>&amp;L15. melléklet a 16/2011.(V.02.)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5:R30"/>
  <sheetViews>
    <sheetView workbookViewId="0" topLeftCell="A1">
      <selection activeCell="G27" sqref="G27"/>
    </sheetView>
  </sheetViews>
  <sheetFormatPr defaultColWidth="9.00390625" defaultRowHeight="12.75"/>
  <cols>
    <col min="1" max="1" width="31.00390625" style="1" customWidth="1"/>
    <col min="2" max="2" width="10.625" style="1" customWidth="1"/>
    <col min="3" max="4" width="8.875" style="1" customWidth="1"/>
    <col min="5" max="5" width="9.125" style="1" customWidth="1"/>
    <col min="6" max="6" width="8.75390625" style="1" customWidth="1"/>
    <col min="7" max="7" width="7.875" style="1" customWidth="1"/>
    <col min="8" max="8" width="8.375" style="1" customWidth="1"/>
    <col min="9" max="9" width="7.75390625" style="1" customWidth="1"/>
    <col min="10" max="10" width="9.75390625" style="1" customWidth="1"/>
    <col min="11" max="11" width="8.75390625" style="1" customWidth="1"/>
    <col min="12" max="12" width="8.625" style="1" customWidth="1"/>
    <col min="13" max="13" width="8.875" style="1" customWidth="1"/>
    <col min="14" max="14" width="9.125" style="1" customWidth="1"/>
    <col min="15" max="15" width="9.75390625" style="1" customWidth="1"/>
    <col min="16" max="16" width="11.625" style="1" customWidth="1"/>
    <col min="17" max="17" width="9.875" style="1" customWidth="1"/>
    <col min="18" max="18" width="9.375" style="1" customWidth="1"/>
    <col min="19" max="16384" width="9.125" style="1" customWidth="1"/>
  </cols>
  <sheetData>
    <row r="5" spans="1:18" ht="15.75">
      <c r="A5" s="466" t="s">
        <v>1103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</row>
    <row r="6" spans="1:18" ht="15.75">
      <c r="A6" s="735"/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6"/>
      <c r="M6" s="736"/>
      <c r="N6" s="736"/>
      <c r="O6" s="736"/>
      <c r="P6" s="736"/>
      <c r="Q6" s="736"/>
      <c r="R6" s="736"/>
    </row>
    <row r="7" spans="1:18" ht="15.75">
      <c r="A7" s="735"/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6"/>
      <c r="M7" s="736"/>
      <c r="N7" s="736"/>
      <c r="O7" s="736"/>
      <c r="P7" s="736"/>
      <c r="Q7" s="736"/>
      <c r="R7" s="736"/>
    </row>
    <row r="8" spans="1:18" ht="15.75">
      <c r="A8" s="735"/>
      <c r="B8" s="735"/>
      <c r="C8" s="735"/>
      <c r="D8" s="735"/>
      <c r="E8" s="735"/>
      <c r="F8" s="735"/>
      <c r="G8" s="735"/>
      <c r="H8" s="735"/>
      <c r="I8" s="735"/>
      <c r="J8" s="735"/>
      <c r="K8" s="735"/>
      <c r="L8" s="736"/>
      <c r="M8" s="736"/>
      <c r="N8" s="736"/>
      <c r="O8" s="736"/>
      <c r="P8" s="736"/>
      <c r="Q8" s="736"/>
      <c r="R8" s="736"/>
    </row>
    <row r="9" ht="13.5"/>
    <row r="10" spans="1:18" ht="13.5" customHeight="1">
      <c r="A10" s="737" t="s">
        <v>790</v>
      </c>
      <c r="B10" s="738" t="s">
        <v>1104</v>
      </c>
      <c r="C10" s="738" t="s">
        <v>1105</v>
      </c>
      <c r="D10" s="739" t="s">
        <v>1106</v>
      </c>
      <c r="E10" s="740" t="s">
        <v>916</v>
      </c>
      <c r="F10" s="740"/>
      <c r="G10" s="741" t="s">
        <v>1107</v>
      </c>
      <c r="H10" s="741"/>
      <c r="I10" s="741"/>
      <c r="J10" s="741"/>
      <c r="K10" s="741"/>
      <c r="L10" s="741"/>
      <c r="M10" s="741"/>
      <c r="N10" s="741" t="s">
        <v>1108</v>
      </c>
      <c r="O10" s="741"/>
      <c r="P10" s="741"/>
      <c r="Q10" s="738" t="s">
        <v>1109</v>
      </c>
      <c r="R10" s="742" t="s">
        <v>151</v>
      </c>
    </row>
    <row r="11" spans="1:18" ht="12.75" customHeight="1">
      <c r="A11" s="737"/>
      <c r="B11" s="738"/>
      <c r="C11" s="738"/>
      <c r="D11" s="739"/>
      <c r="E11" s="743" t="s">
        <v>1110</v>
      </c>
      <c r="F11" s="743"/>
      <c r="G11" s="744" t="s">
        <v>1111</v>
      </c>
      <c r="H11" s="744" t="s">
        <v>93</v>
      </c>
      <c r="I11" s="744" t="s">
        <v>364</v>
      </c>
      <c r="J11" s="745" t="s">
        <v>1112</v>
      </c>
      <c r="K11" s="745" t="s">
        <v>35</v>
      </c>
      <c r="L11" s="746" t="s">
        <v>1113</v>
      </c>
      <c r="M11" s="747" t="s">
        <v>1114</v>
      </c>
      <c r="N11" s="744" t="s">
        <v>1108</v>
      </c>
      <c r="O11" s="744" t="s">
        <v>1115</v>
      </c>
      <c r="P11" s="744" t="s">
        <v>1116</v>
      </c>
      <c r="Q11" s="738"/>
      <c r="R11" s="742"/>
    </row>
    <row r="12" spans="1:18" ht="12.75">
      <c r="A12" s="737"/>
      <c r="B12" s="738"/>
      <c r="C12" s="738"/>
      <c r="D12" s="739"/>
      <c r="E12" s="748" t="s">
        <v>1117</v>
      </c>
      <c r="F12" s="748"/>
      <c r="G12" s="744"/>
      <c r="H12" s="744"/>
      <c r="I12" s="744"/>
      <c r="J12" s="745" t="s">
        <v>1118</v>
      </c>
      <c r="K12" s="745"/>
      <c r="L12" s="746"/>
      <c r="M12" s="747"/>
      <c r="N12" s="747"/>
      <c r="O12" s="747"/>
      <c r="P12" s="747"/>
      <c r="Q12" s="738"/>
      <c r="R12" s="742"/>
    </row>
    <row r="13" spans="1:18" ht="13.5">
      <c r="A13" s="737"/>
      <c r="B13" s="738"/>
      <c r="C13" s="738"/>
      <c r="D13" s="739"/>
      <c r="E13" s="749" t="s">
        <v>1119</v>
      </c>
      <c r="F13" s="750" t="s">
        <v>1120</v>
      </c>
      <c r="G13" s="744"/>
      <c r="H13" s="744"/>
      <c r="I13" s="744"/>
      <c r="J13" s="751" t="s">
        <v>1121</v>
      </c>
      <c r="K13" s="751"/>
      <c r="L13" s="746"/>
      <c r="M13" s="747"/>
      <c r="N13" s="747"/>
      <c r="O13" s="747"/>
      <c r="P13" s="747"/>
      <c r="Q13" s="738"/>
      <c r="R13" s="742"/>
    </row>
    <row r="14" spans="1:18" ht="13.5">
      <c r="A14" s="201" t="s">
        <v>1122</v>
      </c>
      <c r="B14" s="24">
        <v>815721</v>
      </c>
      <c r="C14" s="24">
        <v>27052</v>
      </c>
      <c r="D14" s="752">
        <f>SUM(B14:C14)</f>
        <v>842773</v>
      </c>
      <c r="E14" s="34">
        <v>36829</v>
      </c>
      <c r="F14" s="753">
        <v>565103</v>
      </c>
      <c r="G14" s="753">
        <v>2828</v>
      </c>
      <c r="H14" s="753">
        <v>687</v>
      </c>
      <c r="I14" s="753">
        <v>440</v>
      </c>
      <c r="J14" s="753"/>
      <c r="K14" s="753">
        <v>99649</v>
      </c>
      <c r="L14" s="753"/>
      <c r="M14" s="753">
        <v>4568</v>
      </c>
      <c r="N14" s="753">
        <v>132669</v>
      </c>
      <c r="O14" s="754"/>
      <c r="P14" s="754"/>
      <c r="Q14" s="754"/>
      <c r="R14" s="755">
        <f>SUM(E14:Q14)</f>
        <v>842773</v>
      </c>
    </row>
    <row r="15" spans="1:18" ht="12.75">
      <c r="A15" s="201"/>
      <c r="B15" s="24"/>
      <c r="C15" s="24"/>
      <c r="D15" s="752"/>
      <c r="E15" s="34"/>
      <c r="F15" s="753"/>
      <c r="G15" s="753"/>
      <c r="H15" s="753"/>
      <c r="I15" s="753"/>
      <c r="J15" s="753"/>
      <c r="K15" s="753"/>
      <c r="L15" s="753"/>
      <c r="M15" s="753"/>
      <c r="N15" s="753"/>
      <c r="O15" s="754"/>
      <c r="P15" s="754"/>
      <c r="Q15" s="754"/>
      <c r="R15" s="755"/>
    </row>
    <row r="16" spans="1:18" ht="12.75">
      <c r="A16" s="201" t="s">
        <v>1123</v>
      </c>
      <c r="B16" s="24">
        <f>SUM(B17:B19)</f>
        <v>440</v>
      </c>
      <c r="C16" s="24"/>
      <c r="D16" s="752">
        <f>SUM(D17:D19)</f>
        <v>440</v>
      </c>
      <c r="E16" s="34"/>
      <c r="F16" s="754"/>
      <c r="G16" s="754"/>
      <c r="H16" s="754"/>
      <c r="I16" s="754">
        <f>SUM(I17:I19)</f>
        <v>440</v>
      </c>
      <c r="J16" s="754"/>
      <c r="K16" s="754"/>
      <c r="L16" s="754"/>
      <c r="M16" s="754"/>
      <c r="N16" s="753"/>
      <c r="O16" s="754"/>
      <c r="P16" s="754"/>
      <c r="Q16" s="754"/>
      <c r="R16" s="755">
        <f>SUM(E16:Q16)</f>
        <v>440</v>
      </c>
    </row>
    <row r="17" spans="1:18" ht="12.75">
      <c r="A17" s="756" t="s">
        <v>1124</v>
      </c>
      <c r="B17" s="753">
        <v>8</v>
      </c>
      <c r="C17" s="24"/>
      <c r="D17" s="757">
        <v>8</v>
      </c>
      <c r="E17" s="34"/>
      <c r="F17" s="753"/>
      <c r="G17" s="753"/>
      <c r="H17" s="753"/>
      <c r="I17" s="753">
        <v>8</v>
      </c>
      <c r="J17" s="753"/>
      <c r="K17" s="753"/>
      <c r="L17" s="753"/>
      <c r="M17" s="753"/>
      <c r="N17" s="753"/>
      <c r="O17" s="754"/>
      <c r="P17" s="754"/>
      <c r="Q17" s="754"/>
      <c r="R17" s="755">
        <f aca="true" t="shared" si="0" ref="R17:R23">SUM(E17:Q17)</f>
        <v>8</v>
      </c>
    </row>
    <row r="18" spans="1:18" ht="12.75">
      <c r="A18" s="71" t="s">
        <v>1125</v>
      </c>
      <c r="B18" s="32">
        <v>17</v>
      </c>
      <c r="C18" s="32"/>
      <c r="D18" s="757">
        <v>17</v>
      </c>
      <c r="E18" s="33"/>
      <c r="F18" s="32"/>
      <c r="G18" s="32"/>
      <c r="H18" s="32"/>
      <c r="I18" s="32">
        <v>17</v>
      </c>
      <c r="J18" s="32"/>
      <c r="K18" s="32"/>
      <c r="L18" s="753"/>
      <c r="M18" s="753"/>
      <c r="N18" s="753"/>
      <c r="O18" s="754"/>
      <c r="P18" s="754"/>
      <c r="Q18" s="754"/>
      <c r="R18" s="755">
        <f t="shared" si="0"/>
        <v>17</v>
      </c>
    </row>
    <row r="19" spans="1:18" ht="12.75">
      <c r="A19" s="71" t="s">
        <v>1126</v>
      </c>
      <c r="B19" s="32">
        <v>415</v>
      </c>
      <c r="C19" s="32"/>
      <c r="D19" s="757">
        <v>415</v>
      </c>
      <c r="E19" s="33"/>
      <c r="F19" s="32"/>
      <c r="G19" s="32"/>
      <c r="H19" s="32"/>
      <c r="I19" s="32">
        <v>415</v>
      </c>
      <c r="J19" s="32"/>
      <c r="K19" s="32"/>
      <c r="L19" s="753"/>
      <c r="M19" s="753"/>
      <c r="N19" s="753"/>
      <c r="O19" s="754"/>
      <c r="P19" s="754"/>
      <c r="Q19" s="754"/>
      <c r="R19" s="755">
        <f t="shared" si="0"/>
        <v>415</v>
      </c>
    </row>
    <row r="20" spans="1:18" ht="12.75">
      <c r="A20" s="71"/>
      <c r="B20" s="32"/>
      <c r="C20" s="32"/>
      <c r="D20" s="752"/>
      <c r="E20" s="33"/>
      <c r="F20" s="32"/>
      <c r="G20" s="32"/>
      <c r="H20" s="32"/>
      <c r="I20" s="32"/>
      <c r="J20" s="32"/>
      <c r="K20" s="32"/>
      <c r="L20" s="753"/>
      <c r="M20" s="753"/>
      <c r="N20" s="753"/>
      <c r="O20" s="754"/>
      <c r="P20" s="754"/>
      <c r="Q20" s="754"/>
      <c r="R20" s="755"/>
    </row>
    <row r="21" spans="1:18" ht="12.75">
      <c r="A21" s="204" t="s">
        <v>1127</v>
      </c>
      <c r="B21" s="37">
        <v>47470</v>
      </c>
      <c r="C21" s="37"/>
      <c r="D21" s="752">
        <f>SUM(B21:C21)</f>
        <v>47470</v>
      </c>
      <c r="E21" s="758"/>
      <c r="F21" s="32"/>
      <c r="G21" s="32"/>
      <c r="H21" s="32"/>
      <c r="I21" s="32">
        <v>45145</v>
      </c>
      <c r="J21" s="32"/>
      <c r="K21" s="32">
        <v>2325</v>
      </c>
      <c r="L21" s="753"/>
      <c r="M21" s="753"/>
      <c r="N21" s="753"/>
      <c r="O21" s="754"/>
      <c r="P21" s="754"/>
      <c r="Q21" s="754"/>
      <c r="R21" s="755">
        <f t="shared" si="0"/>
        <v>47470</v>
      </c>
    </row>
    <row r="22" spans="1:18" ht="12.75">
      <c r="A22" s="71"/>
      <c r="B22" s="32"/>
      <c r="C22" s="32"/>
      <c r="D22" s="752"/>
      <c r="E22" s="33"/>
      <c r="F22" s="32"/>
      <c r="G22" s="32"/>
      <c r="H22" s="32"/>
      <c r="I22" s="32"/>
      <c r="J22" s="32"/>
      <c r="K22" s="32"/>
      <c r="L22" s="753"/>
      <c r="M22" s="753"/>
      <c r="N22" s="753"/>
      <c r="O22" s="754"/>
      <c r="P22" s="754"/>
      <c r="Q22" s="754"/>
      <c r="R22" s="755"/>
    </row>
    <row r="23" spans="1:18" ht="12.75">
      <c r="A23" s="204" t="s">
        <v>1128</v>
      </c>
      <c r="B23" s="37">
        <v>27694</v>
      </c>
      <c r="C23" s="37">
        <v>8105</v>
      </c>
      <c r="D23" s="752">
        <f>SUM(B23:C23)</f>
        <v>35799</v>
      </c>
      <c r="E23" s="33"/>
      <c r="F23" s="32"/>
      <c r="G23" s="32">
        <v>6387</v>
      </c>
      <c r="H23" s="32">
        <v>843</v>
      </c>
      <c r="I23" s="32">
        <v>23077</v>
      </c>
      <c r="J23" s="32"/>
      <c r="K23" s="32">
        <v>3179</v>
      </c>
      <c r="L23" s="753"/>
      <c r="M23" s="753"/>
      <c r="N23" s="753"/>
      <c r="O23" s="754"/>
      <c r="P23" s="754"/>
      <c r="Q23" s="754">
        <v>2313</v>
      </c>
      <c r="R23" s="755">
        <f t="shared" si="0"/>
        <v>35799</v>
      </c>
    </row>
    <row r="24" spans="1:18" ht="12.75">
      <c r="A24" s="217"/>
      <c r="B24" s="179"/>
      <c r="C24" s="179"/>
      <c r="D24" s="759"/>
      <c r="E24" s="760"/>
      <c r="F24" s="761"/>
      <c r="G24" s="761"/>
      <c r="H24" s="761"/>
      <c r="I24" s="761"/>
      <c r="J24" s="761"/>
      <c r="K24" s="761"/>
      <c r="L24" s="761"/>
      <c r="M24" s="761"/>
      <c r="N24" s="753"/>
      <c r="O24" s="754"/>
      <c r="P24" s="754"/>
      <c r="Q24" s="754"/>
      <c r="R24" s="762"/>
    </row>
    <row r="25" spans="1:18" ht="13.5">
      <c r="A25" s="495" t="s">
        <v>1129</v>
      </c>
      <c r="B25" s="99">
        <f>SUM(B14+B21+B23)</f>
        <v>890885</v>
      </c>
      <c r="C25" s="99">
        <f>SUM(C14+C21+C23)</f>
        <v>35157</v>
      </c>
      <c r="D25" s="763">
        <f>SUM(B25:C25)</f>
        <v>926042</v>
      </c>
      <c r="E25" s="764">
        <f aca="true" t="shared" si="1" ref="E25:R25">SUM(E14+E21+E23)</f>
        <v>36829</v>
      </c>
      <c r="F25" s="99">
        <f t="shared" si="1"/>
        <v>565103</v>
      </c>
      <c r="G25" s="99">
        <f t="shared" si="1"/>
        <v>9215</v>
      </c>
      <c r="H25" s="99">
        <f t="shared" si="1"/>
        <v>1530</v>
      </c>
      <c r="I25" s="99">
        <f t="shared" si="1"/>
        <v>68662</v>
      </c>
      <c r="J25" s="99">
        <f t="shared" si="1"/>
        <v>0</v>
      </c>
      <c r="K25" s="99">
        <f t="shared" si="1"/>
        <v>105153</v>
      </c>
      <c r="L25" s="99">
        <f t="shared" si="1"/>
        <v>0</v>
      </c>
      <c r="M25" s="99">
        <f t="shared" si="1"/>
        <v>4568</v>
      </c>
      <c r="N25" s="99">
        <f t="shared" si="1"/>
        <v>132669</v>
      </c>
      <c r="O25" s="99">
        <f t="shared" si="1"/>
        <v>0</v>
      </c>
      <c r="P25" s="99">
        <f t="shared" si="1"/>
        <v>0</v>
      </c>
      <c r="Q25" s="99">
        <f t="shared" si="1"/>
        <v>2313</v>
      </c>
      <c r="R25" s="182">
        <f t="shared" si="1"/>
        <v>926042</v>
      </c>
    </row>
    <row r="26" spans="1:18" ht="13.5">
      <c r="A26" s="58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8" spans="1:5" ht="12.75">
      <c r="A28" s="736"/>
      <c r="B28" s="736"/>
      <c r="C28" s="736"/>
      <c r="D28" s="736"/>
      <c r="E28" s="4"/>
    </row>
    <row r="30" ht="12.75">
      <c r="G30" s="4"/>
    </row>
  </sheetData>
  <sheetProtection selectLockedCells="1" selectUnlockedCells="1"/>
  <mergeCells count="20">
    <mergeCell ref="A5:R5"/>
    <mergeCell ref="A10:A13"/>
    <mergeCell ref="B10:B13"/>
    <mergeCell ref="C10:C13"/>
    <mergeCell ref="D10:D13"/>
    <mergeCell ref="E10:F10"/>
    <mergeCell ref="G10:M10"/>
    <mergeCell ref="N10:P10"/>
    <mergeCell ref="Q10:Q13"/>
    <mergeCell ref="R10:R13"/>
    <mergeCell ref="E11:F11"/>
    <mergeCell ref="G11:G13"/>
    <mergeCell ref="H11:H13"/>
    <mergeCell ref="I11:I13"/>
    <mergeCell ref="L11:L13"/>
    <mergeCell ref="M11:M13"/>
    <mergeCell ref="N11:N13"/>
    <mergeCell ref="O11:O13"/>
    <mergeCell ref="P11:P13"/>
    <mergeCell ref="E12:F12"/>
  </mergeCells>
  <printOptions/>
  <pageMargins left="0.30972222222222223" right="0.3798611111111111" top="0.9840277777777777" bottom="0.9840277777777777" header="0.5" footer="0.5118055555555555"/>
  <pageSetup horizontalDpi="300" verticalDpi="300" orientation="landscape" paperSize="9" scale="75"/>
  <headerFooter alignWithMargins="0">
    <oddHeader>&amp;L15. melléklet a 16/2011.(V.02.)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W65"/>
  <sheetViews>
    <sheetView workbookViewId="0" topLeftCell="A1">
      <selection activeCell="A67" sqref="A67"/>
    </sheetView>
  </sheetViews>
  <sheetFormatPr defaultColWidth="9.00390625" defaultRowHeight="12.75"/>
  <cols>
    <col min="1" max="1" width="56.375" style="765" customWidth="1"/>
    <col min="2" max="3" width="12.00390625" style="765" customWidth="1"/>
    <col min="4" max="4" width="15.25390625" style="766" customWidth="1"/>
    <col min="5" max="6" width="9.125" style="767" customWidth="1"/>
    <col min="7" max="7" width="12.625" style="768" customWidth="1"/>
    <col min="8" max="8" width="12.00390625" style="765" customWidth="1"/>
    <col min="9" max="9" width="6.75390625" style="765" customWidth="1"/>
    <col min="10" max="16384" width="9.125" style="765" customWidth="1"/>
  </cols>
  <sheetData>
    <row r="2" spans="1:9" ht="12.75">
      <c r="A2" s="184" t="s">
        <v>1130</v>
      </c>
      <c r="B2" s="184"/>
      <c r="C2" s="184"/>
      <c r="D2" s="184"/>
      <c r="E2" s="184"/>
      <c r="F2" s="184"/>
      <c r="G2" s="184"/>
      <c r="H2" s="184"/>
      <c r="I2" s="184"/>
    </row>
    <row r="3" ht="12.75"/>
    <row r="4" spans="1:9" ht="12" customHeight="1">
      <c r="A4" s="769" t="s">
        <v>1131</v>
      </c>
      <c r="B4" s="770" t="s">
        <v>1132</v>
      </c>
      <c r="C4" s="770"/>
      <c r="D4" s="770"/>
      <c r="E4" s="770" t="s">
        <v>1133</v>
      </c>
      <c r="F4" s="770"/>
      <c r="G4" s="770"/>
      <c r="H4" s="771" t="s">
        <v>1134</v>
      </c>
      <c r="I4" s="771"/>
    </row>
    <row r="5" spans="1:9" ht="12" customHeight="1">
      <c r="A5" s="772"/>
      <c r="B5" s="773" t="s">
        <v>1135</v>
      </c>
      <c r="C5" s="773" t="s">
        <v>1136</v>
      </c>
      <c r="D5" s="774" t="s">
        <v>1137</v>
      </c>
      <c r="E5" s="775" t="s">
        <v>1135</v>
      </c>
      <c r="F5" s="775" t="s">
        <v>1136</v>
      </c>
      <c r="G5" s="776" t="s">
        <v>1137</v>
      </c>
      <c r="H5" s="777" t="s">
        <v>1138</v>
      </c>
      <c r="I5" s="778"/>
    </row>
    <row r="6" spans="1:9" ht="12" customHeight="1">
      <c r="A6" s="779" t="s">
        <v>1139</v>
      </c>
      <c r="B6" s="773"/>
      <c r="C6" s="773"/>
      <c r="D6" s="780"/>
      <c r="E6" s="781"/>
      <c r="F6" s="773"/>
      <c r="G6" s="776"/>
      <c r="H6" s="782"/>
      <c r="I6" s="782"/>
    </row>
    <row r="7" spans="1:9" ht="12" customHeight="1">
      <c r="A7" s="783" t="s">
        <v>1140</v>
      </c>
      <c r="B7" s="784">
        <v>23922</v>
      </c>
      <c r="C7" s="784">
        <v>1947</v>
      </c>
      <c r="D7" s="785">
        <f>B7*C7</f>
        <v>46576134</v>
      </c>
      <c r="E7" s="781">
        <v>23922</v>
      </c>
      <c r="F7" s="784">
        <v>1947</v>
      </c>
      <c r="G7" s="786">
        <f>E7*F7</f>
        <v>46576134</v>
      </c>
      <c r="H7" s="787">
        <f>G7-D7</f>
        <v>0</v>
      </c>
      <c r="I7" s="787"/>
    </row>
    <row r="8" spans="1:9" ht="12" customHeight="1">
      <c r="A8" s="783" t="s">
        <v>1141</v>
      </c>
      <c r="B8" s="784">
        <v>618</v>
      </c>
      <c r="C8" s="784">
        <v>2612</v>
      </c>
      <c r="D8" s="785">
        <f>B8*C8</f>
        <v>1614216</v>
      </c>
      <c r="E8" s="781">
        <v>618</v>
      </c>
      <c r="F8" s="784">
        <v>2612</v>
      </c>
      <c r="G8" s="786">
        <f>E8*F8</f>
        <v>1614216</v>
      </c>
      <c r="H8" s="787">
        <f aca="true" t="shared" si="0" ref="H8:H63">G8-D8</f>
        <v>0</v>
      </c>
      <c r="I8" s="787"/>
    </row>
    <row r="9" spans="1:9" ht="12" customHeight="1">
      <c r="A9" s="783" t="s">
        <v>1142</v>
      </c>
      <c r="B9" s="784"/>
      <c r="C9" s="784"/>
      <c r="D9" s="785">
        <v>31785744</v>
      </c>
      <c r="E9" s="781"/>
      <c r="F9" s="784"/>
      <c r="G9" s="788">
        <v>31785744</v>
      </c>
      <c r="H9" s="787">
        <f t="shared" si="0"/>
        <v>0</v>
      </c>
      <c r="I9" s="787"/>
    </row>
    <row r="10" spans="1:9" ht="12" customHeight="1">
      <c r="A10" s="783" t="s">
        <v>1143</v>
      </c>
      <c r="B10" s="784">
        <v>15000000</v>
      </c>
      <c r="C10" s="784">
        <v>1</v>
      </c>
      <c r="D10" s="785">
        <v>15000000</v>
      </c>
      <c r="E10" s="781">
        <v>15560934</v>
      </c>
      <c r="F10" s="784">
        <v>1</v>
      </c>
      <c r="G10" s="786">
        <v>15560934</v>
      </c>
      <c r="H10" s="787">
        <f t="shared" si="0"/>
        <v>560934</v>
      </c>
      <c r="I10" s="787"/>
    </row>
    <row r="11" spans="1:9" s="791" customFormat="1" ht="12" customHeight="1">
      <c r="A11" s="393" t="s">
        <v>1144</v>
      </c>
      <c r="B11" s="394">
        <v>0</v>
      </c>
      <c r="C11" s="394">
        <v>0</v>
      </c>
      <c r="D11" s="789">
        <v>426859040</v>
      </c>
      <c r="E11" s="790"/>
      <c r="F11" s="394">
        <v>0</v>
      </c>
      <c r="G11" s="394">
        <v>426859040</v>
      </c>
      <c r="H11" s="787">
        <f t="shared" si="0"/>
        <v>0</v>
      </c>
      <c r="I11" s="787"/>
    </row>
    <row r="12" spans="1:9" s="791" customFormat="1" ht="12" customHeight="1">
      <c r="A12" s="393"/>
      <c r="B12" s="394"/>
      <c r="C12" s="394"/>
      <c r="D12" s="792"/>
      <c r="E12" s="790"/>
      <c r="F12" s="394"/>
      <c r="G12" s="379"/>
      <c r="H12" s="787"/>
      <c r="I12" s="787"/>
    </row>
    <row r="13" spans="1:9" s="791" customFormat="1" ht="12" customHeight="1">
      <c r="A13" s="599" t="s">
        <v>1145</v>
      </c>
      <c r="B13" s="394"/>
      <c r="C13" s="394"/>
      <c r="D13" s="379">
        <f>SUM(D7:D12)</f>
        <v>521835134</v>
      </c>
      <c r="E13" s="790"/>
      <c r="F13" s="394"/>
      <c r="G13" s="379">
        <f>SUM(G7:G12)</f>
        <v>522396068</v>
      </c>
      <c r="H13" s="793">
        <f t="shared" si="0"/>
        <v>560934</v>
      </c>
      <c r="I13" s="793"/>
    </row>
    <row r="14" spans="1:9" ht="12" customHeight="1">
      <c r="A14" s="794"/>
      <c r="B14" s="784"/>
      <c r="C14" s="784"/>
      <c r="D14" s="795"/>
      <c r="E14" s="781"/>
      <c r="F14" s="784"/>
      <c r="G14" s="776"/>
      <c r="H14" s="787">
        <f t="shared" si="0"/>
        <v>0</v>
      </c>
      <c r="I14" s="787"/>
    </row>
    <row r="15" spans="1:9" ht="12" customHeight="1">
      <c r="A15" s="783" t="s">
        <v>1146</v>
      </c>
      <c r="B15" s="784" t="s">
        <v>835</v>
      </c>
      <c r="C15" s="784"/>
      <c r="D15" s="785">
        <v>120255894</v>
      </c>
      <c r="E15" s="781"/>
      <c r="F15" s="784"/>
      <c r="G15" s="788">
        <v>120255894</v>
      </c>
      <c r="H15" s="787">
        <f t="shared" si="0"/>
        <v>0</v>
      </c>
      <c r="I15" s="787"/>
    </row>
    <row r="16" spans="1:9" ht="12" customHeight="1">
      <c r="A16" s="783" t="s">
        <v>1147</v>
      </c>
      <c r="B16" s="784">
        <v>39524</v>
      </c>
      <c r="C16" s="784"/>
      <c r="D16" s="785">
        <v>31223960</v>
      </c>
      <c r="E16" s="781"/>
      <c r="F16" s="784"/>
      <c r="G16" s="786">
        <v>31223960</v>
      </c>
      <c r="H16" s="787">
        <f t="shared" si="0"/>
        <v>0</v>
      </c>
      <c r="I16" s="787"/>
    </row>
    <row r="17" spans="1:9" ht="24">
      <c r="A17" s="796" t="s">
        <v>1148</v>
      </c>
      <c r="B17" s="784">
        <v>7</v>
      </c>
      <c r="C17" s="784">
        <v>221450</v>
      </c>
      <c r="D17" s="785">
        <f aca="true" t="shared" si="1" ref="D17:D27">B17*C17</f>
        <v>1550150</v>
      </c>
      <c r="E17" s="781">
        <v>5</v>
      </c>
      <c r="F17" s="784">
        <v>221450</v>
      </c>
      <c r="G17" s="786">
        <f>E17*F17</f>
        <v>1107250</v>
      </c>
      <c r="H17" s="787">
        <f t="shared" si="0"/>
        <v>-442900</v>
      </c>
      <c r="I17" s="787"/>
    </row>
    <row r="18" spans="1:9" ht="24">
      <c r="A18" s="796" t="s">
        <v>1149</v>
      </c>
      <c r="B18" s="784">
        <v>65</v>
      </c>
      <c r="C18" s="784">
        <v>143943</v>
      </c>
      <c r="D18" s="785">
        <v>9356263</v>
      </c>
      <c r="E18" s="781">
        <v>48</v>
      </c>
      <c r="F18" s="797">
        <v>143943</v>
      </c>
      <c r="G18" s="786">
        <v>6909240</v>
      </c>
      <c r="H18" s="787">
        <f t="shared" si="0"/>
        <v>-2447023</v>
      </c>
      <c r="I18" s="787"/>
    </row>
    <row r="19" spans="1:9" ht="24">
      <c r="A19" s="796" t="s">
        <v>1150</v>
      </c>
      <c r="B19" s="784">
        <v>89</v>
      </c>
      <c r="C19" s="784">
        <v>55363</v>
      </c>
      <c r="D19" s="785">
        <v>4927262</v>
      </c>
      <c r="E19" s="781">
        <v>63</v>
      </c>
      <c r="F19" s="784">
        <v>55363</v>
      </c>
      <c r="G19" s="786">
        <v>3487838</v>
      </c>
      <c r="H19" s="787">
        <f t="shared" si="0"/>
        <v>-1439424</v>
      </c>
      <c r="I19" s="787"/>
    </row>
    <row r="20" spans="1:9" ht="24">
      <c r="A20" s="796" t="s">
        <v>1151</v>
      </c>
      <c r="B20" s="784">
        <v>3</v>
      </c>
      <c r="C20" s="784">
        <v>88580</v>
      </c>
      <c r="D20" s="785">
        <f t="shared" si="1"/>
        <v>265740</v>
      </c>
      <c r="E20" s="781">
        <v>18</v>
      </c>
      <c r="F20" s="784">
        <v>88580</v>
      </c>
      <c r="G20" s="786">
        <f>E20*F20</f>
        <v>1594440</v>
      </c>
      <c r="H20" s="787">
        <f t="shared" si="0"/>
        <v>1328700</v>
      </c>
      <c r="I20" s="787"/>
    </row>
    <row r="21" spans="1:9" ht="12" customHeight="1">
      <c r="A21" s="783" t="s">
        <v>320</v>
      </c>
      <c r="B21" s="784">
        <v>31</v>
      </c>
      <c r="C21" s="784">
        <v>166088</v>
      </c>
      <c r="D21" s="785">
        <v>5148714</v>
      </c>
      <c r="E21" s="798">
        <v>25</v>
      </c>
      <c r="F21" s="784">
        <v>166088</v>
      </c>
      <c r="G21" s="786">
        <v>4152188</v>
      </c>
      <c r="H21" s="787">
        <f t="shared" si="0"/>
        <v>-996526</v>
      </c>
      <c r="I21" s="787"/>
    </row>
    <row r="22" spans="1:9" ht="12" customHeight="1">
      <c r="A22" s="783" t="s">
        <v>1152</v>
      </c>
      <c r="B22" s="784">
        <v>0</v>
      </c>
      <c r="C22" s="784">
        <v>0</v>
      </c>
      <c r="D22" s="785">
        <f t="shared" si="1"/>
        <v>0</v>
      </c>
      <c r="E22" s="798"/>
      <c r="F22" s="784">
        <v>0</v>
      </c>
      <c r="G22" s="788"/>
      <c r="H22" s="787"/>
      <c r="I22" s="787"/>
    </row>
    <row r="23" spans="1:9" ht="12" customHeight="1">
      <c r="A23" s="783" t="s">
        <v>1153</v>
      </c>
      <c r="B23" s="784">
        <v>25</v>
      </c>
      <c r="C23" s="784">
        <v>405600</v>
      </c>
      <c r="D23" s="785">
        <f t="shared" si="1"/>
        <v>10140000</v>
      </c>
      <c r="E23" s="798">
        <v>25</v>
      </c>
      <c r="F23" s="784">
        <v>405600</v>
      </c>
      <c r="G23" s="788">
        <v>10140000</v>
      </c>
      <c r="H23" s="787">
        <f t="shared" si="0"/>
        <v>0</v>
      </c>
      <c r="I23" s="787"/>
    </row>
    <row r="24" spans="1:9" ht="12" customHeight="1">
      <c r="A24" s="783" t="s">
        <v>1154</v>
      </c>
      <c r="B24" s="784">
        <v>35</v>
      </c>
      <c r="C24" s="784">
        <v>206100</v>
      </c>
      <c r="D24" s="785">
        <f t="shared" si="1"/>
        <v>7213500</v>
      </c>
      <c r="E24" s="798">
        <v>30</v>
      </c>
      <c r="F24" s="784">
        <v>206100</v>
      </c>
      <c r="G24" s="788">
        <v>6183000</v>
      </c>
      <c r="H24" s="787">
        <f t="shared" si="0"/>
        <v>-1030500</v>
      </c>
      <c r="I24" s="787"/>
    </row>
    <row r="25" spans="1:9" ht="12" customHeight="1">
      <c r="A25" s="783" t="s">
        <v>1155</v>
      </c>
      <c r="B25" s="784">
        <v>26</v>
      </c>
      <c r="C25" s="784">
        <v>468350</v>
      </c>
      <c r="D25" s="785">
        <f t="shared" si="1"/>
        <v>12177100</v>
      </c>
      <c r="E25" s="798">
        <v>28</v>
      </c>
      <c r="F25" s="784">
        <v>468350</v>
      </c>
      <c r="G25" s="788">
        <v>13113800</v>
      </c>
      <c r="H25" s="787">
        <f t="shared" si="0"/>
        <v>936700</v>
      </c>
      <c r="I25" s="787"/>
    </row>
    <row r="26" spans="1:9" ht="12" customHeight="1">
      <c r="A26" s="783" t="s">
        <v>317</v>
      </c>
      <c r="B26" s="784">
        <v>47</v>
      </c>
      <c r="C26" s="784">
        <v>494100</v>
      </c>
      <c r="D26" s="785">
        <f t="shared" si="1"/>
        <v>23222700</v>
      </c>
      <c r="E26" s="781">
        <v>53</v>
      </c>
      <c r="F26" s="784">
        <v>494100</v>
      </c>
      <c r="G26" s="786">
        <v>26187300</v>
      </c>
      <c r="H26" s="787">
        <f t="shared" si="0"/>
        <v>2964600</v>
      </c>
      <c r="I26" s="787"/>
    </row>
    <row r="27" spans="1:9" ht="12" customHeight="1">
      <c r="A27" s="783" t="s">
        <v>1156</v>
      </c>
      <c r="B27" s="784">
        <v>0</v>
      </c>
      <c r="C27" s="784">
        <v>65000</v>
      </c>
      <c r="D27" s="785">
        <f t="shared" si="1"/>
        <v>0</v>
      </c>
      <c r="E27" s="781">
        <v>7</v>
      </c>
      <c r="F27" s="784">
        <v>65000</v>
      </c>
      <c r="G27" s="786">
        <v>455000</v>
      </c>
      <c r="H27" s="787">
        <f t="shared" si="0"/>
        <v>455000</v>
      </c>
      <c r="I27" s="787"/>
    </row>
    <row r="28" spans="1:9" ht="12" customHeight="1">
      <c r="A28" s="799" t="s">
        <v>1157</v>
      </c>
      <c r="B28" s="800">
        <v>27</v>
      </c>
      <c r="C28" s="800">
        <v>9400</v>
      </c>
      <c r="D28" s="801">
        <v>253800</v>
      </c>
      <c r="E28" s="798">
        <v>29</v>
      </c>
      <c r="F28" s="800">
        <v>9400</v>
      </c>
      <c r="G28" s="788">
        <f>E28*F28</f>
        <v>272600</v>
      </c>
      <c r="H28" s="787">
        <f t="shared" si="0"/>
        <v>18800</v>
      </c>
      <c r="I28" s="787"/>
    </row>
    <row r="29" spans="1:9" ht="12" customHeight="1">
      <c r="A29" s="783"/>
      <c r="B29" s="784"/>
      <c r="C29" s="784"/>
      <c r="D29" s="802"/>
      <c r="E29" s="781"/>
      <c r="F29" s="784"/>
      <c r="G29" s="776"/>
      <c r="H29" s="787"/>
      <c r="I29" s="787"/>
    </row>
    <row r="30" spans="1:9" ht="12" customHeight="1">
      <c r="A30" s="490" t="s">
        <v>1158</v>
      </c>
      <c r="B30" s="784"/>
      <c r="C30" s="784"/>
      <c r="D30" s="803">
        <f>SUM(D15:D29)</f>
        <v>225735083</v>
      </c>
      <c r="E30" s="781"/>
      <c r="F30" s="784"/>
      <c r="G30" s="491">
        <f>SUM(G15:G29)</f>
        <v>225082510</v>
      </c>
      <c r="H30" s="793">
        <f t="shared" si="0"/>
        <v>-652573</v>
      </c>
      <c r="I30" s="793"/>
    </row>
    <row r="31" spans="1:9" ht="12" customHeight="1">
      <c r="A31" s="783"/>
      <c r="B31" s="784"/>
      <c r="C31" s="784"/>
      <c r="D31" s="802"/>
      <c r="E31" s="781"/>
      <c r="F31" s="784"/>
      <c r="G31" s="776"/>
      <c r="H31" s="787"/>
      <c r="I31" s="787"/>
    </row>
    <row r="32" spans="1:9" ht="12" customHeight="1">
      <c r="A32" s="783" t="s">
        <v>1159</v>
      </c>
      <c r="B32" s="784">
        <v>686</v>
      </c>
      <c r="C32" s="784">
        <v>2350000</v>
      </c>
      <c r="D32" s="785">
        <v>130738333</v>
      </c>
      <c r="E32" s="781">
        <v>679</v>
      </c>
      <c r="F32" s="784">
        <v>2350000</v>
      </c>
      <c r="G32" s="786">
        <v>129328333</v>
      </c>
      <c r="H32" s="787">
        <f t="shared" si="0"/>
        <v>-1410000</v>
      </c>
      <c r="I32" s="787"/>
    </row>
    <row r="33" spans="1:9" ht="12" customHeight="1">
      <c r="A33" s="783" t="s">
        <v>1160</v>
      </c>
      <c r="B33" s="784">
        <v>936</v>
      </c>
      <c r="C33" s="784">
        <v>2350000</v>
      </c>
      <c r="D33" s="785">
        <v>136769999</v>
      </c>
      <c r="E33" s="798">
        <v>924</v>
      </c>
      <c r="F33" s="784">
        <v>2350000</v>
      </c>
      <c r="G33" s="788">
        <v>135438333</v>
      </c>
      <c r="H33" s="787">
        <f t="shared" si="0"/>
        <v>-1331666</v>
      </c>
      <c r="I33" s="787"/>
    </row>
    <row r="34" spans="1:9" ht="12" customHeight="1">
      <c r="A34" s="799" t="s">
        <v>1161</v>
      </c>
      <c r="B34" s="800">
        <v>978</v>
      </c>
      <c r="C34" s="800">
        <v>2350000</v>
      </c>
      <c r="D34" s="801">
        <v>170845000</v>
      </c>
      <c r="E34" s="798">
        <v>968</v>
      </c>
      <c r="F34" s="800">
        <v>2350000</v>
      </c>
      <c r="G34" s="788">
        <v>168808333</v>
      </c>
      <c r="H34" s="787">
        <f t="shared" si="0"/>
        <v>-2036667</v>
      </c>
      <c r="I34" s="787"/>
    </row>
    <row r="35" spans="1:9" ht="12" customHeight="1">
      <c r="A35" s="799" t="s">
        <v>1162</v>
      </c>
      <c r="B35" s="804">
        <v>0.6666</v>
      </c>
      <c r="C35" s="800">
        <v>358400</v>
      </c>
      <c r="D35" s="801">
        <v>238933</v>
      </c>
      <c r="E35" s="798">
        <v>1</v>
      </c>
      <c r="F35" s="800">
        <v>358400</v>
      </c>
      <c r="G35" s="788">
        <v>398222</v>
      </c>
      <c r="H35" s="787">
        <f t="shared" si="0"/>
        <v>159289</v>
      </c>
      <c r="I35" s="787"/>
    </row>
    <row r="36" spans="1:9" ht="12" customHeight="1">
      <c r="A36" s="799" t="s">
        <v>1163</v>
      </c>
      <c r="B36" s="800">
        <v>3</v>
      </c>
      <c r="C36" s="800">
        <v>358400</v>
      </c>
      <c r="D36" s="801">
        <f>B36*C36</f>
        <v>1075200</v>
      </c>
      <c r="E36" s="798">
        <v>2</v>
      </c>
      <c r="F36" s="800">
        <v>358400</v>
      </c>
      <c r="G36" s="788">
        <v>796445</v>
      </c>
      <c r="H36" s="787">
        <f t="shared" si="0"/>
        <v>-278755</v>
      </c>
      <c r="I36" s="787"/>
    </row>
    <row r="37" spans="1:9" ht="12" customHeight="1">
      <c r="A37" s="799" t="s">
        <v>1164</v>
      </c>
      <c r="B37" s="800">
        <v>20.666</v>
      </c>
      <c r="C37" s="800">
        <v>134400</v>
      </c>
      <c r="D37" s="801">
        <v>2777600</v>
      </c>
      <c r="E37" s="798">
        <v>16</v>
      </c>
      <c r="F37" s="800">
        <v>134400</v>
      </c>
      <c r="G37" s="788">
        <v>2150400</v>
      </c>
      <c r="H37" s="787">
        <f t="shared" si="0"/>
        <v>-627200</v>
      </c>
      <c r="I37" s="787"/>
    </row>
    <row r="38" spans="1:9" ht="12" customHeight="1">
      <c r="A38" s="799" t="s">
        <v>1165</v>
      </c>
      <c r="B38" s="800">
        <v>0</v>
      </c>
      <c r="C38" s="800">
        <v>179200</v>
      </c>
      <c r="D38" s="801">
        <v>0</v>
      </c>
      <c r="E38" s="798">
        <v>5</v>
      </c>
      <c r="F38" s="800">
        <v>179200</v>
      </c>
      <c r="G38" s="788">
        <v>776534</v>
      </c>
      <c r="H38" s="787">
        <f t="shared" si="0"/>
        <v>776534</v>
      </c>
      <c r="I38" s="787"/>
    </row>
    <row r="39" spans="1:9" ht="12" customHeight="1">
      <c r="A39" s="799" t="s">
        <v>1166</v>
      </c>
      <c r="B39" s="800">
        <v>2.333</v>
      </c>
      <c r="C39" s="800">
        <v>224000</v>
      </c>
      <c r="D39" s="801">
        <v>522667</v>
      </c>
      <c r="E39" s="798">
        <v>2</v>
      </c>
      <c r="F39" s="800">
        <v>224000</v>
      </c>
      <c r="G39" s="788">
        <v>522667</v>
      </c>
      <c r="H39" s="787">
        <f t="shared" si="0"/>
        <v>0</v>
      </c>
      <c r="I39" s="787"/>
    </row>
    <row r="40" spans="1:9" ht="12" customHeight="1">
      <c r="A40" s="799" t="s">
        <v>1167</v>
      </c>
      <c r="B40" s="800">
        <v>301</v>
      </c>
      <c r="C40" s="800">
        <v>2350000</v>
      </c>
      <c r="D40" s="801">
        <v>15040000</v>
      </c>
      <c r="E40" s="798">
        <v>296</v>
      </c>
      <c r="F40" s="800">
        <v>2350000</v>
      </c>
      <c r="G40" s="788">
        <v>14805000</v>
      </c>
      <c r="H40" s="787">
        <f t="shared" si="0"/>
        <v>-235000</v>
      </c>
      <c r="I40" s="787"/>
    </row>
    <row r="41" spans="1:10" ht="12" customHeight="1">
      <c r="A41" s="799" t="s">
        <v>1168</v>
      </c>
      <c r="B41" s="800">
        <v>63</v>
      </c>
      <c r="C41" s="800">
        <v>2350000</v>
      </c>
      <c r="D41" s="801">
        <v>1175000</v>
      </c>
      <c r="E41" s="798">
        <v>70</v>
      </c>
      <c r="F41" s="800">
        <v>2350000</v>
      </c>
      <c r="G41" s="788">
        <v>1331666</v>
      </c>
      <c r="H41" s="787">
        <f t="shared" si="0"/>
        <v>156666</v>
      </c>
      <c r="I41" s="787"/>
      <c r="J41" s="805"/>
    </row>
    <row r="42" spans="1:9" ht="12" customHeight="1">
      <c r="A42" s="799" t="s">
        <v>1169</v>
      </c>
      <c r="B42" s="800">
        <v>154</v>
      </c>
      <c r="C42" s="800">
        <v>65000</v>
      </c>
      <c r="D42" s="801">
        <f>B42*C42</f>
        <v>10010000</v>
      </c>
      <c r="E42" s="798">
        <v>183</v>
      </c>
      <c r="F42" s="800">
        <v>65000</v>
      </c>
      <c r="G42" s="788">
        <f>E42*F42</f>
        <v>11895000</v>
      </c>
      <c r="H42" s="787">
        <f t="shared" si="0"/>
        <v>1885000</v>
      </c>
      <c r="I42" s="787"/>
    </row>
    <row r="43" spans="1:9" ht="12" customHeight="1">
      <c r="A43" s="783" t="s">
        <v>1170</v>
      </c>
      <c r="B43" s="784">
        <v>17</v>
      </c>
      <c r="C43" s="784">
        <v>20000</v>
      </c>
      <c r="D43" s="785">
        <f>B43*C43</f>
        <v>340000</v>
      </c>
      <c r="E43" s="781">
        <v>117</v>
      </c>
      <c r="F43" s="784">
        <v>20000</v>
      </c>
      <c r="G43" s="786">
        <f>E43*F43</f>
        <v>2340000</v>
      </c>
      <c r="H43" s="787">
        <f t="shared" si="0"/>
        <v>2000000</v>
      </c>
      <c r="I43" s="787"/>
    </row>
    <row r="44" spans="1:9" ht="12" customHeight="1">
      <c r="A44" s="799" t="s">
        <v>1171</v>
      </c>
      <c r="B44" s="800">
        <v>336</v>
      </c>
      <c r="C44" s="800">
        <v>65000</v>
      </c>
      <c r="D44" s="801">
        <f>B44*C44</f>
        <v>21840000</v>
      </c>
      <c r="E44" s="798">
        <v>573</v>
      </c>
      <c r="F44" s="800">
        <v>65000</v>
      </c>
      <c r="G44" s="788">
        <f>E44*F44</f>
        <v>37245000</v>
      </c>
      <c r="H44" s="787">
        <f t="shared" si="0"/>
        <v>15405000</v>
      </c>
      <c r="I44" s="787"/>
    </row>
    <row r="45" spans="1:9" ht="12" customHeight="1">
      <c r="A45" s="799" t="s">
        <v>1172</v>
      </c>
      <c r="B45" s="800">
        <v>757</v>
      </c>
      <c r="C45" s="800">
        <v>2350000</v>
      </c>
      <c r="D45" s="801">
        <v>16136667</v>
      </c>
      <c r="E45" s="798">
        <v>962</v>
      </c>
      <c r="F45" s="800">
        <v>2350000</v>
      </c>
      <c r="G45" s="788">
        <v>20758334</v>
      </c>
      <c r="H45" s="787">
        <f t="shared" si="0"/>
        <v>4621667</v>
      </c>
      <c r="I45" s="787"/>
    </row>
    <row r="46" spans="1:9" ht="12" customHeight="1">
      <c r="A46" s="799" t="s">
        <v>1173</v>
      </c>
      <c r="B46" s="800">
        <v>301</v>
      </c>
      <c r="C46" s="800">
        <v>44900</v>
      </c>
      <c r="D46" s="801">
        <f>B46*C46</f>
        <v>13514900</v>
      </c>
      <c r="E46" s="798">
        <v>296</v>
      </c>
      <c r="F46" s="800">
        <v>44900</v>
      </c>
      <c r="G46" s="788">
        <v>13290400</v>
      </c>
      <c r="H46" s="787">
        <f t="shared" si="0"/>
        <v>-224500</v>
      </c>
      <c r="I46" s="787"/>
    </row>
    <row r="47" spans="1:9" ht="12" customHeight="1">
      <c r="A47" s="799" t="s">
        <v>1174</v>
      </c>
      <c r="B47" s="800">
        <v>63</v>
      </c>
      <c r="C47" s="800">
        <v>17600</v>
      </c>
      <c r="D47" s="801">
        <f>B47*C47</f>
        <v>1108800</v>
      </c>
      <c r="E47" s="798">
        <v>70</v>
      </c>
      <c r="F47" s="800">
        <v>17600</v>
      </c>
      <c r="G47" s="788">
        <v>1226133</v>
      </c>
      <c r="H47" s="787">
        <f t="shared" si="0"/>
        <v>117333</v>
      </c>
      <c r="I47" s="787"/>
    </row>
    <row r="48" spans="1:9" ht="12" customHeight="1">
      <c r="A48" s="799" t="s">
        <v>1175</v>
      </c>
      <c r="B48" s="806">
        <v>1883</v>
      </c>
      <c r="C48" s="784">
        <v>1000</v>
      </c>
      <c r="D48" s="785">
        <f>B48*C48</f>
        <v>1883000</v>
      </c>
      <c r="E48" s="781">
        <v>1894</v>
      </c>
      <c r="F48" s="784">
        <v>1000</v>
      </c>
      <c r="G48" s="786">
        <f>E48*F48</f>
        <v>1894000</v>
      </c>
      <c r="H48" s="787">
        <f t="shared" si="0"/>
        <v>11000</v>
      </c>
      <c r="I48" s="787"/>
    </row>
    <row r="49" spans="1:9" ht="12" customHeight="1">
      <c r="A49" s="799" t="s">
        <v>1176</v>
      </c>
      <c r="B49" s="807">
        <v>747</v>
      </c>
      <c r="C49" s="800">
        <v>10000</v>
      </c>
      <c r="D49" s="801">
        <f>B49*C49</f>
        <v>7470000</v>
      </c>
      <c r="E49" s="798">
        <v>931</v>
      </c>
      <c r="F49" s="800">
        <v>10000</v>
      </c>
      <c r="G49" s="788">
        <v>9310000</v>
      </c>
      <c r="H49" s="787">
        <f t="shared" si="0"/>
        <v>1840000</v>
      </c>
      <c r="I49" s="787"/>
    </row>
    <row r="50" spans="1:9" ht="12" customHeight="1">
      <c r="A50" s="799" t="s">
        <v>1177</v>
      </c>
      <c r="B50" s="807">
        <v>104.33</v>
      </c>
      <c r="C50" s="800">
        <v>40000</v>
      </c>
      <c r="D50" s="801">
        <v>4173334</v>
      </c>
      <c r="E50" s="798">
        <v>103</v>
      </c>
      <c r="F50" s="800">
        <v>40000</v>
      </c>
      <c r="G50" s="788">
        <v>4146667</v>
      </c>
      <c r="H50" s="787">
        <f t="shared" si="0"/>
        <v>-26667</v>
      </c>
      <c r="I50" s="787"/>
    </row>
    <row r="51" spans="1:9" ht="12" customHeight="1">
      <c r="A51" s="799" t="s">
        <v>1178</v>
      </c>
      <c r="B51" s="807">
        <v>0</v>
      </c>
      <c r="C51" s="800">
        <v>36300</v>
      </c>
      <c r="D51" s="801">
        <v>0</v>
      </c>
      <c r="E51" s="798">
        <v>103</v>
      </c>
      <c r="F51" s="800">
        <v>36300</v>
      </c>
      <c r="G51" s="788">
        <v>3763100</v>
      </c>
      <c r="H51" s="787">
        <f t="shared" si="0"/>
        <v>3763100</v>
      </c>
      <c r="I51" s="787"/>
    </row>
    <row r="52" spans="1:9" ht="12" customHeight="1">
      <c r="A52" s="783"/>
      <c r="B52" s="808"/>
      <c r="C52" s="808"/>
      <c r="D52" s="809"/>
      <c r="E52" s="781"/>
      <c r="F52" s="808"/>
      <c r="G52" s="775"/>
      <c r="H52" s="787"/>
      <c r="I52" s="787"/>
    </row>
    <row r="53" spans="1:9" s="1" customFormat="1" ht="12" customHeight="1">
      <c r="A53" s="810" t="s">
        <v>1179</v>
      </c>
      <c r="B53" s="811"/>
      <c r="C53" s="811"/>
      <c r="D53" s="812">
        <f>SUM(D32:D52)</f>
        <v>535659433</v>
      </c>
      <c r="E53" s="813"/>
      <c r="F53" s="811"/>
      <c r="G53" s="814">
        <f>SUM(G32:G52)</f>
        <v>560224567</v>
      </c>
      <c r="H53" s="793">
        <f t="shared" si="0"/>
        <v>24565134</v>
      </c>
      <c r="I53" s="793"/>
    </row>
    <row r="54" spans="1:9" ht="12" customHeight="1">
      <c r="A54" s="783"/>
      <c r="B54" s="808"/>
      <c r="C54" s="808"/>
      <c r="D54" s="795"/>
      <c r="E54" s="781"/>
      <c r="F54" s="808"/>
      <c r="G54" s="776"/>
      <c r="H54" s="793"/>
      <c r="I54" s="793"/>
    </row>
    <row r="55" spans="1:9" s="816" customFormat="1" ht="12" customHeight="1">
      <c r="A55" s="490" t="s">
        <v>1180</v>
      </c>
      <c r="B55" s="815"/>
      <c r="C55" s="815"/>
      <c r="D55" s="803">
        <f>D13+D30+D53</f>
        <v>1283229650</v>
      </c>
      <c r="E55" s="65"/>
      <c r="F55" s="815"/>
      <c r="G55" s="491">
        <f>G13+G30+G53</f>
        <v>1307703145</v>
      </c>
      <c r="H55" s="793">
        <f t="shared" si="0"/>
        <v>24473495</v>
      </c>
      <c r="I55" s="793"/>
    </row>
    <row r="56" spans="1:9" ht="12" customHeight="1">
      <c r="A56" s="783"/>
      <c r="B56" s="806"/>
      <c r="C56" s="806"/>
      <c r="D56" s="802"/>
      <c r="E56" s="781"/>
      <c r="F56" s="806"/>
      <c r="G56" s="776"/>
      <c r="H56" s="787"/>
      <c r="I56" s="787"/>
    </row>
    <row r="57" spans="1:9" ht="12" customHeight="1">
      <c r="A57" s="783" t="s">
        <v>1181</v>
      </c>
      <c r="B57" s="806">
        <v>7</v>
      </c>
      <c r="C57" s="806">
        <v>900000</v>
      </c>
      <c r="D57" s="785">
        <f>B57*C57</f>
        <v>6300000</v>
      </c>
      <c r="E57" s="781">
        <v>6</v>
      </c>
      <c r="F57" s="806">
        <v>900000</v>
      </c>
      <c r="G57" s="786">
        <f>E57*F57</f>
        <v>5400000</v>
      </c>
      <c r="H57" s="787">
        <f t="shared" si="0"/>
        <v>-900000</v>
      </c>
      <c r="I57" s="787"/>
    </row>
    <row r="58" spans="1:9" ht="12" customHeight="1">
      <c r="A58" s="783"/>
      <c r="B58" s="806"/>
      <c r="C58" s="806"/>
      <c r="D58" s="802"/>
      <c r="E58" s="781"/>
      <c r="F58" s="806"/>
      <c r="G58" s="775"/>
      <c r="H58" s="787"/>
      <c r="I58" s="787"/>
    </row>
    <row r="59" spans="1:9" s="820" customFormat="1" ht="12" customHeight="1">
      <c r="A59" s="810" t="s">
        <v>1182</v>
      </c>
      <c r="B59" s="817"/>
      <c r="C59" s="817"/>
      <c r="D59" s="818">
        <f>SUM(D57:D58)</f>
        <v>6300000</v>
      </c>
      <c r="E59" s="819">
        <v>6</v>
      </c>
      <c r="F59" s="817"/>
      <c r="G59" s="819">
        <v>5400000</v>
      </c>
      <c r="H59" s="793">
        <f t="shared" si="0"/>
        <v>-900000</v>
      </c>
      <c r="I59" s="793"/>
    </row>
    <row r="60" spans="1:9" s="824" customFormat="1" ht="12" customHeight="1">
      <c r="A60" s="794"/>
      <c r="B60" s="821"/>
      <c r="C60" s="821"/>
      <c r="D60" s="822"/>
      <c r="E60" s="823"/>
      <c r="F60" s="821"/>
      <c r="G60" s="823"/>
      <c r="H60" s="787"/>
      <c r="I60" s="787"/>
    </row>
    <row r="61" spans="1:9" s="820" customFormat="1" ht="12" customHeight="1">
      <c r="A61" s="490" t="s">
        <v>1183</v>
      </c>
      <c r="B61" s="815"/>
      <c r="C61" s="815"/>
      <c r="D61" s="78">
        <f>D55+D59</f>
        <v>1289529650</v>
      </c>
      <c r="E61" s="492"/>
      <c r="F61" s="815"/>
      <c r="G61" s="492">
        <f>G55+G59</f>
        <v>1313103145</v>
      </c>
      <c r="H61" s="793">
        <f t="shared" si="0"/>
        <v>23573495</v>
      </c>
      <c r="I61" s="793"/>
    </row>
    <row r="62" spans="1:9" ht="12" customHeight="1">
      <c r="A62" s="783"/>
      <c r="B62" s="808"/>
      <c r="C62" s="808"/>
      <c r="D62" s="809"/>
      <c r="E62" s="781"/>
      <c r="F62" s="808"/>
      <c r="G62" s="775"/>
      <c r="H62" s="787"/>
      <c r="I62" s="787"/>
    </row>
    <row r="63" spans="1:23" s="831" customFormat="1" ht="13.5" customHeight="1">
      <c r="A63" s="825" t="s">
        <v>1184</v>
      </c>
      <c r="B63" s="826"/>
      <c r="C63" s="826"/>
      <c r="D63" s="827">
        <f>SUM(D61:D62)</f>
        <v>1289529650</v>
      </c>
      <c r="E63" s="828"/>
      <c r="F63" s="826"/>
      <c r="G63" s="432">
        <v>1313103145</v>
      </c>
      <c r="H63" s="829">
        <f t="shared" si="0"/>
        <v>23573495</v>
      </c>
      <c r="I63" s="829"/>
      <c r="J63" s="830"/>
      <c r="K63" s="830"/>
      <c r="L63" s="830"/>
      <c r="M63" s="830"/>
      <c r="N63" s="830"/>
      <c r="O63" s="830"/>
      <c r="P63" s="830"/>
      <c r="Q63" s="830"/>
      <c r="R63" s="830"/>
      <c r="S63" s="830"/>
      <c r="T63" s="830"/>
      <c r="U63" s="830"/>
      <c r="V63" s="830"/>
      <c r="W63" s="830"/>
    </row>
    <row r="64" spans="1:9" s="189" customFormat="1" ht="12.75">
      <c r="A64" s="832"/>
      <c r="B64" s="833"/>
      <c r="C64" s="833"/>
      <c r="D64" s="834"/>
      <c r="E64" s="835"/>
      <c r="F64" s="835"/>
      <c r="G64" s="836"/>
      <c r="H64" s="835"/>
      <c r="I64" s="835"/>
    </row>
    <row r="65" spans="1:4" ht="12.75">
      <c r="A65" s="370"/>
      <c r="D65" s="837"/>
    </row>
  </sheetData>
  <sheetProtection selectLockedCells="1" selectUnlockedCells="1"/>
  <mergeCells count="62">
    <mergeCell ref="A2:I2"/>
    <mergeCell ref="B4:D4"/>
    <mergeCell ref="E4:G4"/>
    <mergeCell ref="H4:I4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</mergeCells>
  <printOptions horizontalCentered="1"/>
  <pageMargins left="0.19652777777777777" right="0.19652777777777777" top="0.30000000000000004" bottom="0.15763888888888888" header="0.1701388888888889" footer="0.5118055555555555"/>
  <pageSetup horizontalDpi="300" verticalDpi="300" orientation="landscape" paperSize="9" scale="70"/>
  <headerFooter alignWithMargins="0">
    <oddHeader>&amp;L16. melléklet a 16/2011.(V.02.)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3">
      <selection activeCell="A29" sqref="A29"/>
    </sheetView>
  </sheetViews>
  <sheetFormatPr defaultColWidth="9.00390625" defaultRowHeight="12.75"/>
  <cols>
    <col min="1" max="1" width="57.875" style="105" customWidth="1"/>
    <col min="2" max="4" width="11.75390625" style="105" customWidth="1"/>
    <col min="5" max="5" width="51.375" style="105" customWidth="1"/>
    <col min="6" max="8" width="11.75390625" style="105" customWidth="1"/>
    <col min="9" max="16384" width="9.125" style="105" customWidth="1"/>
  </cols>
  <sheetData>
    <row r="1" spans="1:5" ht="14.25">
      <c r="A1" s="106" t="s">
        <v>89</v>
      </c>
      <c r="B1" s="107"/>
      <c r="C1" s="107"/>
      <c r="D1" s="107"/>
      <c r="E1" s="108"/>
    </row>
    <row r="2" ht="12" customHeight="1"/>
    <row r="3" spans="1:7" s="110" customFormat="1" ht="15">
      <c r="A3" s="109" t="s">
        <v>90</v>
      </c>
      <c r="B3" s="109"/>
      <c r="C3" s="109"/>
      <c r="D3" s="109"/>
      <c r="E3" s="109"/>
      <c r="F3" s="109"/>
      <c r="G3" s="109"/>
    </row>
    <row r="4" spans="1:5" ht="15.75">
      <c r="A4" s="111"/>
      <c r="B4" s="111"/>
      <c r="C4" s="111"/>
      <c r="D4" s="111"/>
      <c r="E4" s="111"/>
    </row>
    <row r="5" spans="1:8" ht="14.25" customHeight="1">
      <c r="A5" s="112" t="s">
        <v>1</v>
      </c>
      <c r="B5" s="112"/>
      <c r="C5" s="112"/>
      <c r="D5" s="112"/>
      <c r="E5" s="112" t="s">
        <v>2</v>
      </c>
      <c r="F5" s="112"/>
      <c r="G5" s="112"/>
      <c r="H5" s="112"/>
    </row>
    <row r="6" spans="1:8" ht="15">
      <c r="A6" s="113"/>
      <c r="B6" s="114" t="s">
        <v>7</v>
      </c>
      <c r="C6" s="115" t="s">
        <v>4</v>
      </c>
      <c r="D6" s="114" t="s">
        <v>5</v>
      </c>
      <c r="E6" s="116"/>
      <c r="F6" s="114" t="s">
        <v>3</v>
      </c>
      <c r="G6" s="114" t="s">
        <v>4</v>
      </c>
      <c r="H6" s="114" t="s">
        <v>5</v>
      </c>
    </row>
    <row r="7" spans="1:8" ht="15">
      <c r="A7" s="117" t="s">
        <v>91</v>
      </c>
      <c r="B7" s="118">
        <v>186924</v>
      </c>
      <c r="C7" s="118">
        <v>222199</v>
      </c>
      <c r="D7" s="118">
        <v>247783</v>
      </c>
      <c r="E7" s="119" t="s">
        <v>12</v>
      </c>
      <c r="F7" s="120">
        <v>1781603</v>
      </c>
      <c r="G7" s="120">
        <v>1886652</v>
      </c>
      <c r="H7" s="120">
        <v>1859757</v>
      </c>
    </row>
    <row r="8" spans="1:8" ht="15">
      <c r="A8" s="121" t="s">
        <v>92</v>
      </c>
      <c r="B8" s="118">
        <v>1908453</v>
      </c>
      <c r="C8" s="118">
        <v>1922616</v>
      </c>
      <c r="D8" s="118">
        <v>2016223</v>
      </c>
      <c r="E8" s="122" t="s">
        <v>93</v>
      </c>
      <c r="F8" s="123">
        <v>474811</v>
      </c>
      <c r="G8" s="123">
        <v>491710</v>
      </c>
      <c r="H8" s="123">
        <v>483371</v>
      </c>
    </row>
    <row r="9" spans="1:8" ht="15">
      <c r="A9" s="121" t="s">
        <v>51</v>
      </c>
      <c r="B9" s="118">
        <v>862671</v>
      </c>
      <c r="C9" s="118">
        <v>851084</v>
      </c>
      <c r="D9" s="118">
        <v>851084</v>
      </c>
      <c r="E9" s="124" t="s">
        <v>94</v>
      </c>
      <c r="F9" s="123">
        <v>1303565</v>
      </c>
      <c r="G9" s="123">
        <v>1563748</v>
      </c>
      <c r="H9" s="123">
        <v>1413326</v>
      </c>
    </row>
    <row r="10" spans="1:8" ht="15">
      <c r="A10" s="121" t="s">
        <v>95</v>
      </c>
      <c r="B10" s="118">
        <v>745910</v>
      </c>
      <c r="C10" s="118">
        <v>805158</v>
      </c>
      <c r="D10" s="118">
        <v>805158</v>
      </c>
      <c r="E10" s="122" t="s">
        <v>96</v>
      </c>
      <c r="F10" s="123">
        <v>252456</v>
      </c>
      <c r="G10" s="123">
        <v>324656</v>
      </c>
      <c r="H10" s="123">
        <v>321645</v>
      </c>
    </row>
    <row r="11" spans="1:8" ht="15">
      <c r="A11" s="121" t="s">
        <v>97</v>
      </c>
      <c r="B11" s="118">
        <v>2700</v>
      </c>
      <c r="C11" s="118">
        <v>21942</v>
      </c>
      <c r="D11" s="118">
        <v>10198</v>
      </c>
      <c r="E11" s="122" t="s">
        <v>98</v>
      </c>
      <c r="F11" s="123">
        <v>223696</v>
      </c>
      <c r="G11" s="123">
        <v>198885</v>
      </c>
      <c r="H11" s="123">
        <v>179010</v>
      </c>
    </row>
    <row r="12" spans="1:8" ht="15">
      <c r="A12" s="125" t="s">
        <v>99</v>
      </c>
      <c r="B12" s="118">
        <v>1698</v>
      </c>
      <c r="C12" s="118"/>
      <c r="D12" s="118"/>
      <c r="E12" s="121" t="s">
        <v>100</v>
      </c>
      <c r="F12" s="123">
        <v>9378</v>
      </c>
      <c r="G12" s="123">
        <v>9305</v>
      </c>
      <c r="H12" s="123">
        <v>9180</v>
      </c>
    </row>
    <row r="13" spans="1:8" ht="15">
      <c r="A13" s="125" t="s">
        <v>101</v>
      </c>
      <c r="B13" s="126">
        <v>190225</v>
      </c>
      <c r="C13" s="126">
        <v>166392</v>
      </c>
      <c r="D13" s="126">
        <v>166392</v>
      </c>
      <c r="E13" s="121" t="s">
        <v>102</v>
      </c>
      <c r="F13" s="123">
        <v>15000</v>
      </c>
      <c r="G13" s="123">
        <v>313</v>
      </c>
      <c r="H13" s="123"/>
    </row>
    <row r="14" spans="1:8" ht="15">
      <c r="A14" s="121" t="s">
        <v>103</v>
      </c>
      <c r="B14" s="123">
        <v>5000</v>
      </c>
      <c r="C14" s="123">
        <v>11587</v>
      </c>
      <c r="D14" s="123">
        <v>6587</v>
      </c>
      <c r="E14" s="127" t="s">
        <v>104</v>
      </c>
      <c r="F14" s="123"/>
      <c r="G14" s="123"/>
      <c r="H14" s="123"/>
    </row>
    <row r="15" spans="1:8" ht="15">
      <c r="A15" s="128" t="s">
        <v>105</v>
      </c>
      <c r="B15" s="129">
        <v>150000</v>
      </c>
      <c r="C15" s="129">
        <v>252329</v>
      </c>
      <c r="D15" s="129">
        <v>265230</v>
      </c>
      <c r="E15" s="130" t="s">
        <v>106</v>
      </c>
      <c r="F15" s="129">
        <v>136900</v>
      </c>
      <c r="G15" s="123">
        <v>22194</v>
      </c>
      <c r="H15" s="123"/>
    </row>
    <row r="16" spans="1:8" ht="15">
      <c r="A16" s="121" t="s">
        <v>107</v>
      </c>
      <c r="B16" s="123">
        <v>144668</v>
      </c>
      <c r="C16" s="123">
        <v>203478</v>
      </c>
      <c r="D16" s="123">
        <v>176139</v>
      </c>
      <c r="E16" s="131" t="s">
        <v>108</v>
      </c>
      <c r="F16" s="123">
        <v>840</v>
      </c>
      <c r="G16" s="123">
        <v>840</v>
      </c>
      <c r="H16" s="123"/>
    </row>
    <row r="17" spans="1:8" ht="15">
      <c r="A17" s="122" t="s">
        <v>109</v>
      </c>
      <c r="B17" s="120"/>
      <c r="C17" s="120">
        <v>81469</v>
      </c>
      <c r="D17" s="120">
        <v>81469</v>
      </c>
      <c r="E17" s="132" t="s">
        <v>110</v>
      </c>
      <c r="F17" s="120"/>
      <c r="G17" s="123"/>
      <c r="H17" s="123"/>
    </row>
    <row r="18" spans="1:8" ht="15">
      <c r="A18" s="122" t="s">
        <v>111</v>
      </c>
      <c r="B18" s="120"/>
      <c r="C18" s="120">
        <v>2654</v>
      </c>
      <c r="D18" s="120">
        <v>2654</v>
      </c>
      <c r="E18" s="132" t="s">
        <v>112</v>
      </c>
      <c r="F18" s="120"/>
      <c r="G18" s="123">
        <v>5000</v>
      </c>
      <c r="H18" s="123">
        <v>5000</v>
      </c>
    </row>
    <row r="19" spans="1:8" ht="15">
      <c r="A19" s="122" t="s">
        <v>113</v>
      </c>
      <c r="B19" s="120"/>
      <c r="C19" s="120"/>
      <c r="D19" s="120">
        <v>-20470</v>
      </c>
      <c r="E19" s="132" t="s">
        <v>114</v>
      </c>
      <c r="F19" s="120"/>
      <c r="G19" s="123">
        <v>8000</v>
      </c>
      <c r="H19" s="123">
        <v>8000</v>
      </c>
    </row>
    <row r="20" spans="1:8" ht="15">
      <c r="A20" s="121" t="s">
        <v>115</v>
      </c>
      <c r="B20" s="123"/>
      <c r="C20" s="123"/>
      <c r="D20" s="123">
        <v>3589</v>
      </c>
      <c r="E20" s="131" t="s">
        <v>116</v>
      </c>
      <c r="F20" s="123"/>
      <c r="G20" s="123">
        <v>4587</v>
      </c>
      <c r="H20" s="123">
        <v>4587</v>
      </c>
    </row>
    <row r="21" spans="1:8" ht="15">
      <c r="A21" s="121" t="s">
        <v>76</v>
      </c>
      <c r="B21" s="123"/>
      <c r="C21" s="123"/>
      <c r="D21" s="123">
        <v>7383</v>
      </c>
      <c r="E21" s="133" t="s">
        <v>117</v>
      </c>
      <c r="F21" s="123"/>
      <c r="G21" s="126">
        <v>15000</v>
      </c>
      <c r="H21" s="126">
        <v>15000</v>
      </c>
    </row>
    <row r="22" spans="1:8" ht="15">
      <c r="A22" s="121"/>
      <c r="B22" s="123"/>
      <c r="C22" s="123"/>
      <c r="D22" s="123"/>
      <c r="E22" s="131" t="s">
        <v>118</v>
      </c>
      <c r="F22" s="123"/>
      <c r="G22" s="126">
        <v>2000</v>
      </c>
      <c r="H22" s="126">
        <v>2000</v>
      </c>
    </row>
    <row r="23" spans="1:8" ht="15">
      <c r="A23" s="134"/>
      <c r="B23" s="135"/>
      <c r="C23" s="135"/>
      <c r="D23" s="135"/>
      <c r="E23" s="134" t="s">
        <v>111</v>
      </c>
      <c r="F23" s="135"/>
      <c r="G23" s="135">
        <v>2654</v>
      </c>
      <c r="H23" s="135">
        <v>2654</v>
      </c>
    </row>
    <row r="24" spans="1:8" ht="15">
      <c r="A24" s="136"/>
      <c r="B24" s="123"/>
      <c r="C24" s="123"/>
      <c r="D24" s="123"/>
      <c r="E24" s="137" t="s">
        <v>113</v>
      </c>
      <c r="F24" s="123"/>
      <c r="G24" s="123"/>
      <c r="H24" s="123">
        <v>-5036</v>
      </c>
    </row>
    <row r="25" spans="1:8" ht="15.75">
      <c r="A25" s="138"/>
      <c r="B25" s="135"/>
      <c r="C25" s="139"/>
      <c r="D25" s="139"/>
      <c r="E25" s="134" t="s">
        <v>119</v>
      </c>
      <c r="F25" s="135"/>
      <c r="G25" s="139"/>
      <c r="H25" s="139">
        <v>7383</v>
      </c>
    </row>
    <row r="26" spans="1:8" s="142" customFormat="1" ht="15">
      <c r="A26" s="140" t="s">
        <v>120</v>
      </c>
      <c r="B26" s="141">
        <f>SUM(B7:B23)</f>
        <v>4198249</v>
      </c>
      <c r="C26" s="141">
        <f>SUM(C7:C23)</f>
        <v>4540908</v>
      </c>
      <c r="D26" s="141">
        <f>SUM(D7:D23)</f>
        <v>4619419</v>
      </c>
      <c r="E26" s="140" t="s">
        <v>120</v>
      </c>
      <c r="F26" s="141">
        <f>SUM(F7:F23)</f>
        <v>4198249</v>
      </c>
      <c r="G26" s="141">
        <f>SUM(G7:G23)</f>
        <v>4535544</v>
      </c>
      <c r="H26" s="141">
        <f>SUM(H7:H25)</f>
        <v>4305877</v>
      </c>
    </row>
    <row r="27" spans="1:6" s="142" customFormat="1" ht="15">
      <c r="A27" s="143"/>
      <c r="B27" s="143"/>
      <c r="C27" s="143"/>
      <c r="D27" s="143"/>
      <c r="E27" s="143"/>
      <c r="F27" s="144"/>
    </row>
    <row r="28" spans="1:6" ht="15">
      <c r="A28" s="106" t="s">
        <v>121</v>
      </c>
      <c r="B28" s="145"/>
      <c r="C28" s="145"/>
      <c r="D28" s="145"/>
      <c r="E28" s="111"/>
      <c r="F28" s="111"/>
    </row>
    <row r="29" spans="1:5" ht="13.5" customHeight="1">
      <c r="A29" s="111"/>
      <c r="B29" s="111"/>
      <c r="C29" s="111"/>
      <c r="D29" s="111"/>
      <c r="E29" s="146"/>
    </row>
    <row r="30" spans="1:7" s="110" customFormat="1" ht="15">
      <c r="A30" s="109" t="s">
        <v>122</v>
      </c>
      <c r="B30" s="109"/>
      <c r="C30" s="109"/>
      <c r="D30" s="109"/>
      <c r="E30" s="109"/>
      <c r="F30" s="109"/>
      <c r="G30" s="109"/>
    </row>
    <row r="31" spans="1:5" ht="14.25" customHeight="1">
      <c r="A31" s="111"/>
      <c r="B31" s="111"/>
      <c r="C31" s="111"/>
      <c r="D31" s="111"/>
      <c r="E31" s="147"/>
    </row>
    <row r="32" spans="1:8" s="110" customFormat="1" ht="14.25">
      <c r="A32" s="112" t="s">
        <v>1</v>
      </c>
      <c r="B32" s="112"/>
      <c r="C32" s="112"/>
      <c r="D32" s="112"/>
      <c r="E32" s="112" t="s">
        <v>2</v>
      </c>
      <c r="F32" s="112"/>
      <c r="G32" s="112"/>
      <c r="H32" s="112"/>
    </row>
    <row r="33" spans="1:8" s="110" customFormat="1" ht="15">
      <c r="A33" s="148"/>
      <c r="B33" s="114" t="s">
        <v>7</v>
      </c>
      <c r="C33" s="115" t="s">
        <v>4</v>
      </c>
      <c r="D33" s="115" t="s">
        <v>5</v>
      </c>
      <c r="E33" s="149"/>
      <c r="F33" s="114" t="s">
        <v>7</v>
      </c>
      <c r="G33" s="114" t="s">
        <v>4</v>
      </c>
      <c r="H33" s="114" t="s">
        <v>5</v>
      </c>
    </row>
    <row r="34" spans="1:8" s="110" customFormat="1" ht="15">
      <c r="A34" s="122" t="s">
        <v>123</v>
      </c>
      <c r="B34" s="120">
        <v>45800</v>
      </c>
      <c r="C34" s="120">
        <v>45800</v>
      </c>
      <c r="D34" s="120">
        <v>7330</v>
      </c>
      <c r="E34" s="121" t="s">
        <v>35</v>
      </c>
      <c r="F34" s="120">
        <v>4313681</v>
      </c>
      <c r="G34" s="120">
        <v>4173684</v>
      </c>
      <c r="H34" s="120">
        <v>1580262</v>
      </c>
    </row>
    <row r="35" spans="1:8" ht="15">
      <c r="A35" s="122" t="s">
        <v>36</v>
      </c>
      <c r="B35" s="120">
        <v>148000</v>
      </c>
      <c r="C35" s="120">
        <v>148000</v>
      </c>
      <c r="D35" s="120">
        <v>10532</v>
      </c>
      <c r="E35" s="122" t="s">
        <v>40</v>
      </c>
      <c r="F35" s="123">
        <v>212168</v>
      </c>
      <c r="G35" s="123">
        <v>213744</v>
      </c>
      <c r="H35" s="123">
        <v>176722</v>
      </c>
    </row>
    <row r="36" spans="1:8" ht="15">
      <c r="A36" s="122" t="s">
        <v>124</v>
      </c>
      <c r="B36" s="120">
        <v>72000</v>
      </c>
      <c r="C36" s="120">
        <v>72000</v>
      </c>
      <c r="D36" s="120">
        <v>13500</v>
      </c>
      <c r="E36" s="122" t="s">
        <v>125</v>
      </c>
      <c r="F36" s="123">
        <v>13573</v>
      </c>
      <c r="G36" s="123">
        <v>13573</v>
      </c>
      <c r="H36" s="123">
        <v>11776</v>
      </c>
    </row>
    <row r="37" spans="1:8" ht="15">
      <c r="A37" s="121" t="s">
        <v>126</v>
      </c>
      <c r="B37" s="123">
        <v>18464</v>
      </c>
      <c r="C37" s="120">
        <v>175862</v>
      </c>
      <c r="D37" s="120">
        <v>174744</v>
      </c>
      <c r="E37" s="119" t="s">
        <v>127</v>
      </c>
      <c r="F37" s="123">
        <v>372877</v>
      </c>
      <c r="G37" s="123">
        <v>414440</v>
      </c>
      <c r="H37" s="123">
        <v>288611</v>
      </c>
    </row>
    <row r="38" spans="1:8" ht="15">
      <c r="A38" s="122" t="s">
        <v>128</v>
      </c>
      <c r="B38" s="120">
        <v>6700</v>
      </c>
      <c r="C38" s="135">
        <v>6700</v>
      </c>
      <c r="D38" s="135">
        <v>10810</v>
      </c>
      <c r="E38" s="128" t="s">
        <v>129</v>
      </c>
      <c r="F38" s="123">
        <v>2598</v>
      </c>
      <c r="G38" s="123">
        <v>2598</v>
      </c>
      <c r="H38" s="123">
        <v>700</v>
      </c>
    </row>
    <row r="39" spans="1:8" ht="15">
      <c r="A39" s="121" t="s">
        <v>130</v>
      </c>
      <c r="B39" s="123">
        <v>15661</v>
      </c>
      <c r="C39" s="123">
        <v>12324</v>
      </c>
      <c r="D39" s="123">
        <v>12324</v>
      </c>
      <c r="E39" s="121" t="s">
        <v>131</v>
      </c>
      <c r="F39" s="123">
        <v>8500</v>
      </c>
      <c r="G39" s="123">
        <v>8600</v>
      </c>
      <c r="H39" s="123">
        <v>5150</v>
      </c>
    </row>
    <row r="40" spans="1:8" ht="15">
      <c r="A40" s="121" t="s">
        <v>132</v>
      </c>
      <c r="B40" s="123">
        <v>2492844</v>
      </c>
      <c r="C40" s="123">
        <v>1830264</v>
      </c>
      <c r="D40" s="123">
        <v>269955</v>
      </c>
      <c r="E40" s="121" t="s">
        <v>133</v>
      </c>
      <c r="F40" s="123"/>
      <c r="G40" s="123"/>
      <c r="H40" s="123"/>
    </row>
    <row r="41" spans="1:8" ht="15">
      <c r="A41" s="121" t="s">
        <v>134</v>
      </c>
      <c r="B41" s="150">
        <v>9000</v>
      </c>
      <c r="C41" s="150">
        <v>9000</v>
      </c>
      <c r="D41" s="150">
        <v>8882</v>
      </c>
      <c r="E41" s="121" t="s">
        <v>135</v>
      </c>
      <c r="F41" s="123">
        <v>30493</v>
      </c>
      <c r="G41" s="123">
        <v>18</v>
      </c>
      <c r="H41" s="123"/>
    </row>
    <row r="42" spans="1:8" ht="15">
      <c r="A42" s="121" t="s">
        <v>136</v>
      </c>
      <c r="B42" s="150">
        <v>13854</v>
      </c>
      <c r="C42" s="150">
        <v>13854</v>
      </c>
      <c r="D42" s="150">
        <v>9354</v>
      </c>
      <c r="E42" s="121" t="s">
        <v>137</v>
      </c>
      <c r="F42" s="123"/>
      <c r="G42" s="123">
        <v>30771</v>
      </c>
      <c r="H42" s="123"/>
    </row>
    <row r="43" spans="1:8" ht="15">
      <c r="A43" s="121" t="s">
        <v>138</v>
      </c>
      <c r="B43" s="150">
        <v>129000</v>
      </c>
      <c r="C43" s="150">
        <v>129000</v>
      </c>
      <c r="D43" s="150">
        <v>136049</v>
      </c>
      <c r="E43" s="121" t="s">
        <v>139</v>
      </c>
      <c r="F43" s="123">
        <v>18464</v>
      </c>
      <c r="G43" s="123">
        <v>175862</v>
      </c>
      <c r="H43" s="123">
        <v>169327</v>
      </c>
    </row>
    <row r="44" spans="1:8" ht="15">
      <c r="A44" s="121" t="s">
        <v>46</v>
      </c>
      <c r="B44" s="150">
        <v>455000</v>
      </c>
      <c r="C44" s="150">
        <v>455000</v>
      </c>
      <c r="D44" s="150"/>
      <c r="E44" s="121" t="s">
        <v>140</v>
      </c>
      <c r="F44" s="123">
        <v>128930</v>
      </c>
      <c r="G44" s="123">
        <v>44825</v>
      </c>
      <c r="H44" s="123">
        <v>44802</v>
      </c>
    </row>
    <row r="45" spans="1:8" ht="15">
      <c r="A45" s="121" t="s">
        <v>105</v>
      </c>
      <c r="B45" s="150">
        <v>1700000</v>
      </c>
      <c r="C45" s="150">
        <v>2193878</v>
      </c>
      <c r="D45" s="150">
        <v>2193878</v>
      </c>
      <c r="E45" s="121" t="s">
        <v>141</v>
      </c>
      <c r="F45" s="123">
        <v>5039</v>
      </c>
      <c r="G45" s="123">
        <v>5039</v>
      </c>
      <c r="H45" s="123">
        <v>3488</v>
      </c>
    </row>
    <row r="46" spans="1:8" ht="15">
      <c r="A46" s="121" t="s">
        <v>142</v>
      </c>
      <c r="B46" s="150"/>
      <c r="C46" s="150">
        <v>7474</v>
      </c>
      <c r="D46" s="150">
        <v>7474</v>
      </c>
      <c r="E46" s="121" t="s">
        <v>143</v>
      </c>
      <c r="F46" s="123"/>
      <c r="G46" s="123"/>
      <c r="H46" s="123"/>
    </row>
    <row r="47" spans="1:8" ht="15">
      <c r="A47" s="134" t="s">
        <v>111</v>
      </c>
      <c r="B47" s="151"/>
      <c r="C47" s="151">
        <v>1779</v>
      </c>
      <c r="D47" s="151">
        <v>1779</v>
      </c>
      <c r="E47" s="121" t="s">
        <v>144</v>
      </c>
      <c r="F47" s="123"/>
      <c r="G47" s="123">
        <v>22166</v>
      </c>
      <c r="H47" s="123">
        <v>1913</v>
      </c>
    </row>
    <row r="48" spans="1:8" ht="15.75">
      <c r="A48" s="152" t="s">
        <v>145</v>
      </c>
      <c r="B48" s="153"/>
      <c r="C48" s="153">
        <v>800</v>
      </c>
      <c r="D48" s="153">
        <v>800</v>
      </c>
      <c r="E48" s="134" t="s">
        <v>111</v>
      </c>
      <c r="F48" s="135"/>
      <c r="G48" s="135">
        <v>1779</v>
      </c>
      <c r="H48" s="135">
        <v>1779</v>
      </c>
    </row>
    <row r="49" spans="1:8" ht="15">
      <c r="A49" s="140" t="s">
        <v>120</v>
      </c>
      <c r="B49" s="141">
        <f>SUM(B34:B48)</f>
        <v>5106323</v>
      </c>
      <c r="C49" s="141">
        <f>SUM(C34:C48)</f>
        <v>5101735</v>
      </c>
      <c r="D49" s="141">
        <f>SUM(D34:D48)</f>
        <v>2857411</v>
      </c>
      <c r="E49" s="140" t="s">
        <v>120</v>
      </c>
      <c r="F49" s="141">
        <f>SUM(F34:F48)</f>
        <v>5106323</v>
      </c>
      <c r="G49" s="141">
        <f>SUM(G34:G48)</f>
        <v>5107099</v>
      </c>
      <c r="H49" s="141">
        <f>SUM(H34:H48)</f>
        <v>2284530</v>
      </c>
    </row>
    <row r="50" spans="1:5" ht="12.75">
      <c r="A50" s="110"/>
      <c r="B50" s="154"/>
      <c r="C50" s="154"/>
      <c r="D50" s="154"/>
      <c r="E50" s="154"/>
    </row>
    <row r="51" spans="1:5" ht="12.75">
      <c r="A51" s="108"/>
      <c r="B51" s="155"/>
      <c r="C51" s="155"/>
      <c r="D51" s="155"/>
      <c r="E51" s="156"/>
    </row>
    <row r="52" spans="2:4" ht="12.75">
      <c r="B52" s="108"/>
      <c r="C52" s="108"/>
      <c r="D52" s="108"/>
    </row>
  </sheetData>
  <sheetProtection selectLockedCells="1" selectUnlockedCells="1"/>
  <mergeCells count="6">
    <mergeCell ref="A3:G3"/>
    <mergeCell ref="A5:D5"/>
    <mergeCell ref="E5:H5"/>
    <mergeCell ref="A30:G30"/>
    <mergeCell ref="A32:D32"/>
    <mergeCell ref="E32:H32"/>
  </mergeCells>
  <printOptions horizontalCentered="1"/>
  <pageMargins left="0.15763888888888888" right="0.15763888888888888" top="0.30972222222222223" bottom="0.25" header="0.5118055555555555" footer="0.5118055555555555"/>
  <pageSetup horizontalDpi="300" verticalDpi="3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A50" sqref="A50"/>
    </sheetView>
  </sheetViews>
  <sheetFormatPr defaultColWidth="9.00390625" defaultRowHeight="12.75"/>
  <cols>
    <col min="1" max="1" width="65.125" style="1" customWidth="1"/>
    <col min="2" max="2" width="11.875" style="4" customWidth="1"/>
    <col min="3" max="16384" width="9.125" style="1" customWidth="1"/>
  </cols>
  <sheetData>
    <row r="1" spans="1:2" ht="15.75">
      <c r="A1" s="466" t="s">
        <v>1185</v>
      </c>
      <c r="B1" s="466"/>
    </row>
    <row r="2" spans="1:2" ht="15.75">
      <c r="A2" s="466" t="s">
        <v>1186</v>
      </c>
      <c r="B2" s="466"/>
    </row>
    <row r="3" spans="1:2" ht="15.75">
      <c r="A3" s="466"/>
      <c r="B3" s="466"/>
    </row>
    <row r="4" ht="13.5"/>
    <row r="5" spans="1:2" ht="13.5">
      <c r="A5" s="838" t="s">
        <v>1187</v>
      </c>
      <c r="B5" s="839"/>
    </row>
    <row r="6" spans="1:2" ht="12.75">
      <c r="A6" s="840" t="s">
        <v>1188</v>
      </c>
      <c r="B6" s="209"/>
    </row>
    <row r="7" spans="1:2" ht="12.75">
      <c r="A7" s="840"/>
      <c r="B7" s="841"/>
    </row>
    <row r="8" spans="1:2" ht="12.75">
      <c r="A8" s="201" t="s">
        <v>1189</v>
      </c>
      <c r="B8" s="841"/>
    </row>
    <row r="9" spans="1:2" ht="12.75">
      <c r="A9" s="71" t="s">
        <v>1190</v>
      </c>
      <c r="B9" s="209"/>
    </row>
    <row r="10" spans="1:2" ht="12.75">
      <c r="A10" s="71" t="s">
        <v>1191</v>
      </c>
      <c r="B10" s="209">
        <v>9079</v>
      </c>
    </row>
    <row r="11" spans="1:2" ht="12.75">
      <c r="A11" s="71" t="s">
        <v>1192</v>
      </c>
      <c r="B11" s="209">
        <v>86</v>
      </c>
    </row>
    <row r="12" spans="1:2" ht="12.75">
      <c r="A12" s="71" t="s">
        <v>1193</v>
      </c>
      <c r="B12" s="209"/>
    </row>
    <row r="13" spans="1:2" ht="12.75">
      <c r="A13" s="71" t="s">
        <v>1194</v>
      </c>
      <c r="B13" s="209">
        <v>21720</v>
      </c>
    </row>
    <row r="14" spans="1:2" ht="12.75">
      <c r="A14" s="204" t="s">
        <v>1195</v>
      </c>
      <c r="B14" s="177">
        <f>SUM(B9:B13)</f>
        <v>30885</v>
      </c>
    </row>
    <row r="15" spans="1:2" ht="12.75">
      <c r="A15" s="71"/>
      <c r="B15" s="209"/>
    </row>
    <row r="16" spans="1:2" ht="12.75">
      <c r="A16" s="204" t="s">
        <v>1196</v>
      </c>
      <c r="B16" s="209"/>
    </row>
    <row r="17" spans="1:2" ht="12.75">
      <c r="A17" s="71" t="s">
        <v>1197</v>
      </c>
      <c r="B17" s="209"/>
    </row>
    <row r="18" spans="1:2" ht="12.75">
      <c r="A18" s="71" t="s">
        <v>1198</v>
      </c>
      <c r="B18" s="209">
        <v>4299</v>
      </c>
    </row>
    <row r="19" spans="1:2" ht="12.75" hidden="1">
      <c r="A19" s="71"/>
      <c r="B19" s="177"/>
    </row>
    <row r="20" spans="1:2" ht="12.75" hidden="1">
      <c r="A20" s="71"/>
      <c r="B20" s="209"/>
    </row>
    <row r="21" spans="1:2" ht="12.75">
      <c r="A21" s="204" t="s">
        <v>1199</v>
      </c>
      <c r="B21" s="177">
        <f>SUM(B18+B20)</f>
        <v>4299</v>
      </c>
    </row>
    <row r="22" spans="1:2" ht="12.75">
      <c r="A22" s="71"/>
      <c r="B22" s="209"/>
    </row>
    <row r="23" spans="1:2" ht="26.25" customHeight="1">
      <c r="A23" s="75" t="s">
        <v>1200</v>
      </c>
      <c r="B23" s="209"/>
    </row>
    <row r="24" spans="1:2" ht="12.75">
      <c r="A24" s="71"/>
      <c r="B24" s="209"/>
    </row>
    <row r="25" spans="1:2" ht="12.75">
      <c r="A25" s="204" t="s">
        <v>1201</v>
      </c>
      <c r="B25" s="177">
        <v>5931</v>
      </c>
    </row>
    <row r="26" spans="1:2" ht="12.75">
      <c r="A26" s="71"/>
      <c r="B26" s="209"/>
    </row>
    <row r="27" spans="1:2" ht="12.75">
      <c r="A27" s="204" t="s">
        <v>1202</v>
      </c>
      <c r="B27" s="209"/>
    </row>
    <row r="28" spans="1:2" ht="12.75">
      <c r="A28" s="71" t="s">
        <v>1203</v>
      </c>
      <c r="B28" s="209">
        <v>13208</v>
      </c>
    </row>
    <row r="29" spans="1:2" ht="12.75">
      <c r="A29" s="71" t="s">
        <v>1204</v>
      </c>
      <c r="B29" s="209">
        <v>12362</v>
      </c>
    </row>
    <row r="30" spans="1:2" ht="12.75">
      <c r="A30" s="71" t="s">
        <v>1205</v>
      </c>
      <c r="B30" s="209">
        <v>74007</v>
      </c>
    </row>
    <row r="31" spans="1:2" ht="12.75">
      <c r="A31" s="71" t="s">
        <v>168</v>
      </c>
      <c r="B31" s="209">
        <v>43879</v>
      </c>
    </row>
    <row r="32" spans="1:2" ht="12.75">
      <c r="A32" s="71" t="s">
        <v>1206</v>
      </c>
      <c r="B32" s="209">
        <v>626</v>
      </c>
    </row>
    <row r="33" spans="1:2" ht="12.75">
      <c r="A33" s="71" t="s">
        <v>1207</v>
      </c>
      <c r="B33" s="209">
        <v>29</v>
      </c>
    </row>
    <row r="34" spans="1:2" ht="12.75">
      <c r="A34" s="71" t="s">
        <v>1208</v>
      </c>
      <c r="B34" s="209">
        <v>214</v>
      </c>
    </row>
    <row r="35" spans="1:2" ht="12.75">
      <c r="A35" s="204" t="s">
        <v>1209</v>
      </c>
      <c r="B35" s="177">
        <f>SUM(B28:B34)</f>
        <v>144325</v>
      </c>
    </row>
    <row r="36" spans="1:2" ht="12.75">
      <c r="A36" s="71"/>
      <c r="B36" s="209"/>
    </row>
    <row r="37" spans="1:2" ht="12.75">
      <c r="A37" s="204" t="s">
        <v>1210</v>
      </c>
      <c r="B37" s="209"/>
    </row>
    <row r="38" spans="1:2" ht="12.75">
      <c r="A38" s="71" t="s">
        <v>1203</v>
      </c>
      <c r="B38" s="209">
        <v>1558</v>
      </c>
    </row>
    <row r="39" spans="1:2" ht="12.75">
      <c r="A39" s="71" t="s">
        <v>1204</v>
      </c>
      <c r="B39" s="209">
        <v>48749</v>
      </c>
    </row>
    <row r="40" spans="1:2" ht="12.75">
      <c r="A40" s="71" t="s">
        <v>1205</v>
      </c>
      <c r="B40" s="209">
        <v>23680</v>
      </c>
    </row>
    <row r="41" spans="1:2" ht="12.75">
      <c r="A41" s="71" t="s">
        <v>168</v>
      </c>
      <c r="B41" s="209">
        <v>10155</v>
      </c>
    </row>
    <row r="42" spans="1:2" ht="12.75">
      <c r="A42" s="71" t="s">
        <v>1206</v>
      </c>
      <c r="B42" s="209">
        <v>9720</v>
      </c>
    </row>
    <row r="43" spans="1:2" ht="12.75">
      <c r="A43" s="71" t="s">
        <v>1207</v>
      </c>
      <c r="B43" s="209">
        <v>403</v>
      </c>
    </row>
    <row r="44" spans="1:2" ht="12.75">
      <c r="A44" s="71" t="s">
        <v>1208</v>
      </c>
      <c r="B44" s="209">
        <v>125</v>
      </c>
    </row>
    <row r="45" spans="1:2" ht="12.75">
      <c r="A45" s="204" t="s">
        <v>1211</v>
      </c>
      <c r="B45" s="177">
        <f>SUM(B38:B44)</f>
        <v>94390</v>
      </c>
    </row>
    <row r="46" spans="1:2" ht="12.75">
      <c r="A46" s="71"/>
      <c r="B46" s="209"/>
    </row>
    <row r="47" spans="1:2" ht="12.75">
      <c r="A47" s="217" t="s">
        <v>1212</v>
      </c>
      <c r="B47" s="842">
        <f>SUM(B14+B21+B25+B35+B45)</f>
        <v>279830</v>
      </c>
    </row>
    <row r="48" spans="1:2" ht="12.75">
      <c r="A48" s="71"/>
      <c r="B48" s="209"/>
    </row>
    <row r="49" spans="1:2" ht="12.75">
      <c r="A49" s="204" t="s">
        <v>1213</v>
      </c>
      <c r="B49" s="177">
        <v>539</v>
      </c>
    </row>
    <row r="50" spans="1:2" ht="12.75">
      <c r="A50" s="71"/>
      <c r="B50" s="209"/>
    </row>
    <row r="51" spans="1:2" ht="12.75">
      <c r="A51" s="204" t="s">
        <v>1214</v>
      </c>
      <c r="B51" s="177"/>
    </row>
    <row r="52" spans="1:2" ht="12.75">
      <c r="A52" s="217"/>
      <c r="B52" s="843"/>
    </row>
    <row r="53" spans="1:2" ht="12.75">
      <c r="A53" s="217" t="s">
        <v>1215</v>
      </c>
      <c r="B53" s="842">
        <v>22</v>
      </c>
    </row>
    <row r="54" spans="1:2" ht="12.75">
      <c r="A54" s="71"/>
      <c r="B54" s="209"/>
    </row>
    <row r="55" spans="1:2" ht="13.5">
      <c r="A55" s="495" t="s">
        <v>1216</v>
      </c>
      <c r="B55" s="182">
        <f>SUM(B47+B49+B51+B53)</f>
        <v>280391</v>
      </c>
    </row>
    <row r="56" ht="13.5"/>
  </sheetData>
  <sheetProtection selectLockedCells="1" selectUnlockedCells="1"/>
  <mergeCells count="3">
    <mergeCell ref="A1:B1"/>
    <mergeCell ref="A2:B2"/>
    <mergeCell ref="A3:B3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&amp;L17. melléklet a 16/2011.(V.02.)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C19" sqref="C19"/>
    </sheetView>
  </sheetViews>
  <sheetFormatPr defaultColWidth="9.00390625" defaultRowHeight="12.75"/>
  <cols>
    <col min="1" max="1" width="3.875" style="0" customWidth="1"/>
    <col min="2" max="2" width="33.125" style="0" customWidth="1"/>
    <col min="3" max="3" width="11.125" style="0" customWidth="1"/>
    <col min="5" max="5" width="12.375" style="0" customWidth="1"/>
    <col min="6" max="6" width="11.875" style="0" customWidth="1"/>
    <col min="7" max="7" width="11.625" style="0" customWidth="1"/>
    <col min="8" max="8" width="10.00390625" style="0" customWidth="1"/>
  </cols>
  <sheetData>
    <row r="1" spans="1:8" ht="12.75">
      <c r="A1" s="844"/>
      <c r="B1" s="1"/>
      <c r="C1" s="4"/>
      <c r="D1" s="4"/>
      <c r="E1" s="4"/>
      <c r="F1" s="4"/>
      <c r="G1" s="4"/>
      <c r="H1" s="4"/>
    </row>
    <row r="2" spans="1:8" ht="13.5">
      <c r="A2" s="845" t="s">
        <v>1217</v>
      </c>
      <c r="B2" s="845"/>
      <c r="C2" s="845"/>
      <c r="D2" s="845"/>
      <c r="E2" s="845"/>
      <c r="F2" s="845"/>
      <c r="G2" s="845"/>
      <c r="H2" s="845"/>
    </row>
    <row r="3" spans="1:8" ht="13.5">
      <c r="A3" s="845" t="s">
        <v>1218</v>
      </c>
      <c r="B3" s="845"/>
      <c r="C3" s="845"/>
      <c r="D3" s="845"/>
      <c r="E3" s="845"/>
      <c r="F3" s="845"/>
      <c r="G3" s="845"/>
      <c r="H3" s="845"/>
    </row>
    <row r="4" spans="1:8" ht="15.75" customHeight="1">
      <c r="A4" s="846" t="s">
        <v>1219</v>
      </c>
      <c r="B4" s="846"/>
      <c r="C4" s="846"/>
      <c r="D4" s="846"/>
      <c r="E4" s="846"/>
      <c r="F4" s="846"/>
      <c r="G4" s="846"/>
      <c r="H4" s="846"/>
    </row>
    <row r="5" spans="1:8" ht="15.75">
      <c r="A5" s="847"/>
      <c r="B5" s="847"/>
      <c r="C5" s="847"/>
      <c r="D5" s="847"/>
      <c r="E5" s="847"/>
      <c r="F5" s="847"/>
      <c r="G5" s="847"/>
      <c r="H5" s="847"/>
    </row>
    <row r="6" spans="1:8" ht="16.5">
      <c r="A6" s="848"/>
      <c r="B6" s="735"/>
      <c r="C6" s="849"/>
      <c r="D6" s="849"/>
      <c r="E6" s="849"/>
      <c r="F6" s="849"/>
      <c r="G6" s="849"/>
      <c r="H6" s="850" t="s">
        <v>82</v>
      </c>
    </row>
    <row r="7" spans="1:8" ht="52.5">
      <c r="A7" s="851" t="s">
        <v>1219</v>
      </c>
      <c r="B7" s="852"/>
      <c r="C7" s="853" t="s">
        <v>1220</v>
      </c>
      <c r="D7" s="853" t="s">
        <v>1221</v>
      </c>
      <c r="E7" s="853" t="s">
        <v>1222</v>
      </c>
      <c r="F7" s="853" t="s">
        <v>1223</v>
      </c>
      <c r="G7" s="853" t="s">
        <v>1224</v>
      </c>
      <c r="H7" s="854" t="s">
        <v>1225</v>
      </c>
    </row>
    <row r="8" spans="1:8" ht="13.5">
      <c r="A8" s="756" t="s">
        <v>1226</v>
      </c>
      <c r="B8" s="855" t="s">
        <v>1227</v>
      </c>
      <c r="C8" s="753">
        <f>SUM(C9:C12)</f>
        <v>15026437</v>
      </c>
      <c r="D8" s="753"/>
      <c r="E8" s="753">
        <f>SUM(E9:E12)</f>
        <v>15026437</v>
      </c>
      <c r="F8" s="753">
        <f>SUM(F9:F12)</f>
        <v>16553712</v>
      </c>
      <c r="G8" s="753"/>
      <c r="H8" s="856">
        <f>SUM(H9:H12)</f>
        <v>16553712</v>
      </c>
    </row>
    <row r="9" spans="1:8" ht="12.75">
      <c r="A9" s="71" t="s">
        <v>1228</v>
      </c>
      <c r="B9" s="47" t="s">
        <v>1229</v>
      </c>
      <c r="C9" s="32">
        <v>8598</v>
      </c>
      <c r="D9" s="32"/>
      <c r="E9" s="32">
        <v>8598</v>
      </c>
      <c r="F9" s="32">
        <v>19079</v>
      </c>
      <c r="G9" s="32"/>
      <c r="H9" s="209">
        <v>19079</v>
      </c>
    </row>
    <row r="10" spans="1:8" ht="12.75">
      <c r="A10" s="71" t="s">
        <v>1230</v>
      </c>
      <c r="B10" s="47" t="s">
        <v>1231</v>
      </c>
      <c r="C10" s="32">
        <v>10282468</v>
      </c>
      <c r="D10" s="32"/>
      <c r="E10" s="32">
        <v>10282468</v>
      </c>
      <c r="F10" s="32">
        <v>11688972</v>
      </c>
      <c r="G10" s="32"/>
      <c r="H10" s="209">
        <v>11688972</v>
      </c>
    </row>
    <row r="11" spans="1:8" ht="12.75">
      <c r="A11" s="71" t="s">
        <v>1232</v>
      </c>
      <c r="B11" s="47" t="s">
        <v>1233</v>
      </c>
      <c r="C11" s="32">
        <v>156864</v>
      </c>
      <c r="D11" s="32"/>
      <c r="E11" s="32">
        <v>156864</v>
      </c>
      <c r="F11" s="32">
        <v>264538</v>
      </c>
      <c r="G11" s="32"/>
      <c r="H11" s="209">
        <v>264538</v>
      </c>
    </row>
    <row r="12" spans="1:8" ht="12.75">
      <c r="A12" s="71" t="s">
        <v>1234</v>
      </c>
      <c r="B12" s="47" t="s">
        <v>1235</v>
      </c>
      <c r="C12" s="32">
        <v>4578507</v>
      </c>
      <c r="D12" s="32"/>
      <c r="E12" s="32">
        <v>4578507</v>
      </c>
      <c r="F12" s="32">
        <v>4581123</v>
      </c>
      <c r="G12" s="32"/>
      <c r="H12" s="209">
        <v>4581123</v>
      </c>
    </row>
    <row r="13" spans="1:8" ht="12.75">
      <c r="A13" s="71"/>
      <c r="B13" s="47"/>
      <c r="C13" s="32"/>
      <c r="D13" s="32"/>
      <c r="E13" s="32"/>
      <c r="F13" s="32"/>
      <c r="G13" s="32"/>
      <c r="H13" s="209"/>
    </row>
    <row r="14" spans="1:8" ht="12.75">
      <c r="A14" s="71" t="s">
        <v>1236</v>
      </c>
      <c r="B14" s="47" t="s">
        <v>1237</v>
      </c>
      <c r="C14" s="32">
        <f>SUM(C15:C19)</f>
        <v>2990399</v>
      </c>
      <c r="D14" s="32"/>
      <c r="E14" s="32">
        <f>SUM(E15:E19)</f>
        <v>2990399</v>
      </c>
      <c r="F14" s="32">
        <f>SUM(F15:F19)</f>
        <v>1412553</v>
      </c>
      <c r="G14" s="32"/>
      <c r="H14" s="209">
        <f>SUM(H15:H19)</f>
        <v>1412553</v>
      </c>
    </row>
    <row r="15" spans="1:8" ht="12.75">
      <c r="A15" s="71" t="s">
        <v>1228</v>
      </c>
      <c r="B15" s="47" t="s">
        <v>1238</v>
      </c>
      <c r="C15" s="32">
        <v>20468</v>
      </c>
      <c r="D15" s="32"/>
      <c r="E15" s="32">
        <v>20468</v>
      </c>
      <c r="F15" s="32">
        <v>11303</v>
      </c>
      <c r="G15" s="32"/>
      <c r="H15" s="209">
        <v>11303</v>
      </c>
    </row>
    <row r="16" spans="1:8" ht="12.75">
      <c r="A16" s="71" t="s">
        <v>1230</v>
      </c>
      <c r="B16" s="47" t="s">
        <v>1239</v>
      </c>
      <c r="C16" s="32">
        <v>373827</v>
      </c>
      <c r="D16" s="32"/>
      <c r="E16" s="32">
        <v>373827</v>
      </c>
      <c r="F16" s="32">
        <v>396128</v>
      </c>
      <c r="G16" s="32"/>
      <c r="H16" s="209">
        <v>396128</v>
      </c>
    </row>
    <row r="17" spans="1:8" ht="12.75">
      <c r="A17" s="71" t="s">
        <v>1232</v>
      </c>
      <c r="B17" s="47" t="s">
        <v>1240</v>
      </c>
      <c r="C17" s="32"/>
      <c r="D17" s="32"/>
      <c r="E17" s="32"/>
      <c r="F17" s="32"/>
      <c r="G17" s="32"/>
      <c r="H17" s="209"/>
    </row>
    <row r="18" spans="1:8" ht="12.75">
      <c r="A18" s="71" t="s">
        <v>1234</v>
      </c>
      <c r="B18" s="47" t="s">
        <v>1241</v>
      </c>
      <c r="C18" s="32">
        <v>2352273</v>
      </c>
      <c r="D18" s="32"/>
      <c r="E18" s="32">
        <v>2352273</v>
      </c>
      <c r="F18" s="32">
        <v>766327</v>
      </c>
      <c r="G18" s="32"/>
      <c r="H18" s="209">
        <v>766327</v>
      </c>
    </row>
    <row r="19" spans="1:8" ht="12.75">
      <c r="A19" s="71" t="s">
        <v>1242</v>
      </c>
      <c r="B19" s="47" t="s">
        <v>1243</v>
      </c>
      <c r="C19" s="32">
        <v>243831</v>
      </c>
      <c r="D19" s="32"/>
      <c r="E19" s="32">
        <v>243831</v>
      </c>
      <c r="F19" s="32">
        <v>238795</v>
      </c>
      <c r="G19" s="32"/>
      <c r="H19" s="209">
        <v>238795</v>
      </c>
    </row>
    <row r="20" spans="1:8" ht="12.75">
      <c r="A20" s="71"/>
      <c r="B20" s="47"/>
      <c r="C20" s="32"/>
      <c r="D20" s="32"/>
      <c r="E20" s="32"/>
      <c r="F20" s="32"/>
      <c r="G20" s="32"/>
      <c r="H20" s="209"/>
    </row>
    <row r="21" spans="1:8" ht="13.5">
      <c r="A21" s="857" t="s">
        <v>1244</v>
      </c>
      <c r="B21" s="98"/>
      <c r="C21" s="858">
        <f>SUM(C8+C14)</f>
        <v>18016836</v>
      </c>
      <c r="D21" s="858"/>
      <c r="E21" s="858">
        <f>SUM(E8+E14)</f>
        <v>18016836</v>
      </c>
      <c r="F21" s="858">
        <f>SUM(F8+F14)</f>
        <v>17966265</v>
      </c>
      <c r="G21" s="858"/>
      <c r="H21" s="859">
        <f>SUM(H8+H14)</f>
        <v>17966265</v>
      </c>
    </row>
    <row r="22" spans="1:8" ht="13.5">
      <c r="A22" s="51"/>
      <c r="B22" s="51"/>
      <c r="C22" s="72"/>
      <c r="D22" s="72"/>
      <c r="E22" s="72"/>
      <c r="F22" s="72"/>
      <c r="G22" s="72"/>
      <c r="H22" s="72"/>
    </row>
    <row r="23" spans="1:8" ht="12.75">
      <c r="A23" s="51"/>
      <c r="B23" s="51"/>
      <c r="C23" s="72"/>
      <c r="D23" s="72"/>
      <c r="E23" s="72"/>
      <c r="F23" s="72"/>
      <c r="G23" s="72"/>
      <c r="H23" s="72"/>
    </row>
    <row r="24" spans="1:8" ht="12.75">
      <c r="A24" s="51"/>
      <c r="B24" s="51"/>
      <c r="C24" s="72"/>
      <c r="D24" s="72"/>
      <c r="E24" s="72"/>
      <c r="F24" s="72"/>
      <c r="G24" s="72"/>
      <c r="H24" s="72"/>
    </row>
    <row r="25" spans="1:8" ht="12.75">
      <c r="A25" s="860"/>
      <c r="B25" s="861"/>
      <c r="C25" s="862"/>
      <c r="D25" s="862"/>
      <c r="E25" s="862"/>
      <c r="F25" s="862"/>
      <c r="G25" s="862"/>
      <c r="H25" s="862"/>
    </row>
    <row r="26" spans="1:8" ht="13.5">
      <c r="A26" s="845" t="s">
        <v>1217</v>
      </c>
      <c r="B26" s="845"/>
      <c r="C26" s="845"/>
      <c r="D26" s="845"/>
      <c r="E26" s="845"/>
      <c r="F26" s="845"/>
      <c r="G26" s="845"/>
      <c r="H26" s="845"/>
    </row>
    <row r="27" spans="1:8" ht="13.5">
      <c r="A27" s="845" t="s">
        <v>1218</v>
      </c>
      <c r="B27" s="845"/>
      <c r="C27" s="845"/>
      <c r="D27" s="845"/>
      <c r="E27" s="845"/>
      <c r="F27" s="845"/>
      <c r="G27" s="845"/>
      <c r="H27" s="845"/>
    </row>
    <row r="28" spans="1:8" ht="15.75">
      <c r="A28" s="846" t="s">
        <v>1245</v>
      </c>
      <c r="B28" s="846"/>
      <c r="C28" s="846"/>
      <c r="D28" s="846"/>
      <c r="E28" s="846"/>
      <c r="F28" s="846"/>
      <c r="G28" s="846"/>
      <c r="H28" s="846"/>
    </row>
    <row r="29" ht="13.5">
      <c r="H29" s="850" t="s">
        <v>82</v>
      </c>
    </row>
    <row r="30" spans="1:8" ht="52.5">
      <c r="A30" s="851" t="s">
        <v>1245</v>
      </c>
      <c r="B30" s="863"/>
      <c r="C30" s="853" t="s">
        <v>1220</v>
      </c>
      <c r="D30" s="853" t="s">
        <v>1221</v>
      </c>
      <c r="E30" s="853" t="s">
        <v>1222</v>
      </c>
      <c r="F30" s="853" t="s">
        <v>1223</v>
      </c>
      <c r="G30" s="853" t="s">
        <v>1224</v>
      </c>
      <c r="H30" s="854" t="s">
        <v>1225</v>
      </c>
    </row>
    <row r="31" spans="1:8" ht="13.5">
      <c r="A31" s="756" t="s">
        <v>1246</v>
      </c>
      <c r="B31" s="855" t="s">
        <v>1247</v>
      </c>
      <c r="C31" s="753">
        <f>SUM(C32:C33)</f>
        <v>10655947</v>
      </c>
      <c r="D31" s="753"/>
      <c r="E31" s="753">
        <f>SUM(E32:E33)</f>
        <v>10655947</v>
      </c>
      <c r="F31" s="864">
        <f>SUM(F32:F33)</f>
        <v>11412531</v>
      </c>
      <c r="G31" s="35"/>
      <c r="H31" s="856">
        <f>SUM(H32:H33)</f>
        <v>11412531</v>
      </c>
    </row>
    <row r="32" spans="1:8" ht="12.75">
      <c r="A32" s="71" t="s">
        <v>1028</v>
      </c>
      <c r="B32" s="47" t="s">
        <v>1248</v>
      </c>
      <c r="C32" s="32">
        <v>1211210</v>
      </c>
      <c r="D32" s="32"/>
      <c r="E32" s="32">
        <v>1211210</v>
      </c>
      <c r="F32" s="32">
        <v>9808143</v>
      </c>
      <c r="G32" s="43"/>
      <c r="H32" s="209">
        <v>9808143</v>
      </c>
    </row>
    <row r="33" spans="1:8" ht="12.75">
      <c r="A33" s="71" t="s">
        <v>1249</v>
      </c>
      <c r="B33" s="47" t="s">
        <v>1250</v>
      </c>
      <c r="C33" s="32">
        <v>9444737</v>
      </c>
      <c r="D33" s="32"/>
      <c r="E33" s="32">
        <v>9444737</v>
      </c>
      <c r="F33" s="32">
        <v>1604388</v>
      </c>
      <c r="G33" s="43"/>
      <c r="H33" s="209">
        <v>1604388</v>
      </c>
    </row>
    <row r="34" spans="1:8" ht="12.75">
      <c r="A34" s="71" t="s">
        <v>1032</v>
      </c>
      <c r="B34" s="47" t="s">
        <v>1251</v>
      </c>
      <c r="C34" s="32"/>
      <c r="D34" s="32"/>
      <c r="E34" s="32"/>
      <c r="F34" s="32"/>
      <c r="G34" s="43"/>
      <c r="H34" s="209"/>
    </row>
    <row r="35" spans="1:8" ht="12.75">
      <c r="A35" s="71"/>
      <c r="B35" s="47"/>
      <c r="C35" s="32"/>
      <c r="D35" s="32"/>
      <c r="E35" s="32"/>
      <c r="F35" s="32"/>
      <c r="G35" s="43"/>
      <c r="H35" s="209"/>
    </row>
    <row r="36" spans="1:8" ht="12.75">
      <c r="A36" s="71" t="s">
        <v>1252</v>
      </c>
      <c r="B36" s="47" t="s">
        <v>1253</v>
      </c>
      <c r="C36" s="32">
        <f>SUM(C37:C38)</f>
        <v>2448374</v>
      </c>
      <c r="D36" s="32"/>
      <c r="E36" s="32">
        <f>SUM(E37:E38)</f>
        <v>2448374</v>
      </c>
      <c r="F36" s="32">
        <f>SUM(F37:F38)</f>
        <v>891123</v>
      </c>
      <c r="G36" s="32"/>
      <c r="H36" s="209">
        <f>SUM(H37:H38)</f>
        <v>891123</v>
      </c>
    </row>
    <row r="37" spans="1:8" ht="12.75">
      <c r="A37" s="71" t="s">
        <v>1228</v>
      </c>
      <c r="B37" s="47" t="s">
        <v>1254</v>
      </c>
      <c r="C37" s="32">
        <v>2448374</v>
      </c>
      <c r="D37" s="32"/>
      <c r="E37" s="32">
        <v>2448374</v>
      </c>
      <c r="F37" s="32">
        <v>891123</v>
      </c>
      <c r="G37" s="43"/>
      <c r="H37" s="209">
        <v>891123</v>
      </c>
    </row>
    <row r="38" spans="1:8" ht="12.75">
      <c r="A38" s="71" t="s">
        <v>1255</v>
      </c>
      <c r="B38" s="47" t="s">
        <v>1256</v>
      </c>
      <c r="C38" s="32"/>
      <c r="D38" s="32"/>
      <c r="E38" s="32"/>
      <c r="F38" s="32"/>
      <c r="G38" s="43"/>
      <c r="H38" s="209"/>
    </row>
    <row r="39" spans="1:8" ht="12.75">
      <c r="A39" s="71"/>
      <c r="B39" s="47"/>
      <c r="C39" s="32"/>
      <c r="D39" s="32"/>
      <c r="E39" s="32"/>
      <c r="F39" s="32"/>
      <c r="G39" s="43"/>
      <c r="H39" s="209"/>
    </row>
    <row r="40" spans="1:8" ht="12.75">
      <c r="A40" s="71" t="s">
        <v>1257</v>
      </c>
      <c r="B40" s="47" t="s">
        <v>1258</v>
      </c>
      <c r="C40" s="32">
        <f>SUM(C41:C43)</f>
        <v>4912515</v>
      </c>
      <c r="D40" s="32"/>
      <c r="E40" s="32">
        <f>SUM(E41:E43)</f>
        <v>4912515</v>
      </c>
      <c r="F40" s="32">
        <f>SUM(F41:F43)</f>
        <v>5662611</v>
      </c>
      <c r="G40" s="43"/>
      <c r="H40" s="209">
        <f>SUM(H41:H43)</f>
        <v>5662611</v>
      </c>
    </row>
    <row r="41" spans="1:8" ht="12.75">
      <c r="A41" s="71" t="s">
        <v>1228</v>
      </c>
      <c r="B41" s="47" t="s">
        <v>1259</v>
      </c>
      <c r="C41" s="32">
        <v>4214908</v>
      </c>
      <c r="D41" s="32"/>
      <c r="E41" s="32">
        <v>4214908</v>
      </c>
      <c r="F41" s="32">
        <v>5051759</v>
      </c>
      <c r="G41" s="43"/>
      <c r="H41" s="209">
        <v>5051759</v>
      </c>
    </row>
    <row r="42" spans="1:8" ht="12.75">
      <c r="A42" s="71" t="s">
        <v>1230</v>
      </c>
      <c r="B42" s="47" t="s">
        <v>1260</v>
      </c>
      <c r="C42" s="32">
        <v>549877</v>
      </c>
      <c r="D42" s="32"/>
      <c r="E42" s="32">
        <v>549877</v>
      </c>
      <c r="F42" s="32">
        <v>496853</v>
      </c>
      <c r="G42" s="43"/>
      <c r="H42" s="209">
        <v>496853</v>
      </c>
    </row>
    <row r="43" spans="1:8" ht="12.75">
      <c r="A43" s="71" t="s">
        <v>1232</v>
      </c>
      <c r="B43" s="47" t="s">
        <v>1261</v>
      </c>
      <c r="C43" s="32">
        <v>147730</v>
      </c>
      <c r="D43" s="32"/>
      <c r="E43" s="32">
        <v>147730</v>
      </c>
      <c r="F43" s="32">
        <v>113999</v>
      </c>
      <c r="G43" s="43"/>
      <c r="H43" s="209">
        <v>113999</v>
      </c>
    </row>
    <row r="44" spans="1:8" ht="12.75">
      <c r="A44" s="71"/>
      <c r="B44" s="47"/>
      <c r="C44" s="32"/>
      <c r="D44" s="32"/>
      <c r="E44" s="32"/>
      <c r="F44" s="32"/>
      <c r="G44" s="43"/>
      <c r="H44" s="209"/>
    </row>
    <row r="45" spans="1:8" ht="13.5">
      <c r="A45" s="857"/>
      <c r="B45" s="98" t="s">
        <v>1262</v>
      </c>
      <c r="C45" s="865">
        <f>SUM(C31+C36+C40)</f>
        <v>18016836</v>
      </c>
      <c r="D45" s="865"/>
      <c r="E45" s="865">
        <f>SUM(E31+E36+E40)</f>
        <v>18016836</v>
      </c>
      <c r="F45" s="865">
        <f>SUM(F31+F36+F40)</f>
        <v>17966265</v>
      </c>
      <c r="G45" s="858"/>
      <c r="H45" s="859">
        <f>SUM(H31+H36+H40)</f>
        <v>17966265</v>
      </c>
    </row>
    <row r="46" spans="1:8" ht="13.5">
      <c r="A46" s="1"/>
      <c r="B46" s="1"/>
      <c r="C46" s="4"/>
      <c r="D46" s="4"/>
      <c r="E46" s="4"/>
      <c r="F46" s="4"/>
      <c r="G46" s="4"/>
      <c r="H46" s="4"/>
    </row>
    <row r="47" spans="1:8" ht="12.75">
      <c r="A47" s="1"/>
      <c r="B47" s="1"/>
      <c r="C47" s="4"/>
      <c r="D47" s="4"/>
      <c r="E47" s="4"/>
      <c r="F47" s="4"/>
      <c r="G47" s="4"/>
      <c r="H47" s="4"/>
    </row>
    <row r="48" spans="1:8" ht="12.75">
      <c r="A48" s="1"/>
      <c r="B48" s="1"/>
      <c r="C48" s="4"/>
      <c r="D48" s="4"/>
      <c r="E48" s="4"/>
      <c r="F48" s="4"/>
      <c r="G48" s="4"/>
      <c r="H48" s="4"/>
    </row>
    <row r="49" spans="1:8" ht="12.75">
      <c r="A49" s="1"/>
      <c r="B49" s="1"/>
      <c r="C49" s="4"/>
      <c r="D49" s="4"/>
      <c r="E49" s="4"/>
      <c r="F49" s="4"/>
      <c r="G49" s="4"/>
      <c r="H49" s="4"/>
    </row>
  </sheetData>
  <sheetProtection selectLockedCells="1" selectUnlockedCells="1"/>
  <mergeCells count="6">
    <mergeCell ref="A2:H2"/>
    <mergeCell ref="A3:H3"/>
    <mergeCell ref="A4:H4"/>
    <mergeCell ref="A26:H26"/>
    <mergeCell ref="A27:H27"/>
    <mergeCell ref="A28:H28"/>
  </mergeCells>
  <printOptions/>
  <pageMargins left="0.31527777777777777" right="0.3541666666666667" top="0.9840277777777777" bottom="0.9840277777777777" header="0.5118055555555555" footer="0.5118055555555555"/>
  <pageSetup horizontalDpi="300" verticalDpi="300" orientation="portrait" paperSize="9" scale="95"/>
  <headerFooter alignWithMargins="0">
    <oddHeader>&amp;L18. melléklet a 16/2011.(V.02.)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C57" sqref="C57"/>
    </sheetView>
  </sheetViews>
  <sheetFormatPr defaultColWidth="9.00390625" defaultRowHeight="12.75"/>
  <cols>
    <col min="1" max="1" width="6.75390625" style="0" customWidth="1"/>
    <col min="2" max="2" width="53.00390625" style="0" customWidth="1"/>
    <col min="3" max="3" width="9.25390625" style="0" customWidth="1"/>
    <col min="4" max="4" width="9.75390625" style="0" customWidth="1"/>
    <col min="5" max="5" width="9.375" style="0" customWidth="1"/>
  </cols>
  <sheetData>
    <row r="1" spans="1:5" s="866" customFormat="1" ht="12.75">
      <c r="A1" s="844"/>
      <c r="C1" s="867"/>
      <c r="D1" s="867"/>
      <c r="E1" s="867"/>
    </row>
    <row r="2" spans="1:5" s="866" customFormat="1" ht="12.75">
      <c r="A2" s="868"/>
      <c r="B2" s="1"/>
      <c r="C2" s="4"/>
      <c r="D2" s="4"/>
      <c r="E2" s="4"/>
    </row>
    <row r="3" spans="1:5" s="866" customFormat="1" ht="13.5">
      <c r="A3" s="845" t="s">
        <v>1217</v>
      </c>
      <c r="B3" s="845"/>
      <c r="C3" s="845"/>
      <c r="D3" s="845"/>
      <c r="E3" s="845"/>
    </row>
    <row r="4" spans="1:5" s="866" customFormat="1" ht="13.5" customHeight="1">
      <c r="A4" s="845" t="s">
        <v>1263</v>
      </c>
      <c r="B4" s="845"/>
      <c r="C4" s="845"/>
      <c r="D4" s="845"/>
      <c r="E4" s="845"/>
    </row>
    <row r="5" spans="1:5" s="866" customFormat="1" ht="13.5">
      <c r="A5" s="869"/>
      <c r="B5" s="870"/>
      <c r="C5" s="870"/>
      <c r="D5" s="870"/>
      <c r="E5" s="870"/>
    </row>
    <row r="6" spans="1:5" s="866" customFormat="1" ht="13.5">
      <c r="A6" s="868"/>
      <c r="B6" s="1"/>
      <c r="C6" s="4"/>
      <c r="D6" s="4"/>
      <c r="E6" s="850"/>
    </row>
    <row r="7" spans="1:5" s="866" customFormat="1" ht="13.5">
      <c r="A7" s="871" t="s">
        <v>1264</v>
      </c>
      <c r="B7" s="872" t="s">
        <v>224</v>
      </c>
      <c r="C7" s="873" t="s">
        <v>3</v>
      </c>
      <c r="D7" s="873" t="s">
        <v>1265</v>
      </c>
      <c r="E7" s="874" t="s">
        <v>5</v>
      </c>
    </row>
    <row r="8" spans="1:5" s="866" customFormat="1" ht="13.5">
      <c r="A8" s="875" t="s">
        <v>1266</v>
      </c>
      <c r="B8" s="876"/>
      <c r="C8" s="877" t="s">
        <v>1267</v>
      </c>
      <c r="D8" s="877"/>
      <c r="E8" s="878"/>
    </row>
    <row r="9" spans="1:5" s="866" customFormat="1" ht="13.5">
      <c r="A9" s="879">
        <v>1</v>
      </c>
      <c r="B9" s="855" t="s">
        <v>9</v>
      </c>
      <c r="C9" s="753">
        <v>1781603</v>
      </c>
      <c r="D9" s="753">
        <v>1886652</v>
      </c>
      <c r="E9" s="841">
        <v>1859757</v>
      </c>
    </row>
    <row r="10" spans="1:5" s="866" customFormat="1" ht="12.75">
      <c r="A10" s="880">
        <v>2</v>
      </c>
      <c r="B10" s="47" t="s">
        <v>1268</v>
      </c>
      <c r="C10" s="32">
        <v>474811</v>
      </c>
      <c r="D10" s="32">
        <v>491710</v>
      </c>
      <c r="E10" s="209">
        <v>483371</v>
      </c>
    </row>
    <row r="11" spans="1:5" s="866" customFormat="1" ht="12.75">
      <c r="A11" s="880">
        <v>3</v>
      </c>
      <c r="B11" s="47" t="s">
        <v>1269</v>
      </c>
      <c r="C11" s="32">
        <v>1453557</v>
      </c>
      <c r="D11" s="32">
        <v>1787033</v>
      </c>
      <c r="E11" s="209">
        <v>1628155</v>
      </c>
    </row>
    <row r="12" spans="1:5" s="866" customFormat="1" ht="12.75">
      <c r="A12" s="880">
        <v>4</v>
      </c>
      <c r="B12" s="47" t="s">
        <v>1270</v>
      </c>
      <c r="C12" s="32">
        <v>229677</v>
      </c>
      <c r="D12" s="32">
        <v>211251</v>
      </c>
      <c r="E12" s="209">
        <v>198634</v>
      </c>
    </row>
    <row r="13" spans="1:5" s="866" customFormat="1" ht="12.75">
      <c r="A13" s="880">
        <v>5</v>
      </c>
      <c r="B13" s="47" t="s">
        <v>1271</v>
      </c>
      <c r="C13" s="32">
        <v>247315</v>
      </c>
      <c r="D13" s="32">
        <v>313255</v>
      </c>
      <c r="E13" s="209">
        <v>309748</v>
      </c>
    </row>
    <row r="14" spans="1:5" s="866" customFormat="1" ht="12.75">
      <c r="A14" s="880">
        <v>6</v>
      </c>
      <c r="B14" s="47" t="s">
        <v>33</v>
      </c>
      <c r="C14" s="32">
        <v>9378</v>
      </c>
      <c r="D14" s="32">
        <v>9180</v>
      </c>
      <c r="E14" s="209">
        <v>9180</v>
      </c>
    </row>
    <row r="15" spans="1:5" s="866" customFormat="1" ht="12.75">
      <c r="A15" s="880">
        <v>7</v>
      </c>
      <c r="B15" s="47" t="s">
        <v>40</v>
      </c>
      <c r="C15" s="32">
        <v>212168</v>
      </c>
      <c r="D15" s="32">
        <v>213744</v>
      </c>
      <c r="E15" s="209">
        <v>176722</v>
      </c>
    </row>
    <row r="16" spans="1:5" s="866" customFormat="1" ht="12.75">
      <c r="A16" s="880">
        <v>8</v>
      </c>
      <c r="B16" s="47" t="s">
        <v>228</v>
      </c>
      <c r="C16" s="32">
        <v>4313681</v>
      </c>
      <c r="D16" s="32">
        <v>4073452</v>
      </c>
      <c r="E16" s="209">
        <v>1480262</v>
      </c>
    </row>
    <row r="17" spans="1:5" s="866" customFormat="1" ht="12.75">
      <c r="A17" s="880">
        <v>9</v>
      </c>
      <c r="B17" s="47" t="s">
        <v>1272</v>
      </c>
      <c r="C17" s="32">
        <v>130067</v>
      </c>
      <c r="D17" s="32">
        <v>228263</v>
      </c>
      <c r="E17" s="209">
        <v>116723</v>
      </c>
    </row>
    <row r="18" spans="1:5" s="866" customFormat="1" ht="12.75">
      <c r="A18" s="880">
        <v>10</v>
      </c>
      <c r="B18" s="47" t="s">
        <v>1273</v>
      </c>
      <c r="C18" s="32">
        <v>247849</v>
      </c>
      <c r="D18" s="32">
        <v>291448</v>
      </c>
      <c r="E18" s="209">
        <v>275032</v>
      </c>
    </row>
    <row r="19" spans="1:5" s="866" customFormat="1" ht="12.75">
      <c r="A19" s="880">
        <v>11</v>
      </c>
      <c r="B19" s="47" t="s">
        <v>1274</v>
      </c>
      <c r="C19" s="32">
        <v>8500</v>
      </c>
      <c r="D19" s="32">
        <v>32545</v>
      </c>
      <c r="E19" s="209">
        <v>8842</v>
      </c>
    </row>
    <row r="20" spans="1:5" s="866" customFormat="1" ht="12.75">
      <c r="A20" s="880">
        <v>12</v>
      </c>
      <c r="B20" s="47" t="s">
        <v>1275</v>
      </c>
      <c r="C20" s="32">
        <v>0</v>
      </c>
      <c r="D20" s="32">
        <v>37241</v>
      </c>
      <c r="E20" s="209">
        <v>37241</v>
      </c>
    </row>
    <row r="21" spans="1:5" s="866" customFormat="1" ht="12.75">
      <c r="A21" s="881">
        <v>13</v>
      </c>
      <c r="B21" s="30" t="s">
        <v>1276</v>
      </c>
      <c r="C21" s="37">
        <f>SUM(C9:C20)</f>
        <v>9108606</v>
      </c>
      <c r="D21" s="37">
        <f>SUM(D9:D20)</f>
        <v>9575774</v>
      </c>
      <c r="E21" s="177">
        <f>SUM(E9:E20)</f>
        <v>6583667</v>
      </c>
    </row>
    <row r="22" spans="1:5" s="866" customFormat="1" ht="12.75">
      <c r="A22" s="881">
        <v>14</v>
      </c>
      <c r="B22" s="47" t="s">
        <v>1277</v>
      </c>
      <c r="C22" s="32">
        <v>13573</v>
      </c>
      <c r="D22" s="32">
        <v>13573</v>
      </c>
      <c r="E22" s="209">
        <v>11776</v>
      </c>
    </row>
    <row r="23" spans="1:5" s="866" customFormat="1" ht="12.75">
      <c r="A23" s="880">
        <v>15</v>
      </c>
      <c r="B23" s="47" t="s">
        <v>1278</v>
      </c>
      <c r="C23" s="32">
        <v>0</v>
      </c>
      <c r="D23" s="32">
        <v>0</v>
      </c>
      <c r="E23" s="209">
        <v>0</v>
      </c>
    </row>
    <row r="24" spans="1:5" s="866" customFormat="1" ht="12.75">
      <c r="A24" s="880">
        <v>16</v>
      </c>
      <c r="B24" s="47" t="s">
        <v>1279</v>
      </c>
      <c r="C24" s="32">
        <v>0</v>
      </c>
      <c r="D24" s="32">
        <v>0</v>
      </c>
      <c r="E24" s="209">
        <v>0</v>
      </c>
    </row>
    <row r="25" spans="1:5" ht="12.75">
      <c r="A25" s="880">
        <v>17</v>
      </c>
      <c r="B25" s="47" t="s">
        <v>1280</v>
      </c>
      <c r="C25" s="32">
        <v>0</v>
      </c>
      <c r="D25" s="32">
        <v>0</v>
      </c>
      <c r="E25" s="209">
        <v>0</v>
      </c>
    </row>
    <row r="26" spans="1:5" ht="12.75">
      <c r="A26" s="881">
        <v>18</v>
      </c>
      <c r="B26" s="30" t="s">
        <v>1281</v>
      </c>
      <c r="C26" s="37">
        <f>SUM(C22:C25)</f>
        <v>13573</v>
      </c>
      <c r="D26" s="37">
        <f>SUM(D22:D25)</f>
        <v>13573</v>
      </c>
      <c r="E26" s="177">
        <f>SUM(E22:E25)</f>
        <v>11776</v>
      </c>
    </row>
    <row r="27" spans="1:5" ht="13.5">
      <c r="A27" s="881">
        <v>19</v>
      </c>
      <c r="B27" s="882" t="s">
        <v>1282</v>
      </c>
      <c r="C27" s="37">
        <f>SUM(C21+C26)</f>
        <v>9122179</v>
      </c>
      <c r="D27" s="37">
        <f>SUM(D21+D26)</f>
        <v>9589347</v>
      </c>
      <c r="E27" s="177">
        <f>SUM(E21+E26)</f>
        <v>6595443</v>
      </c>
    </row>
    <row r="28" spans="1:5" ht="12.75">
      <c r="A28" s="880">
        <v>20</v>
      </c>
      <c r="B28" s="47" t="s">
        <v>1283</v>
      </c>
      <c r="C28" s="32">
        <v>182393</v>
      </c>
      <c r="D28" s="32">
        <v>53296</v>
      </c>
      <c r="E28" s="209">
        <v>0</v>
      </c>
    </row>
    <row r="29" spans="1:5" ht="12.75">
      <c r="A29" s="880">
        <v>21</v>
      </c>
      <c r="B29" s="47" t="s">
        <v>1284</v>
      </c>
      <c r="C29" s="32">
        <v>0</v>
      </c>
      <c r="D29" s="32">
        <v>0</v>
      </c>
      <c r="E29" s="209">
        <v>0</v>
      </c>
    </row>
    <row r="30" spans="1:5" ht="12.75">
      <c r="A30" s="880">
        <v>22</v>
      </c>
      <c r="B30" s="47" t="s">
        <v>1285</v>
      </c>
      <c r="C30" s="32">
        <v>0</v>
      </c>
      <c r="D30" s="32">
        <v>0</v>
      </c>
      <c r="E30" s="209">
        <v>-5036</v>
      </c>
    </row>
    <row r="31" spans="1:5" ht="13.5">
      <c r="A31" s="880">
        <v>23</v>
      </c>
      <c r="B31" s="883" t="s">
        <v>1286</v>
      </c>
      <c r="C31" s="45">
        <f>SUM(C27+C28+C30)</f>
        <v>9304572</v>
      </c>
      <c r="D31" s="45">
        <f>SUM(D27+D28+D30)</f>
        <v>9642643</v>
      </c>
      <c r="E31" s="884">
        <f>SUM(E27+E28+E30)</f>
        <v>6590407</v>
      </c>
    </row>
    <row r="32" spans="1:5" ht="12.75">
      <c r="A32" s="880">
        <v>24</v>
      </c>
      <c r="B32" s="47" t="s">
        <v>1287</v>
      </c>
      <c r="C32" s="32">
        <v>205388</v>
      </c>
      <c r="D32" s="32">
        <v>398061</v>
      </c>
      <c r="E32" s="209">
        <v>489451</v>
      </c>
    </row>
    <row r="33" spans="1:5" ht="12.75">
      <c r="A33" s="880">
        <v>25</v>
      </c>
      <c r="B33" s="47" t="s">
        <v>1288</v>
      </c>
      <c r="C33" s="32">
        <v>1853953</v>
      </c>
      <c r="D33" s="32">
        <v>1922616</v>
      </c>
      <c r="E33" s="209">
        <v>2016223</v>
      </c>
    </row>
    <row r="34" spans="1:5" ht="12.75">
      <c r="A34" s="880">
        <v>26</v>
      </c>
      <c r="B34" s="47" t="s">
        <v>1289</v>
      </c>
      <c r="C34" s="32">
        <v>890578</v>
      </c>
      <c r="D34" s="32">
        <v>1008636</v>
      </c>
      <c r="E34" s="209">
        <v>992269</v>
      </c>
    </row>
    <row r="35" spans="1:5" ht="12.75">
      <c r="A35" s="885">
        <v>27</v>
      </c>
      <c r="B35" s="886" t="s">
        <v>1290</v>
      </c>
      <c r="C35" s="32">
        <v>2700</v>
      </c>
      <c r="D35" s="32">
        <v>21942</v>
      </c>
      <c r="E35" s="209">
        <v>10198</v>
      </c>
    </row>
    <row r="36" spans="1:9" ht="12.75">
      <c r="A36" s="880">
        <v>28</v>
      </c>
      <c r="B36" s="47" t="s">
        <v>1291</v>
      </c>
      <c r="C36" s="32">
        <v>918154</v>
      </c>
      <c r="D36" s="32">
        <v>864454</v>
      </c>
      <c r="E36" s="209">
        <v>110641</v>
      </c>
      <c r="F36" s="887"/>
      <c r="G36" s="887"/>
      <c r="H36" s="887"/>
      <c r="I36" s="887"/>
    </row>
    <row r="37" spans="1:5" ht="12.75">
      <c r="A37" s="880">
        <v>29</v>
      </c>
      <c r="B37" s="47" t="s">
        <v>1292</v>
      </c>
      <c r="C37" s="32">
        <v>114154</v>
      </c>
      <c r="D37" s="32">
        <v>59654</v>
      </c>
      <c r="E37" s="209">
        <v>16684</v>
      </c>
    </row>
    <row r="38" spans="1:5" ht="12.75">
      <c r="A38" s="880">
        <v>30</v>
      </c>
      <c r="B38" s="47" t="s">
        <v>1293</v>
      </c>
      <c r="C38" s="32">
        <v>2492844</v>
      </c>
      <c r="D38" s="32">
        <v>1830264</v>
      </c>
      <c r="E38" s="209">
        <v>269955</v>
      </c>
    </row>
    <row r="39" spans="1:5" ht="12.75">
      <c r="A39" s="880">
        <v>31</v>
      </c>
      <c r="B39" s="47" t="s">
        <v>1294</v>
      </c>
      <c r="C39" s="32">
        <v>6700</v>
      </c>
      <c r="D39" s="32">
        <v>6700</v>
      </c>
      <c r="E39" s="209">
        <v>10810</v>
      </c>
    </row>
    <row r="40" spans="1:5" ht="12.75">
      <c r="A40" s="880">
        <v>32</v>
      </c>
      <c r="B40" s="47" t="s">
        <v>1295</v>
      </c>
      <c r="C40" s="32">
        <v>1070255</v>
      </c>
      <c r="D40" s="32">
        <v>1118743</v>
      </c>
      <c r="E40" s="209">
        <v>1118743</v>
      </c>
    </row>
    <row r="41" spans="1:5" ht="12.75">
      <c r="A41" s="880">
        <v>33</v>
      </c>
      <c r="B41" s="47" t="s">
        <v>1296</v>
      </c>
      <c r="C41" s="32">
        <v>1070255</v>
      </c>
      <c r="D41" s="32">
        <v>1118743</v>
      </c>
      <c r="E41" s="209">
        <v>1118743</v>
      </c>
    </row>
    <row r="42" spans="1:5" ht="12.75">
      <c r="A42" s="880">
        <v>34</v>
      </c>
      <c r="B42" s="47" t="s">
        <v>1297</v>
      </c>
      <c r="C42" s="32">
        <v>9000</v>
      </c>
      <c r="D42" s="32">
        <v>10779</v>
      </c>
      <c r="E42" s="209">
        <v>10661</v>
      </c>
    </row>
    <row r="43" spans="1:5" ht="12.75">
      <c r="A43" s="880">
        <v>35</v>
      </c>
      <c r="B43" s="47" t="s">
        <v>1298</v>
      </c>
      <c r="C43" s="32">
        <v>5000</v>
      </c>
      <c r="D43" s="32">
        <v>14241</v>
      </c>
      <c r="E43" s="209">
        <v>9241</v>
      </c>
    </row>
    <row r="44" spans="1:5" ht="25.5">
      <c r="A44" s="888">
        <v>36</v>
      </c>
      <c r="B44" s="73" t="s">
        <v>1299</v>
      </c>
      <c r="C44" s="37">
        <f>SUM(C32+C33+C34+C35+C36+C38+C39+C40+C42+C43)</f>
        <v>7454572</v>
      </c>
      <c r="D44" s="37">
        <f>SUM(D32+D33+D34+D35+D36+D38+D39+D40+D42+D43)</f>
        <v>7196436</v>
      </c>
      <c r="E44" s="177">
        <f>SUM(E32+E33+E34+E35+E36+E38+E39+E40+E42+E43)</f>
        <v>5038192</v>
      </c>
    </row>
    <row r="45" spans="1:5" ht="12.75">
      <c r="A45" s="880">
        <v>37</v>
      </c>
      <c r="B45" s="47" t="s">
        <v>1300</v>
      </c>
      <c r="C45" s="32">
        <v>0</v>
      </c>
      <c r="D45" s="32">
        <v>0</v>
      </c>
      <c r="E45" s="209">
        <v>0</v>
      </c>
    </row>
    <row r="46" spans="1:5" ht="12.75">
      <c r="A46" s="880">
        <v>38</v>
      </c>
      <c r="B46" s="47" t="s">
        <v>1301</v>
      </c>
      <c r="C46" s="32">
        <v>0</v>
      </c>
      <c r="D46" s="32">
        <v>0</v>
      </c>
      <c r="E46" s="209">
        <v>0</v>
      </c>
    </row>
    <row r="47" spans="1:5" ht="12.75">
      <c r="A47" s="880">
        <v>39</v>
      </c>
      <c r="B47" s="47" t="s">
        <v>1302</v>
      </c>
      <c r="C47" s="32">
        <v>0</v>
      </c>
      <c r="D47" s="32">
        <v>0</v>
      </c>
      <c r="E47" s="209">
        <v>0</v>
      </c>
    </row>
    <row r="48" spans="1:5" ht="12.75">
      <c r="A48" s="880">
        <v>40</v>
      </c>
      <c r="B48" s="47" t="s">
        <v>1303</v>
      </c>
      <c r="C48" s="32">
        <v>0</v>
      </c>
      <c r="D48" s="32">
        <v>0</v>
      </c>
      <c r="E48" s="209">
        <v>0</v>
      </c>
    </row>
    <row r="49" spans="1:5" ht="12.75">
      <c r="A49" s="881">
        <v>41</v>
      </c>
      <c r="B49" s="30" t="s">
        <v>1304</v>
      </c>
      <c r="C49" s="37">
        <f>SUM(C45:C48)</f>
        <v>0</v>
      </c>
      <c r="D49" s="37">
        <f>SUM(D45:D48)</f>
        <v>0</v>
      </c>
      <c r="E49" s="177">
        <f>SUM(E45:E48)</f>
        <v>0</v>
      </c>
    </row>
    <row r="50" spans="1:5" ht="13.5">
      <c r="A50" s="881">
        <v>42</v>
      </c>
      <c r="B50" s="883" t="s">
        <v>1305</v>
      </c>
      <c r="C50" s="45">
        <f>SUM(C44+C49)</f>
        <v>7454572</v>
      </c>
      <c r="D50" s="45">
        <f>SUM(D44+D49)</f>
        <v>7196436</v>
      </c>
      <c r="E50" s="884">
        <f>SUM(E44+E49)</f>
        <v>5038192</v>
      </c>
    </row>
    <row r="51" spans="1:5" ht="12.75">
      <c r="A51" s="880">
        <v>43</v>
      </c>
      <c r="B51" s="47" t="s">
        <v>1306</v>
      </c>
      <c r="C51" s="32">
        <v>1850000</v>
      </c>
      <c r="D51" s="32">
        <v>2446207</v>
      </c>
      <c r="E51" s="209">
        <v>2459108</v>
      </c>
    </row>
    <row r="52" spans="1:5" ht="12.75">
      <c r="A52" s="880">
        <v>44</v>
      </c>
      <c r="B52" s="47" t="s">
        <v>1307</v>
      </c>
      <c r="C52" s="32">
        <v>0</v>
      </c>
      <c r="D52" s="32">
        <v>0</v>
      </c>
      <c r="E52" s="209">
        <v>0</v>
      </c>
    </row>
    <row r="53" spans="1:5" ht="12.75">
      <c r="A53" s="880">
        <v>45</v>
      </c>
      <c r="B53" s="47" t="s">
        <v>1308</v>
      </c>
      <c r="C53" s="32">
        <v>0</v>
      </c>
      <c r="D53" s="32">
        <v>0</v>
      </c>
      <c r="E53" s="209">
        <v>-20470</v>
      </c>
    </row>
    <row r="54" spans="1:5" ht="13.5">
      <c r="A54" s="889">
        <v>46</v>
      </c>
      <c r="B54" s="890" t="s">
        <v>1309</v>
      </c>
      <c r="C54" s="891">
        <f>SUM(C50:C53)</f>
        <v>9304572</v>
      </c>
      <c r="D54" s="891">
        <f>SUM(D50:D53)</f>
        <v>9642643</v>
      </c>
      <c r="E54" s="892">
        <f>SUM(E50:E53)</f>
        <v>7476830</v>
      </c>
    </row>
    <row r="55" spans="1:5" ht="12.75">
      <c r="A55" s="881">
        <v>47</v>
      </c>
      <c r="B55" s="30" t="s">
        <v>1310</v>
      </c>
      <c r="C55" s="37">
        <f>SUM(C44+C51-C21-C28)</f>
        <v>13573</v>
      </c>
      <c r="D55" s="37">
        <f>SUM(D44+D51-D21-D28)</f>
        <v>13573</v>
      </c>
      <c r="E55" s="177">
        <f>SUM(E44+E51-E21-E28)</f>
        <v>913633</v>
      </c>
    </row>
    <row r="56" spans="1:5" ht="12.75">
      <c r="A56" s="881">
        <v>48</v>
      </c>
      <c r="B56" s="30" t="s">
        <v>1311</v>
      </c>
      <c r="C56" s="37">
        <f>SUM(C49-C26)</f>
        <v>-13573</v>
      </c>
      <c r="D56" s="37">
        <f>SUM(D49-D26)</f>
        <v>-13573</v>
      </c>
      <c r="E56" s="177">
        <f>SUM(E49-E26)</f>
        <v>-11776</v>
      </c>
    </row>
    <row r="57" spans="1:5" ht="12.75">
      <c r="A57" s="889">
        <v>49</v>
      </c>
      <c r="B57" s="893" t="s">
        <v>1312</v>
      </c>
      <c r="C57" s="179">
        <f aca="true" t="shared" si="0" ref="C57:E58">SUM(C52-C29)</f>
        <v>0</v>
      </c>
      <c r="D57" s="179">
        <f t="shared" si="0"/>
        <v>0</v>
      </c>
      <c r="E57" s="842">
        <f t="shared" si="0"/>
        <v>0</v>
      </c>
    </row>
    <row r="58" spans="1:5" ht="13.5">
      <c r="A58" s="894">
        <v>50</v>
      </c>
      <c r="B58" s="895" t="s">
        <v>1313</v>
      </c>
      <c r="C58" s="99">
        <f t="shared" si="0"/>
        <v>0</v>
      </c>
      <c r="D58" s="99">
        <f t="shared" si="0"/>
        <v>0</v>
      </c>
      <c r="E58" s="182">
        <f t="shared" si="0"/>
        <v>-15434</v>
      </c>
    </row>
    <row r="59" ht="13.5"/>
  </sheetData>
  <sheetProtection selectLockedCells="1" selectUnlockedCells="1"/>
  <mergeCells count="3">
    <mergeCell ref="A3:E3"/>
    <mergeCell ref="A4:E4"/>
    <mergeCell ref="C8:D8"/>
  </mergeCells>
  <printOptions horizontalCentered="1" verticalCentered="1"/>
  <pageMargins left="0.7875" right="0.2701388888888889" top="0.7083333333333333" bottom="0.6694444444444444" header="0.5118055555555555" footer="0.5118055555555555"/>
  <pageSetup horizontalDpi="300" verticalDpi="300" orientation="portrait" paperSize="9"/>
  <headerFooter alignWithMargins="0">
    <oddHeader>&amp;L19. melléklet a 16/2011.(V.02.)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H24" sqref="H24"/>
    </sheetView>
  </sheetViews>
  <sheetFormatPr defaultColWidth="9.00390625" defaultRowHeight="12.75"/>
  <cols>
    <col min="1" max="1" width="7.00390625" style="0" customWidth="1"/>
    <col min="2" max="2" width="41.75390625" style="0" customWidth="1"/>
    <col min="3" max="3" width="13.375" style="0" customWidth="1"/>
    <col min="4" max="4" width="10.625" style="0" customWidth="1"/>
    <col min="5" max="5" width="15.625" style="0" customWidth="1"/>
    <col min="6" max="6" width="14.25390625" style="0" customWidth="1"/>
    <col min="7" max="7" width="10.875" style="0" customWidth="1"/>
    <col min="8" max="8" width="18.625" style="0" customWidth="1"/>
  </cols>
  <sheetData>
    <row r="1" spans="1:8" ht="12.75">
      <c r="A1" s="896"/>
      <c r="B1" s="896"/>
      <c r="C1" s="897"/>
      <c r="D1" s="897"/>
      <c r="E1" s="897"/>
      <c r="F1" s="897"/>
      <c r="G1" s="897"/>
      <c r="H1" s="897"/>
    </row>
    <row r="2" spans="1:8" ht="12.75">
      <c r="A2" s="1"/>
      <c r="B2" s="1"/>
      <c r="C2" s="897"/>
      <c r="D2" s="897"/>
      <c r="E2" s="897"/>
      <c r="F2" s="897"/>
      <c r="G2" s="897"/>
      <c r="H2" s="897"/>
    </row>
    <row r="3" spans="1:8" ht="13.5">
      <c r="A3" s="845" t="s">
        <v>1314</v>
      </c>
      <c r="B3" s="845"/>
      <c r="C3" s="845"/>
      <c r="D3" s="845"/>
      <c r="E3" s="845"/>
      <c r="F3" s="845"/>
      <c r="G3" s="845"/>
      <c r="H3" s="845"/>
    </row>
    <row r="4" spans="1:8" ht="13.5" customHeight="1">
      <c r="A4" s="845" t="s">
        <v>1315</v>
      </c>
      <c r="B4" s="845"/>
      <c r="C4" s="845"/>
      <c r="D4" s="845"/>
      <c r="E4" s="845"/>
      <c r="F4" s="845"/>
      <c r="G4" s="845"/>
      <c r="H4" s="845"/>
    </row>
    <row r="5" spans="1:8" ht="13.5">
      <c r="A5" s="869"/>
      <c r="B5" s="485"/>
      <c r="C5" s="485"/>
      <c r="D5" s="485"/>
      <c r="E5" s="485"/>
      <c r="F5" s="485"/>
      <c r="G5" s="485"/>
      <c r="H5" s="485"/>
    </row>
    <row r="6" spans="1:8" ht="13.5">
      <c r="A6" s="869"/>
      <c r="B6" s="485"/>
      <c r="C6" s="485"/>
      <c r="D6" s="485"/>
      <c r="E6" s="485"/>
      <c r="F6" s="485"/>
      <c r="G6" s="485"/>
      <c r="H6" s="485"/>
    </row>
    <row r="7" spans="1:8" ht="14.25">
      <c r="A7" s="1"/>
      <c r="B7" s="869"/>
      <c r="C7" s="868"/>
      <c r="D7" s="849"/>
      <c r="E7" s="849"/>
      <c r="F7" s="849"/>
      <c r="G7" s="868"/>
      <c r="H7" s="898" t="s">
        <v>82</v>
      </c>
    </row>
    <row r="8" spans="1:8" ht="42.75" customHeight="1">
      <c r="A8" s="190"/>
      <c r="B8" s="899" t="s">
        <v>224</v>
      </c>
      <c r="C8" s="900" t="s">
        <v>1220</v>
      </c>
      <c r="D8" s="900" t="s">
        <v>1316</v>
      </c>
      <c r="E8" s="900" t="s">
        <v>1317</v>
      </c>
      <c r="F8" s="900" t="s">
        <v>1318</v>
      </c>
      <c r="G8" s="900" t="s">
        <v>1319</v>
      </c>
      <c r="H8" s="901" t="s">
        <v>1320</v>
      </c>
    </row>
    <row r="9" spans="1:8" ht="12.75" customHeight="1">
      <c r="A9" s="163" t="s">
        <v>1028</v>
      </c>
      <c r="B9" s="902" t="s">
        <v>88</v>
      </c>
      <c r="C9" s="903">
        <v>2337682</v>
      </c>
      <c r="D9" s="207">
        <v>0</v>
      </c>
      <c r="E9" s="903">
        <v>2337682</v>
      </c>
      <c r="F9" s="207">
        <v>764997</v>
      </c>
      <c r="G9" s="207">
        <v>0</v>
      </c>
      <c r="H9" s="904">
        <v>764997</v>
      </c>
    </row>
    <row r="10" spans="1:8" ht="12.75" customHeight="1">
      <c r="A10" s="163" t="s">
        <v>1030</v>
      </c>
      <c r="B10" s="902" t="s">
        <v>1321</v>
      </c>
      <c r="C10" s="903">
        <v>0</v>
      </c>
      <c r="D10" s="207">
        <v>0</v>
      </c>
      <c r="E10" s="903">
        <v>0</v>
      </c>
      <c r="F10" s="207">
        <v>0</v>
      </c>
      <c r="G10" s="207">
        <v>0</v>
      </c>
      <c r="H10" s="904">
        <v>0</v>
      </c>
    </row>
    <row r="11" spans="1:8" ht="12.75" customHeight="1">
      <c r="A11" s="163" t="s">
        <v>1032</v>
      </c>
      <c r="B11" s="905" t="s">
        <v>1322</v>
      </c>
      <c r="C11" s="903">
        <v>110692</v>
      </c>
      <c r="D11" s="207">
        <v>0</v>
      </c>
      <c r="E11" s="903">
        <v>110692</v>
      </c>
      <c r="F11" s="207">
        <v>126126</v>
      </c>
      <c r="G11" s="207">
        <v>0</v>
      </c>
      <c r="H11" s="904">
        <v>126126</v>
      </c>
    </row>
    <row r="12" spans="1:8" ht="12.75" customHeight="1">
      <c r="A12" s="163" t="s">
        <v>1034</v>
      </c>
      <c r="B12" s="906" t="s">
        <v>1323</v>
      </c>
      <c r="C12" s="903">
        <v>0</v>
      </c>
      <c r="D12" s="207">
        <v>0</v>
      </c>
      <c r="E12" s="903">
        <v>0</v>
      </c>
      <c r="F12" s="207">
        <v>238</v>
      </c>
      <c r="G12" s="207">
        <v>0</v>
      </c>
      <c r="H12" s="904">
        <v>238</v>
      </c>
    </row>
    <row r="13" spans="1:8" ht="12.75" customHeight="1">
      <c r="A13" s="163" t="s">
        <v>1036</v>
      </c>
      <c r="B13" s="906" t="s">
        <v>1324</v>
      </c>
      <c r="C13" s="903">
        <v>0</v>
      </c>
      <c r="D13" s="207">
        <v>0</v>
      </c>
      <c r="E13" s="903">
        <v>0</v>
      </c>
      <c r="F13" s="207">
        <v>0</v>
      </c>
      <c r="G13" s="207">
        <v>0</v>
      </c>
      <c r="H13" s="904">
        <v>0</v>
      </c>
    </row>
    <row r="14" spans="1:8" ht="12.75" customHeight="1">
      <c r="A14" s="163" t="s">
        <v>1038</v>
      </c>
      <c r="B14" s="907" t="s">
        <v>1325</v>
      </c>
      <c r="C14" s="908">
        <f aca="true" t="shared" si="0" ref="C14:H14">SUM(C9+C10+C11-C12-C13)</f>
        <v>2448374</v>
      </c>
      <c r="D14" s="205">
        <f t="shared" si="0"/>
        <v>0</v>
      </c>
      <c r="E14" s="205">
        <f t="shared" si="0"/>
        <v>2448374</v>
      </c>
      <c r="F14" s="205">
        <f t="shared" si="0"/>
        <v>890885</v>
      </c>
      <c r="G14" s="205">
        <f t="shared" si="0"/>
        <v>0</v>
      </c>
      <c r="H14" s="909">
        <f t="shared" si="0"/>
        <v>890885</v>
      </c>
    </row>
    <row r="15" spans="1:8" ht="12.75" customHeight="1">
      <c r="A15" s="163" t="s">
        <v>1040</v>
      </c>
      <c r="B15" s="906" t="s">
        <v>1326</v>
      </c>
      <c r="C15" s="903">
        <v>-2167</v>
      </c>
      <c r="D15" s="207">
        <v>0</v>
      </c>
      <c r="E15" s="903">
        <v>-2167</v>
      </c>
      <c r="F15" s="207">
        <v>35157</v>
      </c>
      <c r="G15" s="207">
        <v>0</v>
      </c>
      <c r="H15" s="904">
        <v>35157</v>
      </c>
    </row>
    <row r="16" spans="1:8" ht="12.75" customHeight="1">
      <c r="A16" s="163" t="s">
        <v>1042</v>
      </c>
      <c r="B16" s="906" t="s">
        <v>1327</v>
      </c>
      <c r="C16" s="903">
        <v>0</v>
      </c>
      <c r="D16" s="207">
        <v>0</v>
      </c>
      <c r="E16" s="207">
        <v>0</v>
      </c>
      <c r="F16" s="207">
        <v>0</v>
      </c>
      <c r="G16" s="207">
        <v>0</v>
      </c>
      <c r="H16" s="904">
        <v>0</v>
      </c>
    </row>
    <row r="17" spans="1:8" ht="12.75" customHeight="1">
      <c r="A17" s="888" t="s">
        <v>1044</v>
      </c>
      <c r="B17" s="910" t="s">
        <v>1328</v>
      </c>
      <c r="C17" s="908">
        <f aca="true" t="shared" si="1" ref="C17:H17">SUM(C14:C16)</f>
        <v>2446207</v>
      </c>
      <c r="D17" s="908">
        <f t="shared" si="1"/>
        <v>0</v>
      </c>
      <c r="E17" s="908">
        <f t="shared" si="1"/>
        <v>2446207</v>
      </c>
      <c r="F17" s="908">
        <f t="shared" si="1"/>
        <v>926042</v>
      </c>
      <c r="G17" s="908">
        <f t="shared" si="1"/>
        <v>0</v>
      </c>
      <c r="H17" s="911">
        <f t="shared" si="1"/>
        <v>926042</v>
      </c>
    </row>
    <row r="18" spans="1:8" ht="25.5">
      <c r="A18" s="163" t="s">
        <v>1046</v>
      </c>
      <c r="B18" s="905" t="s">
        <v>1329</v>
      </c>
      <c r="C18" s="903">
        <v>0</v>
      </c>
      <c r="D18" s="207">
        <v>0</v>
      </c>
      <c r="E18" s="207">
        <v>0</v>
      </c>
      <c r="F18" s="207">
        <v>0</v>
      </c>
      <c r="G18" s="207">
        <v>0</v>
      </c>
      <c r="H18" s="904">
        <v>0</v>
      </c>
    </row>
    <row r="19" spans="1:8" ht="25.5">
      <c r="A19" s="163" t="s">
        <v>1048</v>
      </c>
      <c r="B19" s="905" t="s">
        <v>1330</v>
      </c>
      <c r="C19" s="903">
        <v>0</v>
      </c>
      <c r="D19" s="207">
        <v>0</v>
      </c>
      <c r="E19" s="207">
        <v>0</v>
      </c>
      <c r="F19" s="207">
        <v>0</v>
      </c>
      <c r="G19" s="207">
        <v>0</v>
      </c>
      <c r="H19" s="904">
        <v>0</v>
      </c>
    </row>
    <row r="20" spans="1:8" ht="12.75">
      <c r="A20" s="163" t="s">
        <v>1050</v>
      </c>
      <c r="B20" s="912" t="s">
        <v>1331</v>
      </c>
      <c r="C20" s="908">
        <f aca="true" t="shared" si="2" ref="C20:H20">SUM(C17:C19)</f>
        <v>2446207</v>
      </c>
      <c r="D20" s="908">
        <f t="shared" si="2"/>
        <v>0</v>
      </c>
      <c r="E20" s="908">
        <f t="shared" si="2"/>
        <v>2446207</v>
      </c>
      <c r="F20" s="908">
        <f t="shared" si="2"/>
        <v>926042</v>
      </c>
      <c r="G20" s="908">
        <f t="shared" si="2"/>
        <v>0</v>
      </c>
      <c r="H20" s="911">
        <f t="shared" si="2"/>
        <v>926042</v>
      </c>
    </row>
    <row r="21" spans="1:8" ht="25.5">
      <c r="A21" s="163" t="s">
        <v>1052</v>
      </c>
      <c r="B21" s="905" t="s">
        <v>1332</v>
      </c>
      <c r="C21" s="903">
        <v>0</v>
      </c>
      <c r="D21" s="207">
        <v>0</v>
      </c>
      <c r="E21" s="207">
        <v>0</v>
      </c>
      <c r="F21" s="207">
        <v>0</v>
      </c>
      <c r="G21" s="207">
        <v>0</v>
      </c>
      <c r="H21" s="904">
        <v>0</v>
      </c>
    </row>
    <row r="22" spans="1:8" ht="12.75" customHeight="1">
      <c r="A22" s="913" t="s">
        <v>1054</v>
      </c>
      <c r="B22" s="914" t="s">
        <v>1333</v>
      </c>
      <c r="C22" s="813">
        <v>2446207</v>
      </c>
      <c r="D22" s="32">
        <v>0</v>
      </c>
      <c r="E22" s="813">
        <v>2446207</v>
      </c>
      <c r="F22" s="32">
        <v>926042</v>
      </c>
      <c r="G22" s="32">
        <v>0</v>
      </c>
      <c r="H22" s="209">
        <v>926042</v>
      </c>
    </row>
    <row r="23" spans="1:8" ht="13.5" customHeight="1">
      <c r="A23" s="915" t="s">
        <v>1056</v>
      </c>
      <c r="B23" s="916" t="s">
        <v>1334</v>
      </c>
      <c r="C23" s="917">
        <v>0</v>
      </c>
      <c r="D23" s="865">
        <v>0</v>
      </c>
      <c r="E23" s="917">
        <v>0</v>
      </c>
      <c r="F23" s="865">
        <v>0</v>
      </c>
      <c r="G23" s="865">
        <v>0</v>
      </c>
      <c r="H23" s="859">
        <v>0</v>
      </c>
    </row>
    <row r="24" ht="13.5"/>
  </sheetData>
  <sheetProtection selectLockedCells="1" selectUnlockedCells="1"/>
  <mergeCells count="3">
    <mergeCell ref="A1:B1"/>
    <mergeCell ref="A3:H3"/>
    <mergeCell ref="A4:H4"/>
  </mergeCells>
  <printOptions horizontalCentered="1"/>
  <pageMargins left="0.7875" right="0.5298611111111111" top="0.9840277777777777" bottom="0.9840277777777777" header="0.5118055555555555" footer="0.5118055555555555"/>
  <pageSetup horizontalDpi="300" verticalDpi="300" orientation="landscape" paperSize="9"/>
  <headerFooter alignWithMargins="0">
    <oddHeader>&amp;L20. melléklet a 16/2011.(V.02.)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28" sqref="D28"/>
    </sheetView>
  </sheetViews>
  <sheetFormatPr defaultColWidth="9.00390625" defaultRowHeight="12.75"/>
  <cols>
    <col min="1" max="1" width="7.00390625" style="0" customWidth="1"/>
    <col min="2" max="2" width="51.125" style="0" customWidth="1"/>
    <col min="3" max="3" width="13.375" style="0" customWidth="1"/>
    <col min="4" max="4" width="10.375" style="0" customWidth="1"/>
    <col min="5" max="5" width="15.625" style="0" customWidth="1"/>
    <col min="6" max="6" width="14.25390625" style="0" customWidth="1"/>
    <col min="7" max="7" width="12.125" style="0" customWidth="1"/>
    <col min="8" max="8" width="18.625" style="0" customWidth="1"/>
  </cols>
  <sheetData>
    <row r="1" spans="1:8" ht="12.75">
      <c r="A1" s="896"/>
      <c r="B1" s="896"/>
      <c r="C1" s="897"/>
      <c r="D1" s="897"/>
      <c r="E1" s="897"/>
      <c r="F1" s="897"/>
      <c r="G1" s="897"/>
      <c r="H1" s="897"/>
    </row>
    <row r="2" spans="1:8" ht="12.75">
      <c r="A2" s="1"/>
      <c r="B2" s="1"/>
      <c r="C2" s="897"/>
      <c r="D2" s="897"/>
      <c r="E2" s="897"/>
      <c r="F2" s="897"/>
      <c r="G2" s="897"/>
      <c r="H2" s="897"/>
    </row>
    <row r="3" spans="1:8" ht="13.5">
      <c r="A3" s="845" t="s">
        <v>1335</v>
      </c>
      <c r="B3" s="845"/>
      <c r="C3" s="845"/>
      <c r="D3" s="845"/>
      <c r="E3" s="845"/>
      <c r="F3" s="845"/>
      <c r="G3" s="845"/>
      <c r="H3" s="845"/>
    </row>
    <row r="4" spans="1:8" ht="13.5" customHeight="1">
      <c r="A4" s="845" t="s">
        <v>1315</v>
      </c>
      <c r="B4" s="845"/>
      <c r="C4" s="845"/>
      <c r="D4" s="845"/>
      <c r="E4" s="845"/>
      <c r="F4" s="845"/>
      <c r="G4" s="845"/>
      <c r="H4" s="845"/>
    </row>
    <row r="5" spans="1:8" ht="13.5">
      <c r="A5" s="869"/>
      <c r="B5" s="485"/>
      <c r="C5" s="485"/>
      <c r="D5" s="485"/>
      <c r="E5" s="485"/>
      <c r="F5" s="485"/>
      <c r="G5" s="485"/>
      <c r="H5" s="485"/>
    </row>
    <row r="6" spans="1:8" ht="13.5">
      <c r="A6" s="869"/>
      <c r="B6" s="485"/>
      <c r="C6" s="485"/>
      <c r="D6" s="485"/>
      <c r="E6" s="485"/>
      <c r="F6" s="485"/>
      <c r="G6" s="485"/>
      <c r="H6" s="485"/>
    </row>
    <row r="7" spans="1:8" ht="14.25">
      <c r="A7" s="1"/>
      <c r="B7" s="869"/>
      <c r="C7" s="868"/>
      <c r="D7" s="849"/>
      <c r="E7" s="849"/>
      <c r="F7" s="849"/>
      <c r="G7" s="868"/>
      <c r="H7" s="898" t="s">
        <v>82</v>
      </c>
    </row>
    <row r="8" spans="1:8" ht="42.75" customHeight="1">
      <c r="A8" s="190"/>
      <c r="B8" s="899" t="s">
        <v>224</v>
      </c>
      <c r="C8" s="900" t="s">
        <v>1336</v>
      </c>
      <c r="D8" s="900" t="s">
        <v>1316</v>
      </c>
      <c r="E8" s="900" t="s">
        <v>1317</v>
      </c>
      <c r="F8" s="900" t="s">
        <v>1318</v>
      </c>
      <c r="G8" s="900" t="s">
        <v>1319</v>
      </c>
      <c r="H8" s="901" t="s">
        <v>1320</v>
      </c>
    </row>
    <row r="9" spans="1:8" ht="12.75" customHeight="1">
      <c r="A9" s="163" t="s">
        <v>1028</v>
      </c>
      <c r="B9" s="902" t="s">
        <v>1337</v>
      </c>
      <c r="C9" s="903">
        <v>0</v>
      </c>
      <c r="D9" s="207">
        <v>0</v>
      </c>
      <c r="E9" s="903">
        <v>0</v>
      </c>
      <c r="F9" s="207">
        <v>0</v>
      </c>
      <c r="G9" s="207">
        <v>0</v>
      </c>
      <c r="H9" s="904">
        <v>0</v>
      </c>
    </row>
    <row r="10" spans="1:8" ht="12.75" customHeight="1">
      <c r="A10" s="163" t="s">
        <v>1030</v>
      </c>
      <c r="B10" s="902" t="s">
        <v>1338</v>
      </c>
      <c r="C10" s="903">
        <v>0</v>
      </c>
      <c r="D10" s="207">
        <v>0</v>
      </c>
      <c r="E10" s="903">
        <v>0</v>
      </c>
      <c r="F10" s="207">
        <v>0</v>
      </c>
      <c r="G10" s="207">
        <v>0</v>
      </c>
      <c r="H10" s="904">
        <v>0</v>
      </c>
    </row>
    <row r="11" spans="1:8" ht="12.75" customHeight="1">
      <c r="A11" s="163" t="s">
        <v>1032</v>
      </c>
      <c r="B11" s="905" t="s">
        <v>1339</v>
      </c>
      <c r="C11" s="903">
        <v>0</v>
      </c>
      <c r="D11" s="207">
        <v>0</v>
      </c>
      <c r="E11" s="903">
        <v>0</v>
      </c>
      <c r="F11" s="207">
        <v>0</v>
      </c>
      <c r="G11" s="207">
        <v>0</v>
      </c>
      <c r="H11" s="904">
        <v>0</v>
      </c>
    </row>
    <row r="12" spans="1:8" ht="12.75" customHeight="1">
      <c r="A12" s="918" t="s">
        <v>1340</v>
      </c>
      <c r="B12" s="919" t="s">
        <v>1341</v>
      </c>
      <c r="C12" s="908">
        <f aca="true" t="shared" si="0" ref="C12:H12">SUM(C9:C11)</f>
        <v>0</v>
      </c>
      <c r="D12" s="908">
        <f t="shared" si="0"/>
        <v>0</v>
      </c>
      <c r="E12" s="908">
        <f t="shared" si="0"/>
        <v>0</v>
      </c>
      <c r="F12" s="908">
        <f t="shared" si="0"/>
        <v>0</v>
      </c>
      <c r="G12" s="908">
        <f t="shared" si="0"/>
        <v>0</v>
      </c>
      <c r="H12" s="911">
        <f t="shared" si="0"/>
        <v>0</v>
      </c>
    </row>
    <row r="13" spans="1:8" ht="12.75" customHeight="1">
      <c r="A13" s="163" t="s">
        <v>1034</v>
      </c>
      <c r="B13" s="906" t="s">
        <v>1342</v>
      </c>
      <c r="C13" s="903">
        <v>0</v>
      </c>
      <c r="D13" s="207">
        <v>0</v>
      </c>
      <c r="E13" s="207">
        <v>0</v>
      </c>
      <c r="F13" s="207">
        <v>0</v>
      </c>
      <c r="G13" s="207">
        <v>0</v>
      </c>
      <c r="H13" s="904">
        <v>0</v>
      </c>
    </row>
    <row r="14" spans="1:8" ht="12.75" customHeight="1">
      <c r="A14" s="163" t="s">
        <v>1036</v>
      </c>
      <c r="B14" s="920" t="s">
        <v>1343</v>
      </c>
      <c r="C14" s="903">
        <v>0</v>
      </c>
      <c r="D14" s="207">
        <f>SUM(D9+D10+D11-D12-D13)</f>
        <v>0</v>
      </c>
      <c r="E14" s="207">
        <f>SUM(E9+E10+E11-E12-E13)</f>
        <v>0</v>
      </c>
      <c r="F14" s="207">
        <f>SUM(F9+F10+F11-F12-F13)</f>
        <v>0</v>
      </c>
      <c r="G14" s="207">
        <f>SUM(G9+G10+G11-G12-G13)</f>
        <v>0</v>
      </c>
      <c r="H14" s="904">
        <f>SUM(H9+H10+H11-H12-H13)</f>
        <v>0</v>
      </c>
    </row>
    <row r="15" spans="1:8" ht="12.75" customHeight="1">
      <c r="A15" s="163" t="s">
        <v>1038</v>
      </c>
      <c r="B15" s="906" t="s">
        <v>1344</v>
      </c>
      <c r="C15" s="903">
        <v>0</v>
      </c>
      <c r="D15" s="207">
        <v>0</v>
      </c>
      <c r="E15" s="207">
        <v>0</v>
      </c>
      <c r="F15" s="207">
        <v>0</v>
      </c>
      <c r="G15" s="207">
        <v>0</v>
      </c>
      <c r="H15" s="904">
        <v>0</v>
      </c>
    </row>
    <row r="16" spans="1:8" ht="12.75" customHeight="1">
      <c r="A16" s="918" t="s">
        <v>1345</v>
      </c>
      <c r="B16" s="919" t="s">
        <v>1346</v>
      </c>
      <c r="C16" s="908">
        <f aca="true" t="shared" si="1" ref="C16:H16">SUM(C13:C15)</f>
        <v>0</v>
      </c>
      <c r="D16" s="908">
        <f t="shared" si="1"/>
        <v>0</v>
      </c>
      <c r="E16" s="908">
        <f t="shared" si="1"/>
        <v>0</v>
      </c>
      <c r="F16" s="908">
        <f t="shared" si="1"/>
        <v>0</v>
      </c>
      <c r="G16" s="908">
        <f t="shared" si="1"/>
        <v>0</v>
      </c>
      <c r="H16" s="911">
        <f t="shared" si="1"/>
        <v>0</v>
      </c>
    </row>
    <row r="17" spans="1:8" ht="12.75" customHeight="1">
      <c r="A17" s="918" t="s">
        <v>1347</v>
      </c>
      <c r="B17" s="921" t="s">
        <v>1348</v>
      </c>
      <c r="C17" s="908">
        <f aca="true" t="shared" si="2" ref="C17:H17">SUM(C12-C16)</f>
        <v>0</v>
      </c>
      <c r="D17" s="908">
        <f t="shared" si="2"/>
        <v>0</v>
      </c>
      <c r="E17" s="908">
        <f t="shared" si="2"/>
        <v>0</v>
      </c>
      <c r="F17" s="908">
        <f t="shared" si="2"/>
        <v>0</v>
      </c>
      <c r="G17" s="908">
        <f t="shared" si="2"/>
        <v>0</v>
      </c>
      <c r="H17" s="911">
        <f t="shared" si="2"/>
        <v>0</v>
      </c>
    </row>
    <row r="18" spans="1:8" ht="12.75">
      <c r="A18" s="163" t="s">
        <v>1040</v>
      </c>
      <c r="B18" s="905" t="s">
        <v>1349</v>
      </c>
      <c r="C18" s="903">
        <v>0</v>
      </c>
      <c r="D18" s="207">
        <v>0</v>
      </c>
      <c r="E18" s="207">
        <v>0</v>
      </c>
      <c r="F18" s="207">
        <v>0</v>
      </c>
      <c r="G18" s="207">
        <v>0</v>
      </c>
      <c r="H18" s="904">
        <v>0</v>
      </c>
    </row>
    <row r="19" spans="1:8" ht="12.75">
      <c r="A19" s="163" t="s">
        <v>1042</v>
      </c>
      <c r="B19" s="905" t="s">
        <v>1350</v>
      </c>
      <c r="C19" s="903">
        <v>0</v>
      </c>
      <c r="D19" s="207">
        <v>0</v>
      </c>
      <c r="E19" s="207">
        <v>0</v>
      </c>
      <c r="F19" s="207">
        <v>0</v>
      </c>
      <c r="G19" s="207">
        <v>0</v>
      </c>
      <c r="H19" s="904">
        <v>0</v>
      </c>
    </row>
    <row r="20" spans="1:8" ht="15" customHeight="1">
      <c r="A20" s="163" t="s">
        <v>1044</v>
      </c>
      <c r="B20" s="922" t="s">
        <v>1351</v>
      </c>
      <c r="C20" s="903">
        <v>0</v>
      </c>
      <c r="D20" s="903">
        <v>0</v>
      </c>
      <c r="E20" s="903">
        <v>0</v>
      </c>
      <c r="F20" s="903">
        <v>0</v>
      </c>
      <c r="G20" s="903">
        <v>0</v>
      </c>
      <c r="H20" s="923">
        <v>0</v>
      </c>
    </row>
    <row r="21" spans="1:8" ht="12.75" customHeight="1">
      <c r="A21" s="918" t="s">
        <v>1352</v>
      </c>
      <c r="B21" s="921" t="s">
        <v>1353</v>
      </c>
      <c r="C21" s="908">
        <f aca="true" t="shared" si="3" ref="C21:H21">SUM(C17-C15-C16+C20)</f>
        <v>0</v>
      </c>
      <c r="D21" s="908">
        <f t="shared" si="3"/>
        <v>0</v>
      </c>
      <c r="E21" s="908">
        <f t="shared" si="3"/>
        <v>0</v>
      </c>
      <c r="F21" s="908">
        <f t="shared" si="3"/>
        <v>0</v>
      </c>
      <c r="G21" s="908">
        <f t="shared" si="3"/>
        <v>0</v>
      </c>
      <c r="H21" s="911">
        <f t="shared" si="3"/>
        <v>0</v>
      </c>
    </row>
    <row r="22" spans="1:8" ht="12.75" customHeight="1">
      <c r="A22" s="913" t="s">
        <v>1354</v>
      </c>
      <c r="B22" s="914" t="s">
        <v>1355</v>
      </c>
      <c r="C22" s="813">
        <v>0</v>
      </c>
      <c r="D22" s="32">
        <v>0</v>
      </c>
      <c r="E22" s="813">
        <v>0</v>
      </c>
      <c r="F22" s="32">
        <v>0</v>
      </c>
      <c r="G22" s="32">
        <v>0</v>
      </c>
      <c r="H22" s="209">
        <v>0</v>
      </c>
    </row>
    <row r="23" spans="1:8" ht="13.5" customHeight="1">
      <c r="A23" s="924" t="s">
        <v>1356</v>
      </c>
      <c r="B23" s="925" t="s">
        <v>1357</v>
      </c>
      <c r="C23" s="926">
        <f aca="true" t="shared" si="4" ref="C23:H23">SUM(C17-C19-C20-C22)</f>
        <v>0</v>
      </c>
      <c r="D23" s="926">
        <f t="shared" si="4"/>
        <v>0</v>
      </c>
      <c r="E23" s="926">
        <f t="shared" si="4"/>
        <v>0</v>
      </c>
      <c r="F23" s="926">
        <f t="shared" si="4"/>
        <v>0</v>
      </c>
      <c r="G23" s="926">
        <f t="shared" si="4"/>
        <v>0</v>
      </c>
      <c r="H23" s="927">
        <f t="shared" si="4"/>
        <v>0</v>
      </c>
    </row>
    <row r="24" ht="13.5"/>
  </sheetData>
  <sheetProtection selectLockedCells="1" selectUnlockedCells="1"/>
  <mergeCells count="3">
    <mergeCell ref="A1:B1"/>
    <mergeCell ref="A3:H3"/>
    <mergeCell ref="A4:H4"/>
  </mergeCells>
  <printOptions horizontalCentered="1" verticalCentered="1"/>
  <pageMargins left="0.31527777777777777" right="0.19652777777777777" top="0.9840277777777777" bottom="0.9840277777777777" header="0.5118055555555555" footer="0.5118055555555555"/>
  <pageSetup horizontalDpi="300" verticalDpi="300" orientation="landscape" paperSize="9"/>
  <headerFooter alignWithMargins="0">
    <oddHeader>&amp;L21. melléklet a 16/2011.(V.02.)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M36"/>
  <sheetViews>
    <sheetView workbookViewId="0" topLeftCell="A1">
      <selection activeCell="D29" sqref="D29"/>
    </sheetView>
  </sheetViews>
  <sheetFormatPr defaultColWidth="9.00390625" defaultRowHeight="12.75"/>
  <cols>
    <col min="1" max="1" width="38.25390625" style="370" customWidth="1"/>
    <col min="2" max="2" width="11.875" style="389" customWidth="1"/>
    <col min="3" max="3" width="10.75390625" style="370" customWidth="1"/>
    <col min="4" max="4" width="11.00390625" style="370" customWidth="1"/>
    <col min="5" max="8" width="9.875" style="370" customWidth="1"/>
    <col min="9" max="9" width="11.75390625" style="370" customWidth="1"/>
    <col min="10" max="10" width="11.25390625" style="370" customWidth="1"/>
    <col min="11" max="11" width="16.25390625" style="370" customWidth="1"/>
    <col min="12" max="12" width="17.375" style="928" customWidth="1"/>
    <col min="13" max="16384" width="9.125" style="370" customWidth="1"/>
  </cols>
  <sheetData>
    <row r="3" spans="1:10" ht="14.25">
      <c r="A3" s="541" t="s">
        <v>1358</v>
      </c>
      <c r="B3" s="541"/>
      <c r="C3" s="541"/>
      <c r="D3" s="541"/>
      <c r="E3" s="541"/>
      <c r="F3" s="541"/>
      <c r="G3" s="541"/>
      <c r="H3" s="541"/>
      <c r="I3" s="541"/>
      <c r="J3" s="541"/>
    </row>
    <row r="5" spans="10:12" ht="13.5">
      <c r="J5" s="929"/>
      <c r="L5" s="928" t="s">
        <v>82</v>
      </c>
    </row>
    <row r="6" spans="1:12" ht="15.75" customHeight="1">
      <c r="A6" s="930" t="s">
        <v>1359</v>
      </c>
      <c r="B6" s="931" t="s">
        <v>1360</v>
      </c>
      <c r="C6" s="932" t="s">
        <v>1361</v>
      </c>
      <c r="D6" s="932" t="s">
        <v>1362</v>
      </c>
      <c r="E6" s="933" t="s">
        <v>1363</v>
      </c>
      <c r="F6" s="933"/>
      <c r="G6" s="933" t="s">
        <v>1364</v>
      </c>
      <c r="H6" s="933"/>
      <c r="I6" s="934" t="s">
        <v>1365</v>
      </c>
      <c r="J6" s="934"/>
      <c r="K6" s="161" t="s">
        <v>1366</v>
      </c>
      <c r="L6" s="935" t="s">
        <v>1367</v>
      </c>
    </row>
    <row r="7" spans="1:12" ht="12.75">
      <c r="A7" s="930"/>
      <c r="B7" s="931"/>
      <c r="C7" s="932"/>
      <c r="D7" s="932"/>
      <c r="E7" s="933"/>
      <c r="F7" s="933"/>
      <c r="G7" s="933"/>
      <c r="H7" s="933"/>
      <c r="I7" s="934"/>
      <c r="J7" s="934"/>
      <c r="K7" s="161"/>
      <c r="L7" s="935"/>
    </row>
    <row r="8" spans="1:12" ht="12.75" customHeight="1">
      <c r="A8" s="930"/>
      <c r="B8" s="931"/>
      <c r="C8" s="932"/>
      <c r="D8" s="932"/>
      <c r="E8" s="936" t="s">
        <v>1368</v>
      </c>
      <c r="F8" s="936" t="s">
        <v>1369</v>
      </c>
      <c r="G8" s="936" t="s">
        <v>1368</v>
      </c>
      <c r="H8" s="936" t="s">
        <v>1369</v>
      </c>
      <c r="I8" s="937" t="s">
        <v>1368</v>
      </c>
      <c r="J8" s="938" t="s">
        <v>1369</v>
      </c>
      <c r="K8" s="939" t="s">
        <v>935</v>
      </c>
      <c r="L8" s="940" t="s">
        <v>935</v>
      </c>
    </row>
    <row r="9" spans="1:12" ht="13.5">
      <c r="A9" s="930"/>
      <c r="B9" s="931"/>
      <c r="C9" s="932"/>
      <c r="D9" s="932"/>
      <c r="E9" s="936"/>
      <c r="F9" s="936"/>
      <c r="G9" s="936"/>
      <c r="H9" s="936"/>
      <c r="I9" s="937"/>
      <c r="J9" s="938"/>
      <c r="K9" s="939"/>
      <c r="L9" s="940"/>
    </row>
    <row r="10" spans="1:13" ht="13.5">
      <c r="A10" s="941" t="s">
        <v>368</v>
      </c>
      <c r="B10" s="942">
        <v>121</v>
      </c>
      <c r="C10" s="942">
        <v>64480</v>
      </c>
      <c r="D10" s="943">
        <f>C10/B10</f>
        <v>532.8925619834711</v>
      </c>
      <c r="E10" s="942">
        <v>10895</v>
      </c>
      <c r="F10" s="944">
        <f>E10/C10*100</f>
        <v>16.89671215880893</v>
      </c>
      <c r="G10" s="942">
        <v>25022</v>
      </c>
      <c r="H10" s="944">
        <f>G10/C10*100</f>
        <v>38.80583126550869</v>
      </c>
      <c r="I10" s="624">
        <f>C10-E10-G10</f>
        <v>28563</v>
      </c>
      <c r="J10" s="945">
        <f>I10/C10*100</f>
        <v>44.29745657568238</v>
      </c>
      <c r="K10" s="946">
        <f>G10/B10</f>
        <v>206.79338842975207</v>
      </c>
      <c r="L10" s="947">
        <f>I10/B10</f>
        <v>236.05785123966942</v>
      </c>
      <c r="M10" s="584"/>
    </row>
    <row r="11" spans="1:13" ht="12.75">
      <c r="A11" s="393" t="s">
        <v>374</v>
      </c>
      <c r="B11" s="384">
        <v>98</v>
      </c>
      <c r="C11" s="384">
        <v>43490</v>
      </c>
      <c r="D11" s="943">
        <f aca="true" t="shared" si="0" ref="D11:D17">C11/B11</f>
        <v>443.7755102040816</v>
      </c>
      <c r="E11" s="384">
        <v>3598</v>
      </c>
      <c r="F11" s="944">
        <f aca="true" t="shared" si="1" ref="F11:F31">E11/C11*100</f>
        <v>8.273166245113819</v>
      </c>
      <c r="G11" s="384">
        <v>21224</v>
      </c>
      <c r="H11" s="944">
        <f aca="true" t="shared" si="2" ref="H11:H31">G11/C11*100</f>
        <v>48.80202345366751</v>
      </c>
      <c r="I11" s="384">
        <f aca="true" t="shared" si="3" ref="I11:I31">C11-E11-G11</f>
        <v>18668</v>
      </c>
      <c r="J11" s="945">
        <f aca="true" t="shared" si="4" ref="J11:J31">I11/C11*100</f>
        <v>42.92481030121867</v>
      </c>
      <c r="K11" s="948">
        <f aca="true" t="shared" si="5" ref="K11:K31">G11/B11</f>
        <v>216.57142857142858</v>
      </c>
      <c r="L11" s="949">
        <f aca="true" t="shared" si="6" ref="L11:L31">I11/B11</f>
        <v>190.48979591836735</v>
      </c>
      <c r="M11" s="584"/>
    </row>
    <row r="12" spans="1:13" ht="12.75">
      <c r="A12" s="393" t="s">
        <v>375</v>
      </c>
      <c r="B12" s="384">
        <v>50</v>
      </c>
      <c r="C12" s="384">
        <v>25666</v>
      </c>
      <c r="D12" s="943">
        <f t="shared" si="0"/>
        <v>513.32</v>
      </c>
      <c r="E12" s="384">
        <v>2974</v>
      </c>
      <c r="F12" s="944">
        <f t="shared" si="1"/>
        <v>11.587313956206655</v>
      </c>
      <c r="G12" s="384">
        <v>10788</v>
      </c>
      <c r="H12" s="944">
        <f t="shared" si="2"/>
        <v>42.03226057819683</v>
      </c>
      <c r="I12" s="384">
        <f t="shared" si="3"/>
        <v>11904</v>
      </c>
      <c r="J12" s="945">
        <f t="shared" si="4"/>
        <v>46.38042546559651</v>
      </c>
      <c r="K12" s="948">
        <f t="shared" si="5"/>
        <v>215.76</v>
      </c>
      <c r="L12" s="949">
        <f t="shared" si="6"/>
        <v>238.08</v>
      </c>
      <c r="M12" s="584"/>
    </row>
    <row r="13" spans="1:13" ht="12.75">
      <c r="A13" s="393" t="s">
        <v>376</v>
      </c>
      <c r="B13" s="384">
        <v>46</v>
      </c>
      <c r="C13" s="384">
        <v>21724</v>
      </c>
      <c r="D13" s="943">
        <f t="shared" si="0"/>
        <v>472.2608695652174</v>
      </c>
      <c r="E13" s="384">
        <v>1950</v>
      </c>
      <c r="F13" s="944">
        <f t="shared" si="1"/>
        <v>8.976247468237894</v>
      </c>
      <c r="G13" s="384">
        <v>9012</v>
      </c>
      <c r="H13" s="944">
        <f t="shared" si="2"/>
        <v>41.484072914748666</v>
      </c>
      <c r="I13" s="384">
        <f t="shared" si="3"/>
        <v>10762</v>
      </c>
      <c r="J13" s="945">
        <f t="shared" si="4"/>
        <v>49.53967961701344</v>
      </c>
      <c r="K13" s="948">
        <f t="shared" si="5"/>
        <v>195.91304347826087</v>
      </c>
      <c r="L13" s="949">
        <f t="shared" si="6"/>
        <v>233.95652173913044</v>
      </c>
      <c r="M13" s="584"/>
    </row>
    <row r="14" spans="1:13" ht="12.75">
      <c r="A14" s="393" t="s">
        <v>377</v>
      </c>
      <c r="B14" s="384">
        <v>100</v>
      </c>
      <c r="C14" s="384">
        <v>52455</v>
      </c>
      <c r="D14" s="943">
        <f t="shared" si="0"/>
        <v>524.55</v>
      </c>
      <c r="E14" s="384">
        <v>7474</v>
      </c>
      <c r="F14" s="944">
        <f t="shared" si="1"/>
        <v>14.248403393384807</v>
      </c>
      <c r="G14" s="384">
        <v>20452</v>
      </c>
      <c r="H14" s="944">
        <f t="shared" si="2"/>
        <v>38.9896101420265</v>
      </c>
      <c r="I14" s="384">
        <f t="shared" si="3"/>
        <v>24529</v>
      </c>
      <c r="J14" s="945">
        <f t="shared" si="4"/>
        <v>46.761986464588695</v>
      </c>
      <c r="K14" s="948">
        <f t="shared" si="5"/>
        <v>204.52</v>
      </c>
      <c r="L14" s="949">
        <f t="shared" si="6"/>
        <v>245.29</v>
      </c>
      <c r="M14" s="584"/>
    </row>
    <row r="15" spans="1:13" ht="12.75">
      <c r="A15" s="393" t="s">
        <v>1370</v>
      </c>
      <c r="B15" s="384">
        <v>75</v>
      </c>
      <c r="C15" s="384">
        <v>45881</v>
      </c>
      <c r="D15" s="943">
        <f t="shared" si="0"/>
        <v>611.7466666666667</v>
      </c>
      <c r="E15" s="384">
        <v>4897</v>
      </c>
      <c r="F15" s="944">
        <f t="shared" si="1"/>
        <v>10.673263442383558</v>
      </c>
      <c r="G15" s="384">
        <v>16794</v>
      </c>
      <c r="H15" s="944">
        <f t="shared" si="2"/>
        <v>36.60338702295068</v>
      </c>
      <c r="I15" s="384">
        <f t="shared" si="3"/>
        <v>24190</v>
      </c>
      <c r="J15" s="945">
        <f t="shared" si="4"/>
        <v>52.723349534665765</v>
      </c>
      <c r="K15" s="948">
        <f t="shared" si="5"/>
        <v>223.92</v>
      </c>
      <c r="L15" s="949">
        <f t="shared" si="6"/>
        <v>322.53333333333336</v>
      </c>
      <c r="M15" s="584"/>
    </row>
    <row r="16" spans="1:13" ht="12.75">
      <c r="A16" s="393" t="s">
        <v>379</v>
      </c>
      <c r="B16" s="384">
        <v>69</v>
      </c>
      <c r="C16" s="384">
        <v>46875</v>
      </c>
      <c r="D16" s="943">
        <f t="shared" si="0"/>
        <v>679.3478260869565</v>
      </c>
      <c r="E16" s="384">
        <v>7792</v>
      </c>
      <c r="F16" s="944">
        <f t="shared" si="1"/>
        <v>16.622933333333336</v>
      </c>
      <c r="G16" s="384">
        <v>14374</v>
      </c>
      <c r="H16" s="944">
        <f t="shared" si="2"/>
        <v>30.66453333333333</v>
      </c>
      <c r="I16" s="384">
        <f t="shared" si="3"/>
        <v>24709</v>
      </c>
      <c r="J16" s="945">
        <f t="shared" si="4"/>
        <v>52.71253333333333</v>
      </c>
      <c r="K16" s="948">
        <f t="shared" si="5"/>
        <v>208.31884057971016</v>
      </c>
      <c r="L16" s="949">
        <f t="shared" si="6"/>
        <v>358.1014492753623</v>
      </c>
      <c r="M16" s="584"/>
    </row>
    <row r="17" spans="1:13" ht="12.75">
      <c r="A17" s="393" t="s">
        <v>1371</v>
      </c>
      <c r="B17" s="384">
        <v>100</v>
      </c>
      <c r="C17" s="384">
        <v>48597</v>
      </c>
      <c r="D17" s="943">
        <f t="shared" si="0"/>
        <v>485.97</v>
      </c>
      <c r="E17" s="384">
        <v>5581</v>
      </c>
      <c r="F17" s="944">
        <f t="shared" si="1"/>
        <v>11.484247998847666</v>
      </c>
      <c r="G17" s="384">
        <v>20608</v>
      </c>
      <c r="H17" s="944">
        <f t="shared" si="2"/>
        <v>42.405909829824886</v>
      </c>
      <c r="I17" s="384">
        <f t="shared" si="3"/>
        <v>22408</v>
      </c>
      <c r="J17" s="945">
        <f t="shared" si="4"/>
        <v>46.10984217132745</v>
      </c>
      <c r="K17" s="948">
        <f t="shared" si="5"/>
        <v>206.08</v>
      </c>
      <c r="L17" s="949">
        <f t="shared" si="6"/>
        <v>224.08</v>
      </c>
      <c r="M17" s="584"/>
    </row>
    <row r="18" spans="1:13" ht="12.75">
      <c r="A18" s="393" t="s">
        <v>381</v>
      </c>
      <c r="B18" s="384">
        <v>18</v>
      </c>
      <c r="C18" s="384">
        <v>13750</v>
      </c>
      <c r="D18" s="943">
        <f>C18/B18</f>
        <v>763.8888888888889</v>
      </c>
      <c r="E18" s="384">
        <v>1177</v>
      </c>
      <c r="F18" s="944">
        <f t="shared" si="1"/>
        <v>8.559999999999999</v>
      </c>
      <c r="G18" s="384">
        <v>3902</v>
      </c>
      <c r="H18" s="944">
        <f t="shared" si="2"/>
        <v>28.37818181818182</v>
      </c>
      <c r="I18" s="384">
        <f t="shared" si="3"/>
        <v>8671</v>
      </c>
      <c r="J18" s="945">
        <f t="shared" si="4"/>
        <v>63.06181818181818</v>
      </c>
      <c r="K18" s="948">
        <f t="shared" si="5"/>
        <v>216.77777777777777</v>
      </c>
      <c r="L18" s="949">
        <f t="shared" si="6"/>
        <v>481.72222222222223</v>
      </c>
      <c r="M18" s="584"/>
    </row>
    <row r="19" spans="1:13" ht="12.75">
      <c r="A19" s="416" t="s">
        <v>1372</v>
      </c>
      <c r="B19" s="391">
        <f>SUM(B10:B18)</f>
        <v>677</v>
      </c>
      <c r="C19" s="391">
        <f>SUM(C10:C18)</f>
        <v>362918</v>
      </c>
      <c r="D19" s="950">
        <f>C19/B19</f>
        <v>536.0679468242245</v>
      </c>
      <c r="E19" s="391">
        <f>SUM(E10:E18)</f>
        <v>46338</v>
      </c>
      <c r="F19" s="951">
        <f t="shared" si="1"/>
        <v>12.7681735268022</v>
      </c>
      <c r="G19" s="391">
        <f>SUM(G10:G18)</f>
        <v>142176</v>
      </c>
      <c r="H19" s="951">
        <f t="shared" si="2"/>
        <v>39.17579177665478</v>
      </c>
      <c r="I19" s="391">
        <f t="shared" si="3"/>
        <v>174404</v>
      </c>
      <c r="J19" s="952">
        <f t="shared" si="4"/>
        <v>48.05603469654302</v>
      </c>
      <c r="K19" s="950">
        <f t="shared" si="5"/>
        <v>210.00886262924666</v>
      </c>
      <c r="L19" s="953">
        <f t="shared" si="6"/>
        <v>257.6129985228951</v>
      </c>
      <c r="M19" s="584"/>
    </row>
    <row r="20" spans="1:13" ht="12.75">
      <c r="A20" s="393"/>
      <c r="B20" s="384"/>
      <c r="C20" s="487"/>
      <c r="D20" s="950"/>
      <c r="E20" s="487"/>
      <c r="F20" s="944"/>
      <c r="G20" s="487"/>
      <c r="H20" s="944"/>
      <c r="I20" s="384"/>
      <c r="J20" s="945"/>
      <c r="K20" s="948"/>
      <c r="L20" s="949"/>
      <c r="M20" s="584"/>
    </row>
    <row r="21" spans="1:13" ht="12.75">
      <c r="A21" s="416" t="s">
        <v>1373</v>
      </c>
      <c r="B21" s="391">
        <v>53</v>
      </c>
      <c r="C21" s="391">
        <v>69750</v>
      </c>
      <c r="D21" s="950">
        <f>C21/B21</f>
        <v>1316.0377358490566</v>
      </c>
      <c r="E21" s="391">
        <v>8719</v>
      </c>
      <c r="F21" s="951">
        <f t="shared" si="1"/>
        <v>12.500358422939067</v>
      </c>
      <c r="G21" s="391">
        <v>26966</v>
      </c>
      <c r="H21" s="951">
        <f t="shared" si="2"/>
        <v>38.660931899641575</v>
      </c>
      <c r="I21" s="391">
        <f t="shared" si="3"/>
        <v>34065</v>
      </c>
      <c r="J21" s="952">
        <f t="shared" si="4"/>
        <v>48.83870967741936</v>
      </c>
      <c r="K21" s="950">
        <f t="shared" si="5"/>
        <v>508.79245283018867</v>
      </c>
      <c r="L21" s="953">
        <f t="shared" si="6"/>
        <v>642.7358490566038</v>
      </c>
      <c r="M21" s="584"/>
    </row>
    <row r="22" spans="1:13" ht="12.75">
      <c r="A22" s="393"/>
      <c r="B22" s="384"/>
      <c r="C22" s="487"/>
      <c r="D22" s="950"/>
      <c r="E22" s="487"/>
      <c r="F22" s="944"/>
      <c r="G22" s="487"/>
      <c r="H22" s="944"/>
      <c r="I22" s="384"/>
      <c r="J22" s="945"/>
      <c r="K22" s="948"/>
      <c r="L22" s="949"/>
      <c r="M22" s="584"/>
    </row>
    <row r="23" spans="1:13" ht="12.75">
      <c r="A23" s="393" t="s">
        <v>1374</v>
      </c>
      <c r="B23" s="384">
        <v>611</v>
      </c>
      <c r="C23" s="384">
        <v>287783</v>
      </c>
      <c r="D23" s="948">
        <f aca="true" t="shared" si="7" ref="D23:D29">C23/B23</f>
        <v>471.0032733224223</v>
      </c>
      <c r="E23" s="384">
        <v>34530</v>
      </c>
      <c r="F23" s="944">
        <f t="shared" si="1"/>
        <v>11.998623963194492</v>
      </c>
      <c r="G23" s="384">
        <v>122345</v>
      </c>
      <c r="H23" s="944">
        <f t="shared" si="2"/>
        <v>42.51293509345583</v>
      </c>
      <c r="I23" s="384">
        <f t="shared" si="3"/>
        <v>130908</v>
      </c>
      <c r="J23" s="945">
        <f t="shared" si="4"/>
        <v>45.48844094334968</v>
      </c>
      <c r="K23" s="948">
        <f t="shared" si="5"/>
        <v>200.23731587561375</v>
      </c>
      <c r="L23" s="949">
        <f t="shared" si="6"/>
        <v>214.25204582651392</v>
      </c>
      <c r="M23" s="584"/>
    </row>
    <row r="24" spans="1:13" ht="12.75">
      <c r="A24" s="393" t="s">
        <v>1375</v>
      </c>
      <c r="B24" s="384">
        <v>195</v>
      </c>
      <c r="C24" s="384">
        <v>95055</v>
      </c>
      <c r="D24" s="948">
        <f t="shared" si="7"/>
        <v>487.46153846153845</v>
      </c>
      <c r="E24" s="384">
        <v>7429</v>
      </c>
      <c r="F24" s="944">
        <f t="shared" si="1"/>
        <v>7.815475251170375</v>
      </c>
      <c r="G24" s="384">
        <v>41604</v>
      </c>
      <c r="H24" s="944">
        <f t="shared" si="2"/>
        <v>43.76834464257535</v>
      </c>
      <c r="I24" s="384">
        <f t="shared" si="3"/>
        <v>46022</v>
      </c>
      <c r="J24" s="945">
        <f t="shared" si="4"/>
        <v>48.416180106254274</v>
      </c>
      <c r="K24" s="948">
        <f t="shared" si="5"/>
        <v>213.35384615384615</v>
      </c>
      <c r="L24" s="949">
        <f t="shared" si="6"/>
        <v>236.0102564102564</v>
      </c>
      <c r="M24" s="584"/>
    </row>
    <row r="25" spans="1:13" ht="12.75">
      <c r="A25" s="393" t="s">
        <v>1376</v>
      </c>
      <c r="B25" s="384">
        <v>793</v>
      </c>
      <c r="C25" s="384">
        <v>342700</v>
      </c>
      <c r="D25" s="948">
        <f t="shared" si="7"/>
        <v>432.156368221942</v>
      </c>
      <c r="E25" s="384">
        <v>27453</v>
      </c>
      <c r="F25" s="944">
        <f t="shared" si="1"/>
        <v>8.010796615115261</v>
      </c>
      <c r="G25" s="384">
        <v>163193</v>
      </c>
      <c r="H25" s="944">
        <f t="shared" si="2"/>
        <v>47.619784067697694</v>
      </c>
      <c r="I25" s="384">
        <f t="shared" si="3"/>
        <v>152054</v>
      </c>
      <c r="J25" s="945">
        <f t="shared" si="4"/>
        <v>44.369419317187045</v>
      </c>
      <c r="K25" s="948">
        <f t="shared" si="5"/>
        <v>205.79192938209331</v>
      </c>
      <c r="L25" s="949">
        <f t="shared" si="6"/>
        <v>191.7452711223203</v>
      </c>
      <c r="M25" s="584"/>
    </row>
    <row r="26" spans="1:13" ht="12.75">
      <c r="A26" s="393" t="s">
        <v>1377</v>
      </c>
      <c r="B26" s="384">
        <v>190</v>
      </c>
      <c r="C26" s="384">
        <v>89874</v>
      </c>
      <c r="D26" s="948">
        <f t="shared" si="7"/>
        <v>473.0210526315789</v>
      </c>
      <c r="E26" s="384">
        <v>10771</v>
      </c>
      <c r="F26" s="944">
        <f t="shared" si="1"/>
        <v>11.984556156396733</v>
      </c>
      <c r="G26" s="384">
        <v>37323</v>
      </c>
      <c r="H26" s="944">
        <f t="shared" si="2"/>
        <v>41.52813939515321</v>
      </c>
      <c r="I26" s="384">
        <f t="shared" si="3"/>
        <v>41780</v>
      </c>
      <c r="J26" s="945">
        <f t="shared" si="4"/>
        <v>46.487304448450054</v>
      </c>
      <c r="K26" s="948">
        <f t="shared" si="5"/>
        <v>196.43684210526317</v>
      </c>
      <c r="L26" s="949">
        <f t="shared" si="6"/>
        <v>219.89473684210526</v>
      </c>
      <c r="M26" s="584"/>
    </row>
    <row r="27" spans="1:13" ht="12.75">
      <c r="A27" s="393" t="s">
        <v>1378</v>
      </c>
      <c r="B27" s="384">
        <v>103</v>
      </c>
      <c r="C27" s="384">
        <v>55435</v>
      </c>
      <c r="D27" s="948">
        <f t="shared" si="7"/>
        <v>538.2038834951456</v>
      </c>
      <c r="E27" s="384">
        <v>2629</v>
      </c>
      <c r="F27" s="944">
        <f t="shared" si="1"/>
        <v>4.742491205916839</v>
      </c>
      <c r="G27" s="384">
        <v>27912</v>
      </c>
      <c r="H27" s="944">
        <f t="shared" si="2"/>
        <v>50.3508613691711</v>
      </c>
      <c r="I27" s="384">
        <f t="shared" si="3"/>
        <v>24894</v>
      </c>
      <c r="J27" s="945">
        <f t="shared" si="4"/>
        <v>44.90664742491206</v>
      </c>
      <c r="K27" s="948">
        <f t="shared" si="5"/>
        <v>270.99029126213594</v>
      </c>
      <c r="L27" s="949">
        <f t="shared" si="6"/>
        <v>241.6893203883495</v>
      </c>
      <c r="M27" s="584"/>
    </row>
    <row r="28" spans="1:13" ht="12.75">
      <c r="A28" s="393" t="s">
        <v>1379</v>
      </c>
      <c r="B28" s="384">
        <v>366</v>
      </c>
      <c r="C28" s="384">
        <v>74449</v>
      </c>
      <c r="D28" s="948">
        <f t="shared" si="7"/>
        <v>203.41256830601094</v>
      </c>
      <c r="E28" s="384">
        <v>4646</v>
      </c>
      <c r="F28" s="944">
        <f t="shared" si="1"/>
        <v>6.240513640210077</v>
      </c>
      <c r="G28" s="384">
        <v>30653</v>
      </c>
      <c r="H28" s="944">
        <f t="shared" si="2"/>
        <v>41.17315209069295</v>
      </c>
      <c r="I28" s="384">
        <f t="shared" si="3"/>
        <v>39150</v>
      </c>
      <c r="J28" s="945">
        <f t="shared" si="4"/>
        <v>52.586334269096966</v>
      </c>
      <c r="K28" s="948">
        <f t="shared" si="5"/>
        <v>83.75136612021858</v>
      </c>
      <c r="L28" s="949">
        <f t="shared" si="6"/>
        <v>106.9672131147541</v>
      </c>
      <c r="M28" s="584"/>
    </row>
    <row r="29" spans="1:13" ht="12.75">
      <c r="A29" s="416" t="s">
        <v>1380</v>
      </c>
      <c r="B29" s="391">
        <f>SUM(B23:B28)</f>
        <v>2258</v>
      </c>
      <c r="C29" s="391">
        <f>SUM(C23:C28)</f>
        <v>945296</v>
      </c>
      <c r="D29" s="950">
        <f t="shared" si="7"/>
        <v>418.64304694419843</v>
      </c>
      <c r="E29" s="391">
        <f>SUM(E23:E28)</f>
        <v>87458</v>
      </c>
      <c r="F29" s="951">
        <f t="shared" si="1"/>
        <v>9.251916859904199</v>
      </c>
      <c r="G29" s="391">
        <f>SUM(G23:G28)</f>
        <v>423030</v>
      </c>
      <c r="H29" s="951">
        <f t="shared" si="2"/>
        <v>44.75106210118312</v>
      </c>
      <c r="I29" s="391">
        <f t="shared" si="3"/>
        <v>434808</v>
      </c>
      <c r="J29" s="952">
        <f t="shared" si="4"/>
        <v>45.99702103891268</v>
      </c>
      <c r="K29" s="950">
        <f t="shared" si="5"/>
        <v>187.34720992028343</v>
      </c>
      <c r="L29" s="953">
        <f t="shared" si="6"/>
        <v>192.56333038086802</v>
      </c>
      <c r="M29" s="584"/>
    </row>
    <row r="30" spans="1:13" ht="12.75">
      <c r="A30" s="416"/>
      <c r="B30" s="391"/>
      <c r="C30" s="391"/>
      <c r="D30" s="948"/>
      <c r="E30" s="391"/>
      <c r="F30" s="944"/>
      <c r="G30" s="391"/>
      <c r="H30" s="944"/>
      <c r="I30" s="384"/>
      <c r="J30" s="945"/>
      <c r="K30" s="948"/>
      <c r="L30" s="949"/>
      <c r="M30" s="584"/>
    </row>
    <row r="31" spans="1:13" ht="12.75">
      <c r="A31" s="416" t="s">
        <v>1381</v>
      </c>
      <c r="B31" s="391">
        <v>256</v>
      </c>
      <c r="C31" s="391">
        <v>161081</v>
      </c>
      <c r="D31" s="950">
        <f>C31/B31</f>
        <v>629.22265625</v>
      </c>
      <c r="E31" s="391">
        <v>22764</v>
      </c>
      <c r="F31" s="951">
        <f t="shared" si="1"/>
        <v>14.132020536251948</v>
      </c>
      <c r="G31" s="391">
        <v>77951</v>
      </c>
      <c r="H31" s="951">
        <f t="shared" si="2"/>
        <v>48.39242368746159</v>
      </c>
      <c r="I31" s="391">
        <f t="shared" si="3"/>
        <v>60366</v>
      </c>
      <c r="J31" s="952">
        <f t="shared" si="4"/>
        <v>37.47555577628646</v>
      </c>
      <c r="K31" s="950">
        <f t="shared" si="5"/>
        <v>304.49609375</v>
      </c>
      <c r="L31" s="953">
        <f t="shared" si="6"/>
        <v>235.8046875</v>
      </c>
      <c r="M31" s="584"/>
    </row>
    <row r="32" spans="1:13" ht="12.75">
      <c r="A32" s="954"/>
      <c r="B32" s="955"/>
      <c r="C32" s="956"/>
      <c r="D32" s="950"/>
      <c r="E32" s="956"/>
      <c r="F32" s="957"/>
      <c r="G32" s="956"/>
      <c r="H32" s="951"/>
      <c r="I32" s="384"/>
      <c r="J32" s="952"/>
      <c r="K32" s="943"/>
      <c r="L32" s="949"/>
      <c r="M32" s="584"/>
    </row>
    <row r="33" spans="1:13" ht="14.25">
      <c r="A33" s="825" t="s">
        <v>345</v>
      </c>
      <c r="B33" s="432"/>
      <c r="C33" s="432">
        <f>C19+C21+C29+C31</f>
        <v>1539045</v>
      </c>
      <c r="D33" s="958"/>
      <c r="E33" s="432"/>
      <c r="F33" s="959"/>
      <c r="G33" s="432">
        <f>G19+G21+G29+G31</f>
        <v>670123</v>
      </c>
      <c r="H33" s="959"/>
      <c r="I33" s="432">
        <f>I19+I21+I29+I31</f>
        <v>703643</v>
      </c>
      <c r="J33" s="960"/>
      <c r="K33" s="961"/>
      <c r="L33" s="962"/>
      <c r="M33" s="584"/>
    </row>
    <row r="34" ht="13.5">
      <c r="L34" s="963"/>
    </row>
    <row r="35" spans="1:12" ht="15">
      <c r="A35" s="543"/>
      <c r="B35" s="964"/>
      <c r="C35" s="965"/>
      <c r="D35" s="965"/>
      <c r="E35" s="965"/>
      <c r="F35" s="965"/>
      <c r="G35" s="965"/>
      <c r="H35" s="965"/>
      <c r="I35" s="965"/>
      <c r="J35" s="965"/>
      <c r="K35" s="965"/>
      <c r="L35" s="966"/>
    </row>
    <row r="36" spans="1:12" ht="15">
      <c r="A36" s="967"/>
      <c r="B36" s="967"/>
      <c r="C36" s="967"/>
      <c r="D36" s="967"/>
      <c r="E36" s="967"/>
      <c r="F36" s="967"/>
      <c r="G36" s="967"/>
      <c r="H36" s="967"/>
      <c r="I36" s="967"/>
      <c r="J36" s="967"/>
      <c r="K36" s="967"/>
      <c r="L36" s="967"/>
    </row>
  </sheetData>
  <sheetProtection selectLockedCells="1" selectUnlockedCells="1"/>
  <mergeCells count="19">
    <mergeCell ref="A3:J3"/>
    <mergeCell ref="A6:A9"/>
    <mergeCell ref="B6:B9"/>
    <mergeCell ref="C6:C9"/>
    <mergeCell ref="D6:D9"/>
    <mergeCell ref="E6:F7"/>
    <mergeCell ref="G6:H7"/>
    <mergeCell ref="I6:J7"/>
    <mergeCell ref="K6:K7"/>
    <mergeCell ref="L6:L7"/>
    <mergeCell ref="E8:E9"/>
    <mergeCell ref="F8:F9"/>
    <mergeCell ref="G8:G9"/>
    <mergeCell ref="H8:H9"/>
    <mergeCell ref="I8:I9"/>
    <mergeCell ref="J8:J9"/>
    <mergeCell ref="K8:K9"/>
    <mergeCell ref="L8:L9"/>
    <mergeCell ref="A36:L36"/>
  </mergeCells>
  <printOptions horizontalCentered="1"/>
  <pageMargins left="0.31527777777777777" right="0.19652777777777777" top="0.9840277777777777" bottom="0.9840277777777777" header="0.5118055555555555" footer="0.5118055555555555"/>
  <pageSetup horizontalDpi="300" verticalDpi="300" orientation="landscape" paperSize="9" scale="85"/>
  <headerFooter alignWithMargins="0">
    <oddHeader>&amp;L22. melléklet a 16/2011.(V.02.)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3" sqref="A13"/>
    </sheetView>
  </sheetViews>
  <sheetFormatPr defaultColWidth="9.00390625" defaultRowHeight="12.75"/>
  <cols>
    <col min="1" max="1" width="52.625" style="370" customWidth="1"/>
    <col min="2" max="2" width="3.125" style="370" customWidth="1"/>
    <col min="3" max="16384" width="9.125" style="370" customWidth="1"/>
  </cols>
  <sheetData>
    <row r="2" spans="1:10" ht="14.25" customHeight="1">
      <c r="A2" s="540" t="s">
        <v>1382</v>
      </c>
      <c r="B2" s="540"/>
      <c r="C2" s="540"/>
      <c r="D2" s="540"/>
      <c r="E2" s="540"/>
      <c r="F2" s="540"/>
      <c r="G2" s="540"/>
      <c r="H2" s="540"/>
      <c r="I2" s="540"/>
      <c r="J2" s="540"/>
    </row>
    <row r="3" spans="1:10" ht="14.25">
      <c r="A3" s="968"/>
      <c r="B3" s="968"/>
      <c r="C3" s="968"/>
      <c r="D3" s="968"/>
      <c r="E3" s="968"/>
      <c r="F3" s="968"/>
      <c r="G3" s="968"/>
      <c r="H3" s="968"/>
      <c r="I3" s="968"/>
      <c r="J3" s="968"/>
    </row>
    <row r="4" ht="13.5"/>
    <row r="5" spans="1:10" ht="13.5" customHeight="1">
      <c r="A5" s="969" t="s">
        <v>224</v>
      </c>
      <c r="B5" s="970"/>
      <c r="C5" s="411" t="s">
        <v>1383</v>
      </c>
      <c r="D5" s="411"/>
      <c r="E5" s="411"/>
      <c r="F5" s="411"/>
      <c r="G5" s="411"/>
      <c r="H5" s="411"/>
      <c r="I5" s="161" t="s">
        <v>1259</v>
      </c>
      <c r="J5" s="971" t="s">
        <v>151</v>
      </c>
    </row>
    <row r="6" spans="1:10" ht="38.25">
      <c r="A6" s="969"/>
      <c r="B6" s="972"/>
      <c r="C6" s="606" t="s">
        <v>1384</v>
      </c>
      <c r="D6" s="606" t="s">
        <v>1385</v>
      </c>
      <c r="E6" s="606" t="s">
        <v>1386</v>
      </c>
      <c r="F6" s="606" t="s">
        <v>1387</v>
      </c>
      <c r="G6" s="606" t="s">
        <v>1388</v>
      </c>
      <c r="H6" s="605" t="s">
        <v>1389</v>
      </c>
      <c r="I6" s="161"/>
      <c r="J6" s="971"/>
    </row>
    <row r="7" spans="1:10" ht="12.75">
      <c r="A7" s="973">
        <v>1</v>
      </c>
      <c r="B7" s="972">
        <v>2</v>
      </c>
      <c r="C7" s="606">
        <v>3</v>
      </c>
      <c r="D7" s="606">
        <v>4</v>
      </c>
      <c r="E7" s="606">
        <v>5</v>
      </c>
      <c r="F7" s="606">
        <v>6</v>
      </c>
      <c r="G7" s="606">
        <v>7</v>
      </c>
      <c r="H7" s="605">
        <v>8</v>
      </c>
      <c r="I7" s="974" t="s">
        <v>1390</v>
      </c>
      <c r="J7" s="975" t="s">
        <v>1391</v>
      </c>
    </row>
    <row r="8" spans="1:10" ht="12.75">
      <c r="A8" s="393" t="s">
        <v>1392</v>
      </c>
      <c r="B8" s="976">
        <v>1</v>
      </c>
      <c r="C8" s="384"/>
      <c r="D8" s="384">
        <v>99315</v>
      </c>
      <c r="E8" s="384">
        <v>99315</v>
      </c>
      <c r="F8" s="384">
        <v>119178</v>
      </c>
      <c r="G8" s="384">
        <v>129110</v>
      </c>
      <c r="H8" s="384">
        <v>4518846</v>
      </c>
      <c r="I8" s="391">
        <f>SUM(D8:H8)</f>
        <v>4965764</v>
      </c>
      <c r="J8" s="175">
        <f>SUM(C8+I8)</f>
        <v>4965764</v>
      </c>
    </row>
    <row r="9" spans="1:10" ht="12.75">
      <c r="A9" s="393" t="s">
        <v>1393</v>
      </c>
      <c r="B9" s="976">
        <v>2</v>
      </c>
      <c r="C9" s="384">
        <v>2527</v>
      </c>
      <c r="D9" s="384">
        <v>2581</v>
      </c>
      <c r="E9" s="384"/>
      <c r="F9" s="384"/>
      <c r="G9" s="384"/>
      <c r="H9" s="384"/>
      <c r="I9" s="391">
        <f>SUM(D9:H9)</f>
        <v>2581</v>
      </c>
      <c r="J9" s="175">
        <f>SUM(C9+I9)</f>
        <v>5108</v>
      </c>
    </row>
    <row r="10" spans="1:10" ht="12.75">
      <c r="A10" s="393" t="s">
        <v>1394</v>
      </c>
      <c r="B10" s="976">
        <v>3</v>
      </c>
      <c r="C10" s="384">
        <v>15000</v>
      </c>
      <c r="D10" s="384">
        <v>11114</v>
      </c>
      <c r="E10" s="384">
        <v>11114</v>
      </c>
      <c r="F10" s="384">
        <v>11114</v>
      </c>
      <c r="G10" s="384">
        <v>11114</v>
      </c>
      <c r="H10" s="384">
        <v>32970</v>
      </c>
      <c r="I10" s="391">
        <f>SUM(D10:H10)</f>
        <v>77426</v>
      </c>
      <c r="J10" s="175">
        <f>SUM(C10+I10)</f>
        <v>92426</v>
      </c>
    </row>
    <row r="11" spans="1:10" ht="12.75">
      <c r="A11" s="393" t="s">
        <v>1395</v>
      </c>
      <c r="B11" s="976">
        <v>4</v>
      </c>
      <c r="C11" s="384">
        <v>43248</v>
      </c>
      <c r="D11" s="384">
        <v>1203</v>
      </c>
      <c r="E11" s="384">
        <v>1203</v>
      </c>
      <c r="F11" s="384">
        <v>1203</v>
      </c>
      <c r="G11" s="384">
        <v>1203</v>
      </c>
      <c r="H11" s="384">
        <v>1176</v>
      </c>
      <c r="I11" s="391">
        <f>SUM(D11:H11)</f>
        <v>5988</v>
      </c>
      <c r="J11" s="175">
        <f>SUM(C11+I11)</f>
        <v>49236</v>
      </c>
    </row>
    <row r="12" spans="1:10" ht="25.5">
      <c r="A12" s="977" t="s">
        <v>1396</v>
      </c>
      <c r="B12" s="978">
        <v>5</v>
      </c>
      <c r="C12" s="391">
        <f>SUM(C9+C11)</f>
        <v>45775</v>
      </c>
      <c r="D12" s="391">
        <f aca="true" t="shared" si="0" ref="D12:J12">SUM(D9+D11)</f>
        <v>3784</v>
      </c>
      <c r="E12" s="391">
        <f t="shared" si="0"/>
        <v>1203</v>
      </c>
      <c r="F12" s="391">
        <f t="shared" si="0"/>
        <v>1203</v>
      </c>
      <c r="G12" s="391">
        <f t="shared" si="0"/>
        <v>1203</v>
      </c>
      <c r="H12" s="391">
        <f t="shared" si="0"/>
        <v>1176</v>
      </c>
      <c r="I12" s="391">
        <f t="shared" si="0"/>
        <v>8569</v>
      </c>
      <c r="J12" s="175">
        <f t="shared" si="0"/>
        <v>54344</v>
      </c>
    </row>
    <row r="13" spans="1:10" ht="26.25">
      <c r="A13" s="979" t="s">
        <v>1397</v>
      </c>
      <c r="B13" s="980">
        <v>6</v>
      </c>
      <c r="C13" s="408">
        <f>SUM(C8+C10)</f>
        <v>15000</v>
      </c>
      <c r="D13" s="408">
        <f aca="true" t="shared" si="1" ref="D13:J13">SUM(D8+D10)</f>
        <v>110429</v>
      </c>
      <c r="E13" s="408">
        <f t="shared" si="1"/>
        <v>110429</v>
      </c>
      <c r="F13" s="408">
        <f t="shared" si="1"/>
        <v>130292</v>
      </c>
      <c r="G13" s="408">
        <f t="shared" si="1"/>
        <v>140224</v>
      </c>
      <c r="H13" s="408">
        <f t="shared" si="1"/>
        <v>4551816</v>
      </c>
      <c r="I13" s="408">
        <f t="shared" si="1"/>
        <v>5043190</v>
      </c>
      <c r="J13" s="626">
        <f t="shared" si="1"/>
        <v>5058190</v>
      </c>
    </row>
    <row r="14" ht="13.5"/>
  </sheetData>
  <sheetProtection selectLockedCells="1" selectUnlockedCells="1"/>
  <mergeCells count="5">
    <mergeCell ref="A2:J2"/>
    <mergeCell ref="A5:A6"/>
    <mergeCell ref="C5:H5"/>
    <mergeCell ref="I5:I6"/>
    <mergeCell ref="J5:J6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>&amp;L23. melléklet a 16/2011.(V.02.)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92"/>
  <sheetViews>
    <sheetView zoomScale="50" zoomScaleNormal="50" workbookViewId="0" topLeftCell="B1">
      <selection activeCell="I16" sqref="I16"/>
    </sheetView>
  </sheetViews>
  <sheetFormatPr defaultColWidth="9.00390625" defaultRowHeight="12.75"/>
  <cols>
    <col min="1" max="1" width="6.00390625" style="410" customWidth="1"/>
    <col min="2" max="2" width="8.75390625" style="410" customWidth="1"/>
    <col min="3" max="3" width="46.625" style="410" customWidth="1"/>
    <col min="4" max="4" width="63.75390625" style="410" customWidth="1"/>
    <col min="5" max="5" width="21.25390625" style="410" customWidth="1"/>
    <col min="6" max="6" width="17.125" style="410" customWidth="1"/>
    <col min="7" max="7" width="16.625" style="410" customWidth="1"/>
    <col min="8" max="9" width="18.75390625" style="410" customWidth="1"/>
    <col min="10" max="10" width="18.00390625" style="410" customWidth="1"/>
    <col min="11" max="11" width="49.625" style="981" customWidth="1"/>
    <col min="12" max="12" width="13.25390625" style="410" customWidth="1"/>
    <col min="13" max="13" width="13.00390625" style="410" customWidth="1"/>
    <col min="14" max="14" width="13.25390625" style="410" customWidth="1"/>
    <col min="15" max="18" width="13.125" style="410" customWidth="1"/>
    <col min="19" max="19" width="12.75390625" style="410" customWidth="1"/>
    <col min="20" max="20" width="9.125" style="410" customWidth="1"/>
    <col min="21" max="21" width="11.125" style="410" customWidth="1"/>
    <col min="22" max="23" width="9.125" style="410" customWidth="1"/>
    <col min="24" max="24" width="9.875" style="410" customWidth="1"/>
    <col min="25" max="16384" width="9.125" style="410" customWidth="1"/>
  </cols>
  <sheetData>
    <row r="1" spans="1:19" ht="23.25">
      <c r="A1" s="982" t="s">
        <v>1398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</row>
    <row r="2" spans="1:19" ht="23.25">
      <c r="A2" s="983" t="s">
        <v>1399</v>
      </c>
      <c r="B2" s="983"/>
      <c r="C2" s="983"/>
      <c r="D2" s="983"/>
      <c r="E2" s="983"/>
      <c r="F2" s="983"/>
      <c r="G2" s="983"/>
      <c r="H2" s="983"/>
      <c r="I2" s="983"/>
      <c r="J2" s="983"/>
      <c r="K2" s="983"/>
      <c r="L2" s="983"/>
      <c r="M2" s="983"/>
      <c r="N2" s="983"/>
      <c r="O2" s="983"/>
      <c r="P2" s="983"/>
      <c r="Q2" s="983"/>
      <c r="R2" s="983"/>
      <c r="S2" s="983"/>
    </row>
    <row r="3" spans="1:19" ht="23.25">
      <c r="A3" s="983" t="s">
        <v>1400</v>
      </c>
      <c r="B3" s="983"/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3"/>
      <c r="R3" s="983"/>
      <c r="S3" s="983"/>
    </row>
    <row r="4" spans="2:4" ht="44.25" customHeight="1">
      <c r="B4" s="984"/>
      <c r="C4" s="985"/>
      <c r="D4" s="985"/>
    </row>
    <row r="5" spans="1:19" ht="21.75" customHeight="1">
      <c r="A5" s="986" t="s">
        <v>918</v>
      </c>
      <c r="B5" s="987" t="s">
        <v>1401</v>
      </c>
      <c r="C5" s="988" t="s">
        <v>1402</v>
      </c>
      <c r="D5" s="988" t="s">
        <v>1403</v>
      </c>
      <c r="E5" s="988" t="s">
        <v>1404</v>
      </c>
      <c r="F5" s="988" t="s">
        <v>1405</v>
      </c>
      <c r="G5" s="989" t="s">
        <v>1406</v>
      </c>
      <c r="H5" s="989"/>
      <c r="I5" s="989"/>
      <c r="J5" s="989"/>
      <c r="K5" s="988" t="s">
        <v>1407</v>
      </c>
      <c r="L5" s="988" t="s">
        <v>1408</v>
      </c>
      <c r="M5" s="988"/>
      <c r="N5" s="988"/>
      <c r="O5" s="990" t="s">
        <v>1409</v>
      </c>
      <c r="P5" s="990"/>
      <c r="Q5" s="990"/>
      <c r="R5" s="990"/>
      <c r="S5" s="990"/>
    </row>
    <row r="6" spans="1:19" ht="16.5" customHeight="1">
      <c r="A6" s="986"/>
      <c r="B6" s="987"/>
      <c r="C6" s="988"/>
      <c r="D6" s="988"/>
      <c r="E6" s="988"/>
      <c r="F6" s="988"/>
      <c r="G6" s="991">
        <v>2008</v>
      </c>
      <c r="H6" s="992">
        <v>2009</v>
      </c>
      <c r="I6" s="993">
        <v>2010</v>
      </c>
      <c r="J6" s="994" t="s">
        <v>1410</v>
      </c>
      <c r="K6" s="988"/>
      <c r="L6" s="992">
        <v>2008</v>
      </c>
      <c r="M6" s="995">
        <v>2009</v>
      </c>
      <c r="N6" s="995" t="s">
        <v>1410</v>
      </c>
      <c r="O6" s="996" t="s">
        <v>1411</v>
      </c>
      <c r="P6" s="997" t="s">
        <v>1412</v>
      </c>
      <c r="Q6" s="997" t="s">
        <v>1413</v>
      </c>
      <c r="R6" s="998" t="s">
        <v>1414</v>
      </c>
      <c r="S6" s="999" t="s">
        <v>151</v>
      </c>
    </row>
    <row r="7" spans="1:19" ht="15.75" customHeight="1">
      <c r="A7" s="986"/>
      <c r="B7" s="987"/>
      <c r="C7" s="988"/>
      <c r="D7" s="988"/>
      <c r="E7" s="988"/>
      <c r="F7" s="988"/>
      <c r="G7" s="991"/>
      <c r="H7" s="992"/>
      <c r="I7" s="993"/>
      <c r="J7" s="994"/>
      <c r="K7" s="988"/>
      <c r="L7" s="992"/>
      <c r="M7" s="995"/>
      <c r="N7" s="995"/>
      <c r="O7" s="996"/>
      <c r="P7" s="997"/>
      <c r="Q7" s="997"/>
      <c r="R7" s="998"/>
      <c r="S7" s="999"/>
    </row>
    <row r="8" spans="1:19" ht="47.25" customHeight="1">
      <c r="A8" s="986"/>
      <c r="B8" s="987"/>
      <c r="C8" s="988"/>
      <c r="D8" s="988"/>
      <c r="E8" s="988"/>
      <c r="F8" s="988"/>
      <c r="G8" s="991"/>
      <c r="H8" s="992"/>
      <c r="I8" s="993"/>
      <c r="J8" s="994"/>
      <c r="K8" s="988"/>
      <c r="L8" s="992"/>
      <c r="M8" s="995"/>
      <c r="N8" s="995"/>
      <c r="O8" s="996"/>
      <c r="P8" s="997"/>
      <c r="Q8" s="997"/>
      <c r="R8" s="998"/>
      <c r="S8" s="999"/>
    </row>
    <row r="9" spans="1:19" ht="37.5" customHeight="1">
      <c r="A9" s="1000" t="s">
        <v>1028</v>
      </c>
      <c r="B9" s="1001" t="s">
        <v>1415</v>
      </c>
      <c r="C9" s="1002" t="s">
        <v>1416</v>
      </c>
      <c r="D9" s="1002" t="s">
        <v>1417</v>
      </c>
      <c r="E9" s="1003" t="s">
        <v>1418</v>
      </c>
      <c r="F9" s="1004">
        <v>14309</v>
      </c>
      <c r="G9" s="1005">
        <v>14309</v>
      </c>
      <c r="H9" s="1006"/>
      <c r="I9" s="1007"/>
      <c r="J9" s="1008">
        <f>SUM(G9:I9)</f>
        <v>14309</v>
      </c>
      <c r="K9" s="1009" t="s">
        <v>1419</v>
      </c>
      <c r="L9" s="1010"/>
      <c r="M9" s="1011">
        <v>0</v>
      </c>
      <c r="N9" s="1012">
        <f aca="true" t="shared" si="0" ref="N9:N19">SUM(L9:M9)</f>
        <v>0</v>
      </c>
      <c r="O9" s="1013"/>
      <c r="P9" s="1014"/>
      <c r="Q9" s="1014"/>
      <c r="R9" s="1015"/>
      <c r="S9" s="1016">
        <f>SUM(O9:R9)</f>
        <v>0</v>
      </c>
    </row>
    <row r="10" spans="1:19" ht="58.5" customHeight="1">
      <c r="A10" s="1017" t="s">
        <v>1030</v>
      </c>
      <c r="B10" s="1018" t="s">
        <v>1420</v>
      </c>
      <c r="C10" s="1019" t="s">
        <v>1421</v>
      </c>
      <c r="D10" s="1020" t="s">
        <v>1422</v>
      </c>
      <c r="E10" s="1021" t="s">
        <v>1423</v>
      </c>
      <c r="F10" s="1022">
        <v>554000</v>
      </c>
      <c r="G10" s="1023"/>
      <c r="H10" s="1024">
        <v>549000</v>
      </c>
      <c r="I10" s="1025"/>
      <c r="J10" s="1026">
        <f>SUM(G10:I10)</f>
        <v>549000</v>
      </c>
      <c r="K10" s="1027" t="s">
        <v>1424</v>
      </c>
      <c r="L10" s="1028"/>
      <c r="M10" s="1029">
        <v>167386</v>
      </c>
      <c r="N10" s="1030">
        <f t="shared" si="0"/>
        <v>167386</v>
      </c>
      <c r="O10" s="1031"/>
      <c r="P10" s="1032"/>
      <c r="Q10" s="1032"/>
      <c r="R10" s="1033">
        <v>46463</v>
      </c>
      <c r="S10" s="1034">
        <f aca="true" t="shared" si="1" ref="S10:S19">SUM(O10:R10)</f>
        <v>46463</v>
      </c>
    </row>
    <row r="11" spans="1:19" ht="58.5" customHeight="1">
      <c r="A11" s="1017" t="s">
        <v>1032</v>
      </c>
      <c r="B11" s="1018" t="s">
        <v>1420</v>
      </c>
      <c r="C11" s="1019" t="s">
        <v>1425</v>
      </c>
      <c r="D11" s="1020" t="s">
        <v>1426</v>
      </c>
      <c r="E11" s="1021" t="s">
        <v>1427</v>
      </c>
      <c r="F11" s="1022">
        <v>149879</v>
      </c>
      <c r="G11" s="1023"/>
      <c r="H11" s="1024">
        <v>142597</v>
      </c>
      <c r="I11" s="1025"/>
      <c r="J11" s="1026">
        <f aca="true" t="shared" si="2" ref="J11:J68">SUM(G11:I11)</f>
        <v>142597</v>
      </c>
      <c r="K11" s="1027" t="s">
        <v>1428</v>
      </c>
      <c r="L11" s="1028"/>
      <c r="M11" s="1029">
        <v>49909</v>
      </c>
      <c r="N11" s="1030">
        <f t="shared" si="0"/>
        <v>49909</v>
      </c>
      <c r="O11" s="1031"/>
      <c r="P11" s="1032">
        <v>35510</v>
      </c>
      <c r="Q11" s="1032">
        <f>77233-P11</f>
        <v>41723</v>
      </c>
      <c r="R11" s="1033">
        <v>15455</v>
      </c>
      <c r="S11" s="1034">
        <f t="shared" si="1"/>
        <v>92688</v>
      </c>
    </row>
    <row r="12" spans="1:19" ht="105.75" customHeight="1">
      <c r="A12" s="1017" t="s">
        <v>1034</v>
      </c>
      <c r="B12" s="1018" t="s">
        <v>1420</v>
      </c>
      <c r="C12" s="1019" t="s">
        <v>1429</v>
      </c>
      <c r="D12" s="1020" t="s">
        <v>1430</v>
      </c>
      <c r="E12" s="1021" t="s">
        <v>1431</v>
      </c>
      <c r="F12" s="1022">
        <v>80000</v>
      </c>
      <c r="G12" s="1023"/>
      <c r="H12" s="1024"/>
      <c r="I12" s="1025"/>
      <c r="J12" s="1026">
        <f t="shared" si="2"/>
        <v>0</v>
      </c>
      <c r="K12" s="1027" t="s">
        <v>1432</v>
      </c>
      <c r="L12" s="1028"/>
      <c r="M12" s="1029">
        <v>0</v>
      </c>
      <c r="N12" s="1030">
        <f t="shared" si="0"/>
        <v>0</v>
      </c>
      <c r="O12" s="1031"/>
      <c r="P12" s="1032"/>
      <c r="Q12" s="1032"/>
      <c r="R12" s="1033"/>
      <c r="S12" s="1034">
        <f t="shared" si="1"/>
        <v>0</v>
      </c>
    </row>
    <row r="13" spans="1:19" ht="81" customHeight="1">
      <c r="A13" s="1017" t="s">
        <v>1036</v>
      </c>
      <c r="B13" s="1018" t="s">
        <v>1420</v>
      </c>
      <c r="C13" s="1019" t="s">
        <v>1433</v>
      </c>
      <c r="D13" s="1020" t="s">
        <v>1434</v>
      </c>
      <c r="E13" s="1021" t="s">
        <v>1418</v>
      </c>
      <c r="F13" s="1022">
        <v>80000</v>
      </c>
      <c r="G13" s="1023"/>
      <c r="H13" s="1024">
        <v>80000</v>
      </c>
      <c r="I13" s="1025"/>
      <c r="J13" s="1026">
        <f t="shared" si="2"/>
        <v>80000</v>
      </c>
      <c r="K13" s="1027" t="s">
        <v>1435</v>
      </c>
      <c r="L13" s="1028"/>
      <c r="M13" s="1029">
        <v>0</v>
      </c>
      <c r="N13" s="1030">
        <f t="shared" si="0"/>
        <v>0</v>
      </c>
      <c r="O13" s="1031"/>
      <c r="P13" s="1032"/>
      <c r="Q13" s="1032"/>
      <c r="R13" s="1033"/>
      <c r="S13" s="1034">
        <f t="shared" si="1"/>
        <v>0</v>
      </c>
    </row>
    <row r="14" spans="1:19" ht="82.5" customHeight="1">
      <c r="A14" s="1017" t="s">
        <v>1038</v>
      </c>
      <c r="B14" s="1018" t="s">
        <v>1420</v>
      </c>
      <c r="C14" s="1019" t="s">
        <v>1436</v>
      </c>
      <c r="D14" s="1020" t="s">
        <v>1437</v>
      </c>
      <c r="E14" s="1021" t="s">
        <v>1438</v>
      </c>
      <c r="F14" s="1022">
        <v>238476</v>
      </c>
      <c r="G14" s="1023"/>
      <c r="H14" s="1024">
        <v>247799</v>
      </c>
      <c r="I14" s="1025"/>
      <c r="J14" s="1026">
        <f t="shared" si="2"/>
        <v>247799</v>
      </c>
      <c r="K14" s="1027" t="s">
        <v>1439</v>
      </c>
      <c r="L14" s="1028"/>
      <c r="M14" s="1029">
        <v>83466</v>
      </c>
      <c r="N14" s="1030">
        <f t="shared" si="0"/>
        <v>83466</v>
      </c>
      <c r="O14" s="1031"/>
      <c r="P14" s="1032">
        <v>32804</v>
      </c>
      <c r="Q14" s="1032"/>
      <c r="R14" s="1033">
        <v>84595</v>
      </c>
      <c r="S14" s="1034">
        <f t="shared" si="1"/>
        <v>117399</v>
      </c>
    </row>
    <row r="15" spans="1:19" ht="78" customHeight="1">
      <c r="A15" s="1017" t="s">
        <v>1040</v>
      </c>
      <c r="B15" s="1018" t="s">
        <v>1420</v>
      </c>
      <c r="C15" s="1019" t="s">
        <v>1440</v>
      </c>
      <c r="D15" s="1020" t="s">
        <v>1441</v>
      </c>
      <c r="E15" s="1021" t="s">
        <v>1442</v>
      </c>
      <c r="F15" s="1022">
        <v>19997</v>
      </c>
      <c r="G15" s="1023"/>
      <c r="H15" s="1024">
        <v>19999</v>
      </c>
      <c r="I15" s="1025"/>
      <c r="J15" s="1026">
        <f t="shared" si="2"/>
        <v>19999</v>
      </c>
      <c r="K15" s="1027" t="s">
        <v>1443</v>
      </c>
      <c r="L15" s="1028"/>
      <c r="M15" s="1029">
        <v>5340</v>
      </c>
      <c r="N15" s="1030">
        <f t="shared" si="0"/>
        <v>5340</v>
      </c>
      <c r="O15" s="1031"/>
      <c r="P15" s="1032">
        <v>5325</v>
      </c>
      <c r="Q15" s="1032">
        <v>6300</v>
      </c>
      <c r="R15" s="1033"/>
      <c r="S15" s="1034">
        <f t="shared" si="1"/>
        <v>11625</v>
      </c>
    </row>
    <row r="16" spans="1:19" ht="58.5" customHeight="1">
      <c r="A16" s="1017" t="s">
        <v>1042</v>
      </c>
      <c r="B16" s="1018" t="s">
        <v>1420</v>
      </c>
      <c r="C16" s="1019" t="s">
        <v>1444</v>
      </c>
      <c r="D16" s="1020" t="s">
        <v>1445</v>
      </c>
      <c r="E16" s="1021" t="s">
        <v>1418</v>
      </c>
      <c r="F16" s="1022">
        <v>15000</v>
      </c>
      <c r="G16" s="1023"/>
      <c r="H16" s="1024"/>
      <c r="I16" s="1025"/>
      <c r="J16" s="1026">
        <f t="shared" si="2"/>
        <v>0</v>
      </c>
      <c r="K16" s="1027" t="s">
        <v>20</v>
      </c>
      <c r="L16" s="1035"/>
      <c r="M16" s="1029">
        <v>0</v>
      </c>
      <c r="N16" s="1030">
        <f t="shared" si="0"/>
        <v>0</v>
      </c>
      <c r="O16" s="1031"/>
      <c r="P16" s="1032"/>
      <c r="Q16" s="1032"/>
      <c r="R16" s="1033"/>
      <c r="S16" s="1034">
        <f t="shared" si="1"/>
        <v>0</v>
      </c>
    </row>
    <row r="17" spans="1:19" ht="58.5" customHeight="1">
      <c r="A17" s="1017" t="s">
        <v>1044</v>
      </c>
      <c r="B17" s="1018" t="s">
        <v>1420</v>
      </c>
      <c r="C17" s="1019" t="s">
        <v>1446</v>
      </c>
      <c r="D17" s="1020" t="s">
        <v>1447</v>
      </c>
      <c r="E17" s="1021" t="s">
        <v>1448</v>
      </c>
      <c r="F17" s="1022" t="s">
        <v>1449</v>
      </c>
      <c r="G17" s="1023"/>
      <c r="H17" s="1024" t="s">
        <v>1450</v>
      </c>
      <c r="I17" s="1025"/>
      <c r="J17" s="1036" t="s">
        <v>1450</v>
      </c>
      <c r="K17" s="1027" t="s">
        <v>1451</v>
      </c>
      <c r="L17" s="1035"/>
      <c r="M17" s="1029">
        <v>0</v>
      </c>
      <c r="N17" s="1030">
        <f t="shared" si="0"/>
        <v>0</v>
      </c>
      <c r="O17" s="1031"/>
      <c r="P17" s="1032"/>
      <c r="Q17" s="1032"/>
      <c r="R17" s="1033"/>
      <c r="S17" s="1034">
        <f t="shared" si="1"/>
        <v>0</v>
      </c>
    </row>
    <row r="18" spans="1:19" ht="58.5" customHeight="1">
      <c r="A18" s="1017" t="s">
        <v>1046</v>
      </c>
      <c r="B18" s="1018" t="s">
        <v>1420</v>
      </c>
      <c r="C18" s="1019" t="s">
        <v>1452</v>
      </c>
      <c r="D18" s="1020" t="s">
        <v>1453</v>
      </c>
      <c r="E18" s="1021" t="s">
        <v>1448</v>
      </c>
      <c r="F18" s="1022" t="s">
        <v>1454</v>
      </c>
      <c r="G18" s="1023"/>
      <c r="H18" s="1024" t="s">
        <v>1454</v>
      </c>
      <c r="I18" s="1025"/>
      <c r="J18" s="1036" t="s">
        <v>1454</v>
      </c>
      <c r="K18" s="1027" t="s">
        <v>1451</v>
      </c>
      <c r="L18" s="1035"/>
      <c r="M18" s="1029">
        <v>0</v>
      </c>
      <c r="N18" s="1030">
        <f t="shared" si="0"/>
        <v>0</v>
      </c>
      <c r="O18" s="1031"/>
      <c r="P18" s="1032"/>
      <c r="Q18" s="1032"/>
      <c r="R18" s="1033"/>
      <c r="S18" s="1034">
        <f t="shared" si="1"/>
        <v>0</v>
      </c>
    </row>
    <row r="19" spans="1:19" ht="58.5" customHeight="1">
      <c r="A19" s="1017" t="s">
        <v>1048</v>
      </c>
      <c r="B19" s="1018" t="s">
        <v>1420</v>
      </c>
      <c r="C19" s="1019" t="s">
        <v>1452</v>
      </c>
      <c r="D19" s="1020" t="s">
        <v>1455</v>
      </c>
      <c r="E19" s="1021" t="s">
        <v>1448</v>
      </c>
      <c r="F19" s="1022" t="s">
        <v>1456</v>
      </c>
      <c r="G19" s="1023"/>
      <c r="H19" s="1024" t="s">
        <v>1456</v>
      </c>
      <c r="I19" s="1025"/>
      <c r="J19" s="1036" t="s">
        <v>1456</v>
      </c>
      <c r="K19" s="1027" t="s">
        <v>1451</v>
      </c>
      <c r="L19" s="1035"/>
      <c r="M19" s="1029">
        <v>0</v>
      </c>
      <c r="N19" s="1030">
        <f t="shared" si="0"/>
        <v>0</v>
      </c>
      <c r="O19" s="1031"/>
      <c r="P19" s="1032"/>
      <c r="Q19" s="1032"/>
      <c r="R19" s="1033"/>
      <c r="S19" s="1034">
        <f t="shared" si="1"/>
        <v>0</v>
      </c>
    </row>
    <row r="20" spans="1:19" ht="58.5" customHeight="1">
      <c r="A20" s="1017" t="s">
        <v>1050</v>
      </c>
      <c r="B20" s="1018" t="s">
        <v>1420</v>
      </c>
      <c r="C20" s="1019" t="s">
        <v>1457</v>
      </c>
      <c r="D20" s="1020" t="s">
        <v>1458</v>
      </c>
      <c r="E20" s="1021" t="s">
        <v>1448</v>
      </c>
      <c r="F20" s="1037" t="s">
        <v>1459</v>
      </c>
      <c r="G20" s="1023"/>
      <c r="H20" s="1038" t="s">
        <v>1460</v>
      </c>
      <c r="I20" s="1039"/>
      <c r="J20" s="1040" t="s">
        <v>1460</v>
      </c>
      <c r="K20" s="1027" t="s">
        <v>1461</v>
      </c>
      <c r="L20" s="1035"/>
      <c r="M20" s="1029">
        <v>0</v>
      </c>
      <c r="N20" s="1030">
        <f>SUM(L20:M20)</f>
        <v>0</v>
      </c>
      <c r="O20" s="1031"/>
      <c r="P20" s="1032"/>
      <c r="Q20" s="1032"/>
      <c r="R20" s="1033"/>
      <c r="S20" s="1034">
        <f>SUM(O20:R20)</f>
        <v>0</v>
      </c>
    </row>
    <row r="21" spans="1:19" ht="108" customHeight="1">
      <c r="A21" s="1017" t="s">
        <v>1052</v>
      </c>
      <c r="B21" s="1018" t="s">
        <v>1462</v>
      </c>
      <c r="C21" s="1019" t="s">
        <v>1463</v>
      </c>
      <c r="D21" s="1020" t="s">
        <v>1464</v>
      </c>
      <c r="E21" s="1021" t="s">
        <v>1465</v>
      </c>
      <c r="F21" s="1022">
        <v>179029</v>
      </c>
      <c r="G21" s="1023"/>
      <c r="H21" s="1038">
        <v>150069</v>
      </c>
      <c r="I21" s="1039"/>
      <c r="J21" s="1026">
        <f t="shared" si="2"/>
        <v>150069</v>
      </c>
      <c r="K21" s="1027" t="s">
        <v>1466</v>
      </c>
      <c r="L21" s="1035"/>
      <c r="M21" s="1029">
        <v>0</v>
      </c>
      <c r="N21" s="1030">
        <f aca="true" t="shared" si="3" ref="N21:N68">SUM(L21:M21)</f>
        <v>0</v>
      </c>
      <c r="O21" s="1031"/>
      <c r="P21" s="1032"/>
      <c r="Q21" s="1032"/>
      <c r="R21" s="1033"/>
      <c r="S21" s="1034">
        <f aca="true" t="shared" si="4" ref="S21:S68">SUM(O21:R21)</f>
        <v>0</v>
      </c>
    </row>
    <row r="22" spans="1:19" ht="58.5" customHeight="1">
      <c r="A22" s="1017" t="s">
        <v>1054</v>
      </c>
      <c r="B22" s="1018" t="s">
        <v>1462</v>
      </c>
      <c r="C22" s="1019" t="s">
        <v>1467</v>
      </c>
      <c r="D22" s="1020" t="s">
        <v>1468</v>
      </c>
      <c r="E22" s="1021" t="s">
        <v>1469</v>
      </c>
      <c r="F22" s="1022">
        <v>20000</v>
      </c>
      <c r="G22" s="1023"/>
      <c r="H22" s="1038">
        <v>12324</v>
      </c>
      <c r="I22" s="1039"/>
      <c r="J22" s="1026">
        <f t="shared" si="2"/>
        <v>12324</v>
      </c>
      <c r="K22" s="1027" t="s">
        <v>1470</v>
      </c>
      <c r="L22" s="1035"/>
      <c r="M22" s="1029">
        <v>0</v>
      </c>
      <c r="N22" s="1030">
        <f t="shared" si="3"/>
        <v>0</v>
      </c>
      <c r="O22" s="1031"/>
      <c r="P22" s="1032"/>
      <c r="Q22" s="1032"/>
      <c r="R22" s="1033">
        <v>12324</v>
      </c>
      <c r="S22" s="1034">
        <f t="shared" si="4"/>
        <v>12324</v>
      </c>
    </row>
    <row r="23" spans="1:19" ht="101.25">
      <c r="A23" s="1017" t="s">
        <v>1056</v>
      </c>
      <c r="B23" s="1018" t="s">
        <v>1462</v>
      </c>
      <c r="C23" s="1019" t="s">
        <v>1471</v>
      </c>
      <c r="D23" s="1020" t="s">
        <v>1472</v>
      </c>
      <c r="E23" s="1021" t="s">
        <v>1465</v>
      </c>
      <c r="F23" s="1022">
        <v>53582</v>
      </c>
      <c r="G23" s="1023"/>
      <c r="H23" s="1038">
        <v>52305</v>
      </c>
      <c r="I23" s="1039"/>
      <c r="J23" s="1026">
        <f t="shared" si="2"/>
        <v>52305</v>
      </c>
      <c r="K23" s="1027" t="s">
        <v>1473</v>
      </c>
      <c r="L23" s="1035"/>
      <c r="M23" s="1029">
        <v>0</v>
      </c>
      <c r="N23" s="1030">
        <f t="shared" si="3"/>
        <v>0</v>
      </c>
      <c r="O23" s="1031"/>
      <c r="P23" s="1032"/>
      <c r="Q23" s="1032"/>
      <c r="R23" s="1033"/>
      <c r="S23" s="1034">
        <f t="shared" si="4"/>
        <v>0</v>
      </c>
    </row>
    <row r="24" spans="1:19" ht="101.25">
      <c r="A24" s="1017" t="s">
        <v>1058</v>
      </c>
      <c r="B24" s="1018" t="s">
        <v>1462</v>
      </c>
      <c r="C24" s="1019" t="s">
        <v>1474</v>
      </c>
      <c r="D24" s="1020" t="s">
        <v>1475</v>
      </c>
      <c r="E24" s="1021" t="s">
        <v>1476</v>
      </c>
      <c r="F24" s="1022">
        <v>30000</v>
      </c>
      <c r="G24" s="1023"/>
      <c r="H24" s="1038"/>
      <c r="I24" s="1039"/>
      <c r="J24" s="1026">
        <f t="shared" si="2"/>
        <v>0</v>
      </c>
      <c r="K24" s="1027" t="s">
        <v>1477</v>
      </c>
      <c r="L24" s="1035"/>
      <c r="M24" s="1029">
        <v>0</v>
      </c>
      <c r="N24" s="1030">
        <f t="shared" si="3"/>
        <v>0</v>
      </c>
      <c r="O24" s="1031"/>
      <c r="P24" s="1032"/>
      <c r="Q24" s="1032"/>
      <c r="R24" s="1033"/>
      <c r="S24" s="1034">
        <f t="shared" si="4"/>
        <v>0</v>
      </c>
    </row>
    <row r="25" spans="1:19" ht="82.5" customHeight="1">
      <c r="A25" s="1017" t="s">
        <v>1060</v>
      </c>
      <c r="B25" s="1018" t="s">
        <v>1462</v>
      </c>
      <c r="C25" s="1019" t="s">
        <v>1478</v>
      </c>
      <c r="D25" s="1020" t="s">
        <v>1479</v>
      </c>
      <c r="E25" s="1021" t="s">
        <v>1480</v>
      </c>
      <c r="F25" s="1022">
        <v>99994</v>
      </c>
      <c r="G25" s="1023"/>
      <c r="H25" s="1038"/>
      <c r="I25" s="1039"/>
      <c r="J25" s="1026">
        <f t="shared" si="2"/>
        <v>0</v>
      </c>
      <c r="K25" s="1027" t="s">
        <v>1481</v>
      </c>
      <c r="L25" s="1035"/>
      <c r="M25" s="1029">
        <v>0</v>
      </c>
      <c r="N25" s="1030">
        <f t="shared" si="3"/>
        <v>0</v>
      </c>
      <c r="O25" s="1031"/>
      <c r="P25" s="1032"/>
      <c r="Q25" s="1032"/>
      <c r="R25" s="1033"/>
      <c r="S25" s="1034">
        <f t="shared" si="4"/>
        <v>0</v>
      </c>
    </row>
    <row r="26" spans="1:19" ht="101.25">
      <c r="A26" s="1017" t="s">
        <v>1062</v>
      </c>
      <c r="B26" s="1018" t="s">
        <v>1462</v>
      </c>
      <c r="C26" s="1019" t="s">
        <v>1482</v>
      </c>
      <c r="D26" s="1020" t="s">
        <v>1483</v>
      </c>
      <c r="E26" s="1021" t="s">
        <v>1484</v>
      </c>
      <c r="F26" s="1022"/>
      <c r="G26" s="1023"/>
      <c r="H26" s="1038"/>
      <c r="I26" s="1039"/>
      <c r="J26" s="1026">
        <f t="shared" si="2"/>
        <v>0</v>
      </c>
      <c r="K26" s="1027">
        <f>K25</f>
        <v>0</v>
      </c>
      <c r="L26" s="1035"/>
      <c r="M26" s="1029">
        <v>0</v>
      </c>
      <c r="N26" s="1030">
        <f t="shared" si="3"/>
        <v>0</v>
      </c>
      <c r="O26" s="1031"/>
      <c r="P26" s="1032"/>
      <c r="Q26" s="1032"/>
      <c r="R26" s="1033"/>
      <c r="S26" s="1034">
        <f t="shared" si="4"/>
        <v>0</v>
      </c>
    </row>
    <row r="27" spans="1:19" ht="82.5" customHeight="1">
      <c r="A27" s="1017" t="s">
        <v>1064</v>
      </c>
      <c r="B27" s="1018" t="s">
        <v>1462</v>
      </c>
      <c r="C27" s="1019" t="s">
        <v>1485</v>
      </c>
      <c r="D27" s="1020" t="s">
        <v>1486</v>
      </c>
      <c r="E27" s="1021" t="s">
        <v>1487</v>
      </c>
      <c r="F27" s="1022">
        <v>135000</v>
      </c>
      <c r="G27" s="1023"/>
      <c r="H27" s="1038"/>
      <c r="I27" s="1039"/>
      <c r="J27" s="1026">
        <f t="shared" si="2"/>
        <v>0</v>
      </c>
      <c r="K27" s="1027" t="s">
        <v>1488</v>
      </c>
      <c r="L27" s="1035"/>
      <c r="M27" s="1029">
        <v>0</v>
      </c>
      <c r="N27" s="1030">
        <f t="shared" si="3"/>
        <v>0</v>
      </c>
      <c r="O27" s="1031"/>
      <c r="P27" s="1032"/>
      <c r="Q27" s="1032"/>
      <c r="R27" s="1033"/>
      <c r="S27" s="1034">
        <f t="shared" si="4"/>
        <v>0</v>
      </c>
    </row>
    <row r="28" spans="1:19" ht="108.75" customHeight="1">
      <c r="A28" s="1017" t="s">
        <v>1066</v>
      </c>
      <c r="B28" s="1018" t="s">
        <v>1462</v>
      </c>
      <c r="C28" s="1019" t="s">
        <v>1489</v>
      </c>
      <c r="D28" s="1020" t="s">
        <v>1490</v>
      </c>
      <c r="E28" s="1021" t="s">
        <v>1491</v>
      </c>
      <c r="F28" s="1022">
        <v>318885</v>
      </c>
      <c r="G28" s="1023"/>
      <c r="H28" s="1038"/>
      <c r="I28" s="1039"/>
      <c r="J28" s="1026">
        <f t="shared" si="2"/>
        <v>0</v>
      </c>
      <c r="K28" s="1027" t="s">
        <v>1492</v>
      </c>
      <c r="L28" s="1035"/>
      <c r="M28" s="1029">
        <v>0</v>
      </c>
      <c r="N28" s="1030">
        <f t="shared" si="3"/>
        <v>0</v>
      </c>
      <c r="O28" s="1031"/>
      <c r="P28" s="1032"/>
      <c r="Q28" s="1032"/>
      <c r="R28" s="1033"/>
      <c r="S28" s="1034">
        <f t="shared" si="4"/>
        <v>0</v>
      </c>
    </row>
    <row r="29" spans="1:19" ht="87" customHeight="1">
      <c r="A29" s="1017" t="s">
        <v>1068</v>
      </c>
      <c r="B29" s="1018" t="s">
        <v>1462</v>
      </c>
      <c r="C29" s="1019" t="s">
        <v>1493</v>
      </c>
      <c r="D29" s="1020" t="s">
        <v>1494</v>
      </c>
      <c r="E29" s="1021" t="s">
        <v>1438</v>
      </c>
      <c r="F29" s="1022">
        <v>49540</v>
      </c>
      <c r="G29" s="1023"/>
      <c r="H29" s="1038"/>
      <c r="I29" s="1039"/>
      <c r="J29" s="1026">
        <f t="shared" si="2"/>
        <v>0</v>
      </c>
      <c r="K29" s="1027" t="s">
        <v>1495</v>
      </c>
      <c r="L29" s="1035"/>
      <c r="M29" s="1029">
        <v>0</v>
      </c>
      <c r="N29" s="1030">
        <f t="shared" si="3"/>
        <v>0</v>
      </c>
      <c r="O29" s="1031"/>
      <c r="P29" s="1032"/>
      <c r="Q29" s="1032"/>
      <c r="R29" s="1033"/>
      <c r="S29" s="1034">
        <f t="shared" si="4"/>
        <v>0</v>
      </c>
    </row>
    <row r="30" spans="1:19" ht="101.25">
      <c r="A30" s="1017" t="s">
        <v>1070</v>
      </c>
      <c r="B30" s="1018" t="s">
        <v>1462</v>
      </c>
      <c r="C30" s="1019" t="s">
        <v>1496</v>
      </c>
      <c r="D30" s="1020" t="s">
        <v>1497</v>
      </c>
      <c r="E30" s="1021" t="s">
        <v>1498</v>
      </c>
      <c r="F30" s="1022">
        <v>699427</v>
      </c>
      <c r="G30" s="1023"/>
      <c r="H30" s="1038"/>
      <c r="I30" s="1039"/>
      <c r="J30" s="1026">
        <f t="shared" si="2"/>
        <v>0</v>
      </c>
      <c r="K30" s="1027" t="s">
        <v>1499</v>
      </c>
      <c r="L30" s="1035"/>
      <c r="M30" s="1029">
        <v>0</v>
      </c>
      <c r="N30" s="1030">
        <f t="shared" si="3"/>
        <v>0</v>
      </c>
      <c r="O30" s="1031"/>
      <c r="P30" s="1032"/>
      <c r="Q30" s="1032"/>
      <c r="R30" s="1033"/>
      <c r="S30" s="1034">
        <f t="shared" si="4"/>
        <v>0</v>
      </c>
    </row>
    <row r="31" spans="1:19" ht="58.5" customHeight="1">
      <c r="A31" s="1017" t="s">
        <v>1072</v>
      </c>
      <c r="B31" s="1018" t="s">
        <v>1462</v>
      </c>
      <c r="C31" s="1019" t="s">
        <v>1500</v>
      </c>
      <c r="D31" s="1020" t="s">
        <v>1501</v>
      </c>
      <c r="E31" s="1021" t="s">
        <v>1465</v>
      </c>
      <c r="F31" s="1022">
        <v>44059</v>
      </c>
      <c r="G31" s="1023"/>
      <c r="H31" s="1038"/>
      <c r="I31" s="1039">
        <v>42816</v>
      </c>
      <c r="J31" s="1026">
        <f t="shared" si="2"/>
        <v>42816</v>
      </c>
      <c r="K31" s="1027" t="s">
        <v>1502</v>
      </c>
      <c r="L31" s="1035"/>
      <c r="M31" s="1029">
        <v>0</v>
      </c>
      <c r="N31" s="1030">
        <f t="shared" si="3"/>
        <v>0</v>
      </c>
      <c r="O31" s="1031"/>
      <c r="P31" s="1032"/>
      <c r="Q31" s="1032">
        <v>3129</v>
      </c>
      <c r="R31" s="1033"/>
      <c r="S31" s="1034">
        <f t="shared" si="4"/>
        <v>3129</v>
      </c>
    </row>
    <row r="32" spans="1:19" ht="83.25" customHeight="1">
      <c r="A32" s="1017" t="s">
        <v>1074</v>
      </c>
      <c r="B32" s="1018" t="s">
        <v>1462</v>
      </c>
      <c r="C32" s="1019" t="s">
        <v>1503</v>
      </c>
      <c r="D32" s="1020" t="s">
        <v>1504</v>
      </c>
      <c r="E32" s="1021" t="s">
        <v>1448</v>
      </c>
      <c r="F32" s="1041" t="s">
        <v>1505</v>
      </c>
      <c r="G32" s="1023"/>
      <c r="H32" s="1042" t="s">
        <v>1505</v>
      </c>
      <c r="I32" s="1043"/>
      <c r="J32" s="1044">
        <v>0</v>
      </c>
      <c r="K32" s="1027" t="s">
        <v>1506</v>
      </c>
      <c r="L32" s="1035"/>
      <c r="M32" s="1029">
        <v>0</v>
      </c>
      <c r="N32" s="1030">
        <f t="shared" si="3"/>
        <v>0</v>
      </c>
      <c r="O32" s="1031"/>
      <c r="P32" s="1032"/>
      <c r="Q32" s="1032"/>
      <c r="R32" s="1033"/>
      <c r="S32" s="1034">
        <f t="shared" si="4"/>
        <v>0</v>
      </c>
    </row>
    <row r="33" spans="1:19" ht="83.25" customHeight="1">
      <c r="A33" s="1017" t="s">
        <v>1076</v>
      </c>
      <c r="B33" s="1018" t="s">
        <v>1462</v>
      </c>
      <c r="C33" s="1019" t="s">
        <v>1507</v>
      </c>
      <c r="D33" s="1020" t="s">
        <v>1508</v>
      </c>
      <c r="E33" s="1021" t="s">
        <v>1484</v>
      </c>
      <c r="F33" s="1037"/>
      <c r="G33" s="1023"/>
      <c r="H33" s="1038"/>
      <c r="I33" s="1039"/>
      <c r="J33" s="1026">
        <f t="shared" si="2"/>
        <v>0</v>
      </c>
      <c r="K33" s="1027" t="s">
        <v>1509</v>
      </c>
      <c r="L33" s="1035"/>
      <c r="M33" s="1029">
        <v>0</v>
      </c>
      <c r="N33" s="1030">
        <f t="shared" si="3"/>
        <v>0</v>
      </c>
      <c r="O33" s="1031"/>
      <c r="P33" s="1032"/>
      <c r="Q33" s="1032"/>
      <c r="R33" s="1033"/>
      <c r="S33" s="1034">
        <f t="shared" si="4"/>
        <v>0</v>
      </c>
    </row>
    <row r="34" spans="1:19" ht="83.25" customHeight="1">
      <c r="A34" s="1017" t="s">
        <v>1078</v>
      </c>
      <c r="B34" s="1018" t="s">
        <v>1462</v>
      </c>
      <c r="C34" s="1019" t="s">
        <v>1510</v>
      </c>
      <c r="D34" s="1020" t="s">
        <v>1511</v>
      </c>
      <c r="E34" s="1021" t="s">
        <v>1512</v>
      </c>
      <c r="F34" s="1037"/>
      <c r="G34" s="1023"/>
      <c r="H34" s="1038"/>
      <c r="I34" s="1039"/>
      <c r="J34" s="1026">
        <f t="shared" si="2"/>
        <v>0</v>
      </c>
      <c r="K34" s="1027" t="s">
        <v>1513</v>
      </c>
      <c r="L34" s="1035"/>
      <c r="M34" s="1029">
        <v>0</v>
      </c>
      <c r="N34" s="1030">
        <f t="shared" si="3"/>
        <v>0</v>
      </c>
      <c r="O34" s="1031"/>
      <c r="P34" s="1032"/>
      <c r="Q34" s="1032"/>
      <c r="R34" s="1033"/>
      <c r="S34" s="1034">
        <f t="shared" si="4"/>
        <v>0</v>
      </c>
    </row>
    <row r="35" spans="1:19" ht="83.25" customHeight="1">
      <c r="A35" s="1017" t="s">
        <v>1080</v>
      </c>
      <c r="B35" s="1018" t="s">
        <v>1462</v>
      </c>
      <c r="C35" s="1019" t="s">
        <v>1514</v>
      </c>
      <c r="D35" s="1020" t="s">
        <v>1515</v>
      </c>
      <c r="E35" s="1021" t="s">
        <v>1516</v>
      </c>
      <c r="F35" s="1037">
        <v>76266</v>
      </c>
      <c r="G35" s="1023"/>
      <c r="H35" s="1038"/>
      <c r="I35" s="1039"/>
      <c r="J35" s="1026">
        <f t="shared" si="2"/>
        <v>0</v>
      </c>
      <c r="K35" s="1027" t="s">
        <v>1517</v>
      </c>
      <c r="L35" s="1035"/>
      <c r="M35" s="1029">
        <v>0</v>
      </c>
      <c r="N35" s="1030">
        <f t="shared" si="3"/>
        <v>0</v>
      </c>
      <c r="O35" s="1031"/>
      <c r="P35" s="1032"/>
      <c r="Q35" s="1032"/>
      <c r="R35" s="1033"/>
      <c r="S35" s="1034">
        <f t="shared" si="4"/>
        <v>0</v>
      </c>
    </row>
    <row r="36" spans="1:19" ht="83.25" customHeight="1">
      <c r="A36" s="1017" t="s">
        <v>1082</v>
      </c>
      <c r="B36" s="1018" t="s">
        <v>1462</v>
      </c>
      <c r="C36" s="1019" t="s">
        <v>1518</v>
      </c>
      <c r="D36" s="1045" t="s">
        <v>1519</v>
      </c>
      <c r="E36" s="1021" t="s">
        <v>1431</v>
      </c>
      <c r="F36" s="1037">
        <v>13000</v>
      </c>
      <c r="G36" s="1023"/>
      <c r="H36" s="1038">
        <v>13303</v>
      </c>
      <c r="I36" s="1039"/>
      <c r="J36" s="1026">
        <f t="shared" si="2"/>
        <v>13303</v>
      </c>
      <c r="K36" s="1027" t="s">
        <v>1461</v>
      </c>
      <c r="L36" s="1035"/>
      <c r="M36" s="1029">
        <v>13303</v>
      </c>
      <c r="N36" s="1030">
        <f t="shared" si="3"/>
        <v>13303</v>
      </c>
      <c r="O36" s="1031"/>
      <c r="P36" s="1032"/>
      <c r="Q36" s="1032"/>
      <c r="R36" s="1033"/>
      <c r="S36" s="1034">
        <f t="shared" si="4"/>
        <v>0</v>
      </c>
    </row>
    <row r="37" spans="1:19" ht="83.25" customHeight="1">
      <c r="A37" s="1017" t="s">
        <v>1084</v>
      </c>
      <c r="B37" s="1018" t="s">
        <v>1462</v>
      </c>
      <c r="C37" s="1019" t="s">
        <v>1520</v>
      </c>
      <c r="D37" s="1020" t="s">
        <v>1521</v>
      </c>
      <c r="E37" s="1021" t="s">
        <v>1448</v>
      </c>
      <c r="F37" s="1037" t="s">
        <v>1522</v>
      </c>
      <c r="G37" s="1023"/>
      <c r="H37" s="1038"/>
      <c r="I37" s="1039" t="s">
        <v>1522</v>
      </c>
      <c r="J37" s="1026" t="s">
        <v>1522</v>
      </c>
      <c r="K37" s="1027" t="s">
        <v>1523</v>
      </c>
      <c r="L37" s="1035"/>
      <c r="M37" s="1029">
        <v>0</v>
      </c>
      <c r="N37" s="1030">
        <f t="shared" si="3"/>
        <v>0</v>
      </c>
      <c r="O37" s="1031"/>
      <c r="P37" s="1032">
        <v>1330</v>
      </c>
      <c r="Q37" s="1032"/>
      <c r="R37" s="1033"/>
      <c r="S37" s="1034">
        <f t="shared" si="4"/>
        <v>1330</v>
      </c>
    </row>
    <row r="38" spans="1:19" ht="103.5" customHeight="1">
      <c r="A38" s="1017" t="s">
        <v>1086</v>
      </c>
      <c r="B38" s="1018" t="s">
        <v>1462</v>
      </c>
      <c r="C38" s="1046" t="s">
        <v>1524</v>
      </c>
      <c r="D38" s="1020" t="s">
        <v>1525</v>
      </c>
      <c r="E38" s="1021" t="s">
        <v>1448</v>
      </c>
      <c r="F38" s="1037">
        <v>17100</v>
      </c>
      <c r="G38" s="1023"/>
      <c r="H38" s="1038"/>
      <c r="I38" s="1039"/>
      <c r="J38" s="1026">
        <f t="shared" si="2"/>
        <v>0</v>
      </c>
      <c r="K38" s="1027" t="s">
        <v>1526</v>
      </c>
      <c r="L38" s="1035"/>
      <c r="M38" s="1029">
        <v>0</v>
      </c>
      <c r="N38" s="1030">
        <f t="shared" si="3"/>
        <v>0</v>
      </c>
      <c r="O38" s="1031"/>
      <c r="P38" s="1032"/>
      <c r="Q38" s="1032">
        <v>1330</v>
      </c>
      <c r="R38" s="1033"/>
      <c r="S38" s="1034">
        <f t="shared" si="4"/>
        <v>1330</v>
      </c>
    </row>
    <row r="39" spans="1:19" ht="83.25" customHeight="1">
      <c r="A39" s="1017" t="s">
        <v>1088</v>
      </c>
      <c r="B39" s="1018" t="s">
        <v>1462</v>
      </c>
      <c r="C39" s="1019" t="s">
        <v>1527</v>
      </c>
      <c r="D39" s="1020" t="s">
        <v>1528</v>
      </c>
      <c r="E39" s="1021" t="s">
        <v>1465</v>
      </c>
      <c r="F39" s="1037">
        <v>134994</v>
      </c>
      <c r="G39" s="1023"/>
      <c r="H39" s="1038"/>
      <c r="I39" s="1039">
        <v>131781</v>
      </c>
      <c r="J39" s="1026">
        <f t="shared" si="2"/>
        <v>131781</v>
      </c>
      <c r="K39" s="1027" t="s">
        <v>1529</v>
      </c>
      <c r="L39" s="1035"/>
      <c r="M39" s="1029">
        <v>0</v>
      </c>
      <c r="N39" s="1030">
        <f t="shared" si="3"/>
        <v>0</v>
      </c>
      <c r="O39" s="1031"/>
      <c r="P39" s="1032"/>
      <c r="Q39" s="1032">
        <v>6604</v>
      </c>
      <c r="R39" s="1033"/>
      <c r="S39" s="1034">
        <f t="shared" si="4"/>
        <v>6604</v>
      </c>
    </row>
    <row r="40" spans="1:19" ht="83.25" customHeight="1">
      <c r="A40" s="1017" t="s">
        <v>1090</v>
      </c>
      <c r="B40" s="1018" t="s">
        <v>1462</v>
      </c>
      <c r="C40" s="1019" t="s">
        <v>1530</v>
      </c>
      <c r="D40" s="1020" t="s">
        <v>1531</v>
      </c>
      <c r="E40" s="1021" t="s">
        <v>1487</v>
      </c>
      <c r="F40" s="1037">
        <v>700</v>
      </c>
      <c r="G40" s="1023"/>
      <c r="H40" s="1038">
        <v>700</v>
      </c>
      <c r="I40" s="1039"/>
      <c r="J40" s="1026">
        <f t="shared" si="2"/>
        <v>700</v>
      </c>
      <c r="K40" s="1027" t="s">
        <v>1532</v>
      </c>
      <c r="L40" s="1035"/>
      <c r="M40" s="1029">
        <v>0</v>
      </c>
      <c r="N40" s="1030">
        <f t="shared" si="3"/>
        <v>0</v>
      </c>
      <c r="O40" s="1031"/>
      <c r="P40" s="1032">
        <v>350</v>
      </c>
      <c r="Q40" s="1032"/>
      <c r="R40" s="1033"/>
      <c r="S40" s="1034">
        <f t="shared" si="4"/>
        <v>350</v>
      </c>
    </row>
    <row r="41" spans="1:19" ht="83.25" customHeight="1">
      <c r="A41" s="1017" t="s">
        <v>1092</v>
      </c>
      <c r="B41" s="1018" t="s">
        <v>1462</v>
      </c>
      <c r="C41" s="1019" t="s">
        <v>1533</v>
      </c>
      <c r="D41" s="1020" t="s">
        <v>1534</v>
      </c>
      <c r="E41" s="1021" t="s">
        <v>1535</v>
      </c>
      <c r="F41" s="1037">
        <f>6000+9000+1170</f>
        <v>16170</v>
      </c>
      <c r="G41" s="1023"/>
      <c r="H41" s="1038">
        <v>16170</v>
      </c>
      <c r="I41" s="1039"/>
      <c r="J41" s="1026">
        <f t="shared" si="2"/>
        <v>16170</v>
      </c>
      <c r="K41" s="1027" t="s">
        <v>1536</v>
      </c>
      <c r="L41" s="1035"/>
      <c r="M41" s="1029">
        <v>0</v>
      </c>
      <c r="N41" s="1030">
        <f t="shared" si="3"/>
        <v>0</v>
      </c>
      <c r="O41" s="1031"/>
      <c r="P41" s="1032"/>
      <c r="Q41" s="1032"/>
      <c r="R41" s="1033"/>
      <c r="S41" s="1034">
        <f t="shared" si="4"/>
        <v>0</v>
      </c>
    </row>
    <row r="42" spans="1:19" ht="83.25" customHeight="1">
      <c r="A42" s="1017" t="s">
        <v>1094</v>
      </c>
      <c r="B42" s="1018" t="s">
        <v>1462</v>
      </c>
      <c r="C42" s="1019" t="s">
        <v>1533</v>
      </c>
      <c r="D42" s="1020" t="s">
        <v>1537</v>
      </c>
      <c r="E42" s="1021" t="s">
        <v>1535</v>
      </c>
      <c r="F42" s="1037">
        <v>8000</v>
      </c>
      <c r="G42" s="1023"/>
      <c r="H42" s="1038">
        <v>8000</v>
      </c>
      <c r="I42" s="1039"/>
      <c r="J42" s="1026">
        <f t="shared" si="2"/>
        <v>8000</v>
      </c>
      <c r="K42" s="1027" t="s">
        <v>1538</v>
      </c>
      <c r="L42" s="1035"/>
      <c r="M42" s="1029">
        <v>0</v>
      </c>
      <c r="N42" s="1030">
        <f t="shared" si="3"/>
        <v>0</v>
      </c>
      <c r="O42" s="1031"/>
      <c r="P42" s="1032"/>
      <c r="Q42" s="1032">
        <v>6500</v>
      </c>
      <c r="R42" s="1033"/>
      <c r="S42" s="1034">
        <f t="shared" si="4"/>
        <v>6500</v>
      </c>
    </row>
    <row r="43" spans="1:19" ht="83.25" customHeight="1">
      <c r="A43" s="1017" t="s">
        <v>1096</v>
      </c>
      <c r="B43" s="1018">
        <f>B42</f>
        <v>0</v>
      </c>
      <c r="C43" s="1019">
        <f>C42</f>
        <v>0</v>
      </c>
      <c r="D43" s="1020" t="s">
        <v>1534</v>
      </c>
      <c r="E43" s="1021" t="s">
        <v>1535</v>
      </c>
      <c r="F43" s="1037">
        <v>17002</v>
      </c>
      <c r="G43" s="1023"/>
      <c r="H43" s="1038">
        <v>17002</v>
      </c>
      <c r="I43" s="1039"/>
      <c r="J43" s="1026">
        <f t="shared" si="2"/>
        <v>17002</v>
      </c>
      <c r="K43" s="1027" t="s">
        <v>1539</v>
      </c>
      <c r="L43" s="1035"/>
      <c r="M43" s="1029">
        <v>0</v>
      </c>
      <c r="N43" s="1030">
        <f t="shared" si="3"/>
        <v>0</v>
      </c>
      <c r="O43" s="1031"/>
      <c r="P43" s="1032"/>
      <c r="Q43" s="1032"/>
      <c r="R43" s="1033"/>
      <c r="S43" s="1034">
        <f t="shared" si="4"/>
        <v>0</v>
      </c>
    </row>
    <row r="44" spans="1:19" ht="83.25" customHeight="1">
      <c r="A44" s="1017" t="s">
        <v>1098</v>
      </c>
      <c r="B44" s="1018">
        <f>B43</f>
        <v>0</v>
      </c>
      <c r="C44" s="1019">
        <f>C43</f>
        <v>0</v>
      </c>
      <c r="D44" s="1020" t="s">
        <v>1537</v>
      </c>
      <c r="E44" s="1021" t="s">
        <v>1535</v>
      </c>
      <c r="F44" s="1037">
        <v>493</v>
      </c>
      <c r="G44" s="1023"/>
      <c r="H44" s="1038">
        <v>493</v>
      </c>
      <c r="I44" s="1039"/>
      <c r="J44" s="1026">
        <f t="shared" si="2"/>
        <v>493</v>
      </c>
      <c r="K44" s="1027" t="s">
        <v>1540</v>
      </c>
      <c r="L44" s="1035"/>
      <c r="M44" s="1029">
        <v>0</v>
      </c>
      <c r="N44" s="1030">
        <f t="shared" si="3"/>
        <v>0</v>
      </c>
      <c r="O44" s="1031"/>
      <c r="P44" s="1032">
        <v>493</v>
      </c>
      <c r="Q44" s="1032"/>
      <c r="R44" s="1033"/>
      <c r="S44" s="1034">
        <f t="shared" si="4"/>
        <v>493</v>
      </c>
    </row>
    <row r="45" spans="1:19" ht="83.25" customHeight="1">
      <c r="A45" s="1017" t="s">
        <v>1100</v>
      </c>
      <c r="B45" s="1018" t="s">
        <v>1462</v>
      </c>
      <c r="C45" s="1019" t="s">
        <v>1541</v>
      </c>
      <c r="D45" s="1020" t="s">
        <v>1542</v>
      </c>
      <c r="E45" s="1021" t="s">
        <v>1535</v>
      </c>
      <c r="F45" s="1037">
        <v>1800</v>
      </c>
      <c r="G45" s="1023"/>
      <c r="H45" s="1038">
        <v>1800</v>
      </c>
      <c r="I45" s="1039"/>
      <c r="J45" s="1026">
        <f t="shared" si="2"/>
        <v>1800</v>
      </c>
      <c r="K45" s="1027" t="s">
        <v>1543</v>
      </c>
      <c r="L45" s="1035"/>
      <c r="M45" s="1029">
        <v>0</v>
      </c>
      <c r="N45" s="1030">
        <f t="shared" si="3"/>
        <v>0</v>
      </c>
      <c r="O45" s="1031"/>
      <c r="P45" s="1032"/>
      <c r="Q45" s="1032">
        <f>493+450</f>
        <v>943</v>
      </c>
      <c r="R45" s="1033"/>
      <c r="S45" s="1034">
        <f t="shared" si="4"/>
        <v>943</v>
      </c>
    </row>
    <row r="46" spans="1:19" ht="83.25" customHeight="1">
      <c r="A46" s="1017" t="s">
        <v>1102</v>
      </c>
      <c r="B46" s="1018" t="s">
        <v>1544</v>
      </c>
      <c r="C46" s="1019" t="s">
        <v>1545</v>
      </c>
      <c r="D46" s="1020" t="s">
        <v>1546</v>
      </c>
      <c r="E46" s="1021" t="s">
        <v>1448</v>
      </c>
      <c r="F46" s="1037" t="s">
        <v>1547</v>
      </c>
      <c r="G46" s="1023"/>
      <c r="H46" s="1038"/>
      <c r="I46" s="1039"/>
      <c r="J46" s="1026">
        <f t="shared" si="2"/>
        <v>0</v>
      </c>
      <c r="K46" s="1027" t="s">
        <v>1548</v>
      </c>
      <c r="L46" s="1035"/>
      <c r="M46" s="1029">
        <v>0</v>
      </c>
      <c r="N46" s="1030">
        <f t="shared" si="3"/>
        <v>0</v>
      </c>
      <c r="O46" s="1031"/>
      <c r="P46" s="1032"/>
      <c r="Q46" s="1032"/>
      <c r="R46" s="1033"/>
      <c r="S46" s="1034">
        <f t="shared" si="4"/>
        <v>0</v>
      </c>
    </row>
    <row r="47" spans="1:19" ht="83.25" customHeight="1">
      <c r="A47" s="1017" t="s">
        <v>1549</v>
      </c>
      <c r="B47" s="1018" t="s">
        <v>1544</v>
      </c>
      <c r="C47" s="1019" t="s">
        <v>1550</v>
      </c>
      <c r="D47" s="1020" t="s">
        <v>1551</v>
      </c>
      <c r="E47" s="1021" t="s">
        <v>1448</v>
      </c>
      <c r="F47" s="1037" t="s">
        <v>1552</v>
      </c>
      <c r="G47" s="1023"/>
      <c r="H47" s="1038"/>
      <c r="I47" s="1039"/>
      <c r="J47" s="1026">
        <f t="shared" si="2"/>
        <v>0</v>
      </c>
      <c r="K47" s="1027" t="s">
        <v>1548</v>
      </c>
      <c r="L47" s="1035"/>
      <c r="M47" s="1029">
        <v>0</v>
      </c>
      <c r="N47" s="1030">
        <f t="shared" si="3"/>
        <v>0</v>
      </c>
      <c r="O47" s="1031"/>
      <c r="P47" s="1032"/>
      <c r="Q47" s="1032"/>
      <c r="R47" s="1033"/>
      <c r="S47" s="1034">
        <f t="shared" si="4"/>
        <v>0</v>
      </c>
    </row>
    <row r="48" spans="1:19" ht="85.5" customHeight="1">
      <c r="A48" s="1017" t="s">
        <v>1553</v>
      </c>
      <c r="B48" s="1018" t="s">
        <v>1544</v>
      </c>
      <c r="C48" s="1019" t="s">
        <v>1554</v>
      </c>
      <c r="D48" s="1020" t="s">
        <v>1555</v>
      </c>
      <c r="E48" s="1021" t="s">
        <v>1465</v>
      </c>
      <c r="F48" s="1047">
        <v>377842</v>
      </c>
      <c r="G48" s="1023"/>
      <c r="H48" s="1038"/>
      <c r="I48" s="1039"/>
      <c r="J48" s="1026">
        <f t="shared" si="2"/>
        <v>0</v>
      </c>
      <c r="K48" s="1027" t="s">
        <v>1556</v>
      </c>
      <c r="L48" s="1035"/>
      <c r="M48" s="1029">
        <v>0</v>
      </c>
      <c r="N48" s="1030">
        <f t="shared" si="3"/>
        <v>0</v>
      </c>
      <c r="O48" s="1031"/>
      <c r="P48" s="1032"/>
      <c r="Q48" s="1032"/>
      <c r="R48" s="1033"/>
      <c r="S48" s="1034">
        <f t="shared" si="4"/>
        <v>0</v>
      </c>
    </row>
    <row r="49" spans="1:19" ht="83.25" customHeight="1">
      <c r="A49" s="1017" t="s">
        <v>1557</v>
      </c>
      <c r="B49" s="1018" t="s">
        <v>1544</v>
      </c>
      <c r="C49" s="1019" t="s">
        <v>1558</v>
      </c>
      <c r="D49" s="1020" t="s">
        <v>1559</v>
      </c>
      <c r="E49" s="1021" t="s">
        <v>1431</v>
      </c>
      <c r="F49" s="1037"/>
      <c r="G49" s="1023"/>
      <c r="H49" s="1038"/>
      <c r="I49" s="1039"/>
      <c r="J49" s="1026">
        <f t="shared" si="2"/>
        <v>0</v>
      </c>
      <c r="K49" s="1027" t="s">
        <v>1560</v>
      </c>
      <c r="L49" s="1035"/>
      <c r="M49" s="1029">
        <v>0</v>
      </c>
      <c r="N49" s="1030">
        <f t="shared" si="3"/>
        <v>0</v>
      </c>
      <c r="O49" s="1031"/>
      <c r="P49" s="1032"/>
      <c r="Q49" s="1032"/>
      <c r="R49" s="1033"/>
      <c r="S49" s="1034">
        <f t="shared" si="4"/>
        <v>0</v>
      </c>
    </row>
    <row r="50" spans="1:19" ht="83.25" customHeight="1">
      <c r="A50" s="1017" t="s">
        <v>1561</v>
      </c>
      <c r="B50" s="1018" t="s">
        <v>1544</v>
      </c>
      <c r="C50" s="1019" t="s">
        <v>1562</v>
      </c>
      <c r="D50" s="1020" t="s">
        <v>1563</v>
      </c>
      <c r="E50" s="1021" t="s">
        <v>1564</v>
      </c>
      <c r="F50" s="1037">
        <v>3150</v>
      </c>
      <c r="G50" s="1023"/>
      <c r="H50" s="1038"/>
      <c r="I50" s="1039"/>
      <c r="J50" s="1026">
        <f t="shared" si="2"/>
        <v>0</v>
      </c>
      <c r="K50" s="1027" t="s">
        <v>1565</v>
      </c>
      <c r="L50" s="1035"/>
      <c r="M50" s="1029">
        <v>0</v>
      </c>
      <c r="N50" s="1030">
        <f t="shared" si="3"/>
        <v>0</v>
      </c>
      <c r="O50" s="1031"/>
      <c r="P50" s="1032"/>
      <c r="Q50" s="1032"/>
      <c r="R50" s="1033"/>
      <c r="S50" s="1034">
        <f t="shared" si="4"/>
        <v>0</v>
      </c>
    </row>
    <row r="51" spans="1:19" ht="83.25" customHeight="1">
      <c r="A51" s="1017" t="s">
        <v>1566</v>
      </c>
      <c r="B51" s="1018" t="s">
        <v>1544</v>
      </c>
      <c r="C51" s="1019" t="s">
        <v>1567</v>
      </c>
      <c r="D51" s="1020" t="s">
        <v>1568</v>
      </c>
      <c r="E51" s="1021"/>
      <c r="F51" s="1037"/>
      <c r="G51" s="1023"/>
      <c r="H51" s="1038"/>
      <c r="I51" s="1039"/>
      <c r="J51" s="1026">
        <f t="shared" si="2"/>
        <v>0</v>
      </c>
      <c r="K51" s="1027" t="s">
        <v>1569</v>
      </c>
      <c r="L51" s="1035"/>
      <c r="M51" s="1029">
        <v>0</v>
      </c>
      <c r="N51" s="1030">
        <f t="shared" si="3"/>
        <v>0</v>
      </c>
      <c r="O51" s="1031"/>
      <c r="P51" s="1032"/>
      <c r="Q51" s="1032"/>
      <c r="R51" s="1033"/>
      <c r="S51" s="1034">
        <f t="shared" si="4"/>
        <v>0</v>
      </c>
    </row>
    <row r="52" spans="1:19" ht="83.25" customHeight="1">
      <c r="A52" s="1017" t="s">
        <v>1570</v>
      </c>
      <c r="B52" s="1018" t="s">
        <v>1544</v>
      </c>
      <c r="C52" s="1019" t="s">
        <v>1518</v>
      </c>
      <c r="D52" s="1020" t="s">
        <v>1571</v>
      </c>
      <c r="E52" s="1021" t="s">
        <v>1431</v>
      </c>
      <c r="F52" s="1037">
        <v>996</v>
      </c>
      <c r="G52" s="1023"/>
      <c r="H52" s="1038"/>
      <c r="I52" s="1039">
        <v>996</v>
      </c>
      <c r="J52" s="1026">
        <f t="shared" si="2"/>
        <v>996</v>
      </c>
      <c r="K52" s="1027" t="s">
        <v>1572</v>
      </c>
      <c r="L52" s="1035"/>
      <c r="M52" s="1029">
        <v>0</v>
      </c>
      <c r="N52" s="1030">
        <f t="shared" si="3"/>
        <v>0</v>
      </c>
      <c r="O52" s="1031"/>
      <c r="P52" s="1032">
        <v>996</v>
      </c>
      <c r="Q52" s="1032"/>
      <c r="R52" s="1033"/>
      <c r="S52" s="1034">
        <f t="shared" si="4"/>
        <v>996</v>
      </c>
    </row>
    <row r="53" spans="1:19" ht="83.25" customHeight="1">
      <c r="A53" s="1017" t="s">
        <v>1573</v>
      </c>
      <c r="B53" s="1018" t="s">
        <v>1544</v>
      </c>
      <c r="C53" s="1019" t="s">
        <v>1518</v>
      </c>
      <c r="D53" s="1020" t="s">
        <v>1574</v>
      </c>
      <c r="E53" s="1021" t="s">
        <v>1575</v>
      </c>
      <c r="F53" s="1037">
        <v>999</v>
      </c>
      <c r="G53" s="1023"/>
      <c r="H53" s="1038"/>
      <c r="I53" s="1039">
        <v>999</v>
      </c>
      <c r="J53" s="1026">
        <f t="shared" si="2"/>
        <v>999</v>
      </c>
      <c r="K53" s="1027" t="s">
        <v>1576</v>
      </c>
      <c r="L53" s="1035"/>
      <c r="M53" s="1029">
        <v>0</v>
      </c>
      <c r="N53" s="1030">
        <f t="shared" si="3"/>
        <v>0</v>
      </c>
      <c r="O53" s="1031"/>
      <c r="P53" s="1032"/>
      <c r="Q53" s="1032"/>
      <c r="R53" s="1033">
        <v>244</v>
      </c>
      <c r="S53" s="1034">
        <f t="shared" si="4"/>
        <v>244</v>
      </c>
    </row>
    <row r="54" spans="1:19" ht="83.25" customHeight="1">
      <c r="A54" s="1017" t="s">
        <v>1577</v>
      </c>
      <c r="B54" s="1018" t="s">
        <v>1544</v>
      </c>
      <c r="C54" s="1019" t="s">
        <v>1518</v>
      </c>
      <c r="D54" s="1020" t="s">
        <v>1578</v>
      </c>
      <c r="E54" s="1021" t="s">
        <v>1431</v>
      </c>
      <c r="F54" s="1037">
        <v>1404</v>
      </c>
      <c r="G54" s="1023"/>
      <c r="H54" s="1038"/>
      <c r="I54" s="1039">
        <v>1404</v>
      </c>
      <c r="J54" s="1026">
        <f t="shared" si="2"/>
        <v>1404</v>
      </c>
      <c r="K54" s="1027" t="s">
        <v>1579</v>
      </c>
      <c r="L54" s="1035"/>
      <c r="M54" s="1029">
        <v>0</v>
      </c>
      <c r="N54" s="1030">
        <f t="shared" si="3"/>
        <v>0</v>
      </c>
      <c r="O54" s="1031"/>
      <c r="P54" s="1032"/>
      <c r="Q54" s="1032"/>
      <c r="R54" s="1033">
        <v>1404</v>
      </c>
      <c r="S54" s="1034">
        <f t="shared" si="4"/>
        <v>1404</v>
      </c>
    </row>
    <row r="55" spans="1:19" ht="83.25" customHeight="1">
      <c r="A55" s="1017" t="s">
        <v>1580</v>
      </c>
      <c r="B55" s="1018" t="s">
        <v>1544</v>
      </c>
      <c r="C55" s="1019" t="s">
        <v>1518</v>
      </c>
      <c r="D55" s="1020" t="s">
        <v>1581</v>
      </c>
      <c r="E55" s="1021" t="s">
        <v>1431</v>
      </c>
      <c r="F55" s="1037">
        <v>2000</v>
      </c>
      <c r="G55" s="1023"/>
      <c r="H55" s="1038"/>
      <c r="I55" s="1039">
        <v>2000</v>
      </c>
      <c r="J55" s="1026">
        <f t="shared" si="2"/>
        <v>2000</v>
      </c>
      <c r="K55" s="1027" t="s">
        <v>1582</v>
      </c>
      <c r="L55" s="1035"/>
      <c r="M55" s="1029">
        <v>0</v>
      </c>
      <c r="N55" s="1030">
        <f t="shared" si="3"/>
        <v>0</v>
      </c>
      <c r="O55" s="1031"/>
      <c r="P55" s="1032"/>
      <c r="Q55" s="1032"/>
      <c r="R55" s="1033">
        <v>2000</v>
      </c>
      <c r="S55" s="1034">
        <f t="shared" si="4"/>
        <v>2000</v>
      </c>
    </row>
    <row r="56" spans="1:19" ht="83.25" customHeight="1">
      <c r="A56" s="1017" t="s">
        <v>1583</v>
      </c>
      <c r="B56" s="1018" t="s">
        <v>1544</v>
      </c>
      <c r="C56" s="1019" t="s">
        <v>1518</v>
      </c>
      <c r="D56" s="1020" t="s">
        <v>1584</v>
      </c>
      <c r="E56" s="1021" t="s">
        <v>1431</v>
      </c>
      <c r="F56" s="1037">
        <v>2016</v>
      </c>
      <c r="G56" s="1023"/>
      <c r="H56" s="1038"/>
      <c r="I56" s="1039">
        <v>2016</v>
      </c>
      <c r="J56" s="1026">
        <f t="shared" si="2"/>
        <v>2016</v>
      </c>
      <c r="K56" s="1027" t="s">
        <v>1585</v>
      </c>
      <c r="L56" s="1035"/>
      <c r="M56" s="1029">
        <v>0</v>
      </c>
      <c r="N56" s="1030">
        <f t="shared" si="3"/>
        <v>0</v>
      </c>
      <c r="O56" s="1031"/>
      <c r="P56" s="1032"/>
      <c r="Q56" s="1032"/>
      <c r="R56" s="1033">
        <v>2016</v>
      </c>
      <c r="S56" s="1034">
        <f t="shared" si="4"/>
        <v>2016</v>
      </c>
    </row>
    <row r="57" spans="1:19" ht="83.25" customHeight="1">
      <c r="A57" s="1017" t="s">
        <v>1586</v>
      </c>
      <c r="B57" s="1018" t="s">
        <v>1544</v>
      </c>
      <c r="C57" s="1019" t="s">
        <v>1518</v>
      </c>
      <c r="D57" s="1020" t="s">
        <v>1519</v>
      </c>
      <c r="E57" s="1021" t="s">
        <v>1431</v>
      </c>
      <c r="F57" s="1037">
        <v>7000</v>
      </c>
      <c r="G57" s="1023"/>
      <c r="H57" s="1038"/>
      <c r="I57" s="1039">
        <f>7000</f>
        <v>7000</v>
      </c>
      <c r="J57" s="1026">
        <f t="shared" si="2"/>
        <v>7000</v>
      </c>
      <c r="K57" s="1027" t="s">
        <v>1461</v>
      </c>
      <c r="L57" s="1035"/>
      <c r="M57" s="1029">
        <v>0</v>
      </c>
      <c r="N57" s="1030">
        <f t="shared" si="3"/>
        <v>0</v>
      </c>
      <c r="O57" s="1031"/>
      <c r="P57" s="1032"/>
      <c r="Q57" s="1032"/>
      <c r="R57" s="1033">
        <v>7000</v>
      </c>
      <c r="S57" s="1034">
        <f t="shared" si="4"/>
        <v>7000</v>
      </c>
    </row>
    <row r="58" spans="1:19" ht="83.25" customHeight="1">
      <c r="A58" s="1017" t="s">
        <v>1587</v>
      </c>
      <c r="B58" s="1018" t="s">
        <v>1544</v>
      </c>
      <c r="C58" s="1019" t="s">
        <v>1533</v>
      </c>
      <c r="D58" s="1020" t="s">
        <v>1588</v>
      </c>
      <c r="E58" s="1021" t="s">
        <v>1431</v>
      </c>
      <c r="F58" s="1037">
        <f>500+2450</f>
        <v>2950</v>
      </c>
      <c r="G58" s="1023"/>
      <c r="H58" s="1038"/>
      <c r="I58" s="1039">
        <v>2950</v>
      </c>
      <c r="J58" s="1026">
        <f t="shared" si="2"/>
        <v>2950</v>
      </c>
      <c r="K58" s="1027" t="s">
        <v>1589</v>
      </c>
      <c r="L58" s="1035"/>
      <c r="M58" s="1029">
        <v>0</v>
      </c>
      <c r="N58" s="1030">
        <f t="shared" si="3"/>
        <v>0</v>
      </c>
      <c r="O58" s="1031"/>
      <c r="P58" s="1032"/>
      <c r="Q58" s="1032"/>
      <c r="R58" s="1033"/>
      <c r="S58" s="1034">
        <f t="shared" si="4"/>
        <v>0</v>
      </c>
    </row>
    <row r="59" spans="1:19" ht="83.25" customHeight="1">
      <c r="A59" s="1017" t="s">
        <v>1590</v>
      </c>
      <c r="B59" s="1018" t="s">
        <v>1544</v>
      </c>
      <c r="C59" s="1019" t="s">
        <v>1591</v>
      </c>
      <c r="D59" s="1020" t="s">
        <v>1592</v>
      </c>
      <c r="E59" s="1021" t="s">
        <v>1593</v>
      </c>
      <c r="F59" s="1037">
        <v>2412</v>
      </c>
      <c r="G59" s="1023"/>
      <c r="H59" s="1038"/>
      <c r="I59" s="1039">
        <v>2412</v>
      </c>
      <c r="J59" s="1026">
        <f t="shared" si="2"/>
        <v>2412</v>
      </c>
      <c r="K59" s="1027" t="s">
        <v>1594</v>
      </c>
      <c r="L59" s="1035"/>
      <c r="M59" s="1029">
        <v>0</v>
      </c>
      <c r="N59" s="1030">
        <f t="shared" si="3"/>
        <v>0</v>
      </c>
      <c r="O59" s="1031"/>
      <c r="P59" s="1032"/>
      <c r="Q59" s="1032"/>
      <c r="R59" s="1033">
        <v>2412</v>
      </c>
      <c r="S59" s="1034">
        <f t="shared" si="4"/>
        <v>2412</v>
      </c>
    </row>
    <row r="60" spans="1:19" ht="83.25" customHeight="1">
      <c r="A60" s="1017" t="s">
        <v>1595</v>
      </c>
      <c r="B60" s="1018">
        <v>2010</v>
      </c>
      <c r="C60" s="1019" t="s">
        <v>1591</v>
      </c>
      <c r="D60" s="1020" t="s">
        <v>1596</v>
      </c>
      <c r="E60" s="1021" t="s">
        <v>1431</v>
      </c>
      <c r="F60" s="1037">
        <v>240</v>
      </c>
      <c r="G60" s="1023"/>
      <c r="H60" s="1038"/>
      <c r="I60" s="1039">
        <v>240</v>
      </c>
      <c r="J60" s="1026">
        <f t="shared" si="2"/>
        <v>240</v>
      </c>
      <c r="K60" s="1027" t="s">
        <v>1597</v>
      </c>
      <c r="L60" s="1035"/>
      <c r="M60" s="1029">
        <v>0</v>
      </c>
      <c r="N60" s="1030">
        <f t="shared" si="3"/>
        <v>0</v>
      </c>
      <c r="O60" s="1031"/>
      <c r="P60" s="1032"/>
      <c r="Q60" s="1032"/>
      <c r="R60" s="1033">
        <v>240</v>
      </c>
      <c r="S60" s="1034">
        <f t="shared" si="4"/>
        <v>240</v>
      </c>
    </row>
    <row r="61" spans="1:19" ht="83.25" customHeight="1">
      <c r="A61" s="1017" t="s">
        <v>1598</v>
      </c>
      <c r="B61" s="1018" t="s">
        <v>1544</v>
      </c>
      <c r="C61" s="1019" t="s">
        <v>1599</v>
      </c>
      <c r="D61" s="1020" t="s">
        <v>1600</v>
      </c>
      <c r="E61" s="1021" t="s">
        <v>1601</v>
      </c>
      <c r="F61" s="1037">
        <f>85+86</f>
        <v>171</v>
      </c>
      <c r="G61" s="1023"/>
      <c r="H61" s="1038"/>
      <c r="I61" s="1039">
        <v>171</v>
      </c>
      <c r="J61" s="1026">
        <f t="shared" si="2"/>
        <v>171</v>
      </c>
      <c r="K61" s="1027"/>
      <c r="L61" s="1035"/>
      <c r="M61" s="1029">
        <v>0</v>
      </c>
      <c r="N61" s="1030">
        <f t="shared" si="3"/>
        <v>0</v>
      </c>
      <c r="O61" s="1031"/>
      <c r="P61" s="1032"/>
      <c r="Q61" s="1032"/>
      <c r="R61" s="1033">
        <v>171</v>
      </c>
      <c r="S61" s="1034">
        <f t="shared" si="4"/>
        <v>171</v>
      </c>
    </row>
    <row r="62" spans="1:19" ht="83.25" customHeight="1">
      <c r="A62" s="1017" t="s">
        <v>1602</v>
      </c>
      <c r="B62" s="1018">
        <f>B61</f>
        <v>0</v>
      </c>
      <c r="C62" s="1019" t="s">
        <v>1599</v>
      </c>
      <c r="D62" s="1020" t="s">
        <v>1603</v>
      </c>
      <c r="E62" s="1021" t="s">
        <v>1601</v>
      </c>
      <c r="F62" s="1037">
        <f>179+179</f>
        <v>358</v>
      </c>
      <c r="G62" s="1023"/>
      <c r="H62" s="1038"/>
      <c r="I62" s="1039">
        <v>358</v>
      </c>
      <c r="J62" s="1026">
        <f t="shared" si="2"/>
        <v>358</v>
      </c>
      <c r="K62" s="1027"/>
      <c r="L62" s="1035"/>
      <c r="M62" s="1029">
        <v>0</v>
      </c>
      <c r="N62" s="1030">
        <f t="shared" si="3"/>
        <v>0</v>
      </c>
      <c r="O62" s="1031"/>
      <c r="P62" s="1032"/>
      <c r="Q62" s="1032"/>
      <c r="R62" s="1033">
        <v>358</v>
      </c>
      <c r="S62" s="1034">
        <f t="shared" si="4"/>
        <v>358</v>
      </c>
    </row>
    <row r="63" spans="1:19" ht="83.25" customHeight="1">
      <c r="A63" s="1017" t="s">
        <v>1604</v>
      </c>
      <c r="B63" s="1018">
        <f>B62</f>
        <v>0</v>
      </c>
      <c r="C63" s="1019" t="s">
        <v>1599</v>
      </c>
      <c r="D63" s="1020" t="s">
        <v>1605</v>
      </c>
      <c r="E63" s="1021" t="s">
        <v>1601</v>
      </c>
      <c r="F63" s="1037">
        <f>128+128</f>
        <v>256</v>
      </c>
      <c r="G63" s="1023"/>
      <c r="H63" s="1038"/>
      <c r="I63" s="1039">
        <v>256</v>
      </c>
      <c r="J63" s="1026">
        <f t="shared" si="2"/>
        <v>256</v>
      </c>
      <c r="K63" s="1027"/>
      <c r="L63" s="1035"/>
      <c r="M63" s="1029">
        <v>0</v>
      </c>
      <c r="N63" s="1030">
        <f t="shared" si="3"/>
        <v>0</v>
      </c>
      <c r="O63" s="1031"/>
      <c r="P63" s="1032"/>
      <c r="Q63" s="1032"/>
      <c r="R63" s="1033">
        <v>256</v>
      </c>
      <c r="S63" s="1034">
        <f t="shared" si="4"/>
        <v>256</v>
      </c>
    </row>
    <row r="64" spans="1:19" ht="83.25" customHeight="1">
      <c r="A64" s="1017" t="s">
        <v>1606</v>
      </c>
      <c r="B64" s="1018" t="s">
        <v>1544</v>
      </c>
      <c r="C64" s="1019" t="s">
        <v>1607</v>
      </c>
      <c r="D64" s="1020" t="s">
        <v>1608</v>
      </c>
      <c r="E64" s="1021" t="s">
        <v>1418</v>
      </c>
      <c r="F64" s="1037">
        <v>5750</v>
      </c>
      <c r="G64" s="1023"/>
      <c r="H64" s="1038"/>
      <c r="I64" s="1039">
        <v>5750</v>
      </c>
      <c r="J64" s="1026">
        <f t="shared" si="2"/>
        <v>5750</v>
      </c>
      <c r="K64" s="1027" t="s">
        <v>1461</v>
      </c>
      <c r="L64" s="1035"/>
      <c r="M64" s="1029">
        <v>0</v>
      </c>
      <c r="N64" s="1030">
        <f t="shared" si="3"/>
        <v>0</v>
      </c>
      <c r="O64" s="1031"/>
      <c r="P64" s="1032"/>
      <c r="Q64" s="1032"/>
      <c r="R64" s="1033">
        <v>5750</v>
      </c>
      <c r="S64" s="1034">
        <f t="shared" si="4"/>
        <v>5750</v>
      </c>
    </row>
    <row r="65" spans="1:19" ht="83.25" customHeight="1">
      <c r="A65" s="1017" t="s">
        <v>1609</v>
      </c>
      <c r="B65" s="1018" t="s">
        <v>1544</v>
      </c>
      <c r="C65" s="1019" t="s">
        <v>1610</v>
      </c>
      <c r="D65" s="1020" t="s">
        <v>1611</v>
      </c>
      <c r="E65" s="1021" t="s">
        <v>1612</v>
      </c>
      <c r="F65" s="1037">
        <v>81616</v>
      </c>
      <c r="G65" s="1023"/>
      <c r="H65" s="1038"/>
      <c r="I65" s="1039"/>
      <c r="J65" s="1026">
        <f t="shared" si="2"/>
        <v>0</v>
      </c>
      <c r="K65" s="1027" t="s">
        <v>1613</v>
      </c>
      <c r="L65" s="1035"/>
      <c r="M65" s="1029">
        <v>0</v>
      </c>
      <c r="N65" s="1030">
        <f t="shared" si="3"/>
        <v>0</v>
      </c>
      <c r="O65" s="1031"/>
      <c r="P65" s="1032"/>
      <c r="Q65" s="1032"/>
      <c r="R65" s="1033"/>
      <c r="S65" s="1034">
        <f t="shared" si="4"/>
        <v>0</v>
      </c>
    </row>
    <row r="66" spans="1:19" ht="83.25" customHeight="1">
      <c r="A66" s="1017" t="s">
        <v>1614</v>
      </c>
      <c r="B66" s="1018" t="s">
        <v>1544</v>
      </c>
      <c r="C66" s="1019" t="s">
        <v>1615</v>
      </c>
      <c r="D66" s="1020" t="s">
        <v>1616</v>
      </c>
      <c r="E66" s="1021" t="s">
        <v>1448</v>
      </c>
      <c r="F66" s="1037">
        <v>1000</v>
      </c>
      <c r="G66" s="1023"/>
      <c r="H66" s="1038"/>
      <c r="I66" s="1039">
        <v>1000</v>
      </c>
      <c r="J66" s="1026">
        <f t="shared" si="2"/>
        <v>1000</v>
      </c>
      <c r="K66" s="1027" t="s">
        <v>1617</v>
      </c>
      <c r="L66" s="1035"/>
      <c r="M66" s="1029">
        <v>0</v>
      </c>
      <c r="N66" s="1030">
        <f t="shared" si="3"/>
        <v>0</v>
      </c>
      <c r="O66" s="1031"/>
      <c r="P66" s="1032"/>
      <c r="Q66" s="1032"/>
      <c r="R66" s="1033"/>
      <c r="S66" s="1034">
        <f t="shared" si="4"/>
        <v>0</v>
      </c>
    </row>
    <row r="67" spans="1:19" ht="83.25" customHeight="1">
      <c r="A67" s="1017" t="s">
        <v>1618</v>
      </c>
      <c r="B67" s="1018" t="s">
        <v>1619</v>
      </c>
      <c r="C67" s="1019" t="s">
        <v>1416</v>
      </c>
      <c r="D67" s="1020" t="s">
        <v>1620</v>
      </c>
      <c r="E67" s="1021" t="s">
        <v>1418</v>
      </c>
      <c r="F67" s="1037"/>
      <c r="G67" s="1023"/>
      <c r="H67" s="1038"/>
      <c r="I67" s="1039"/>
      <c r="J67" s="1026">
        <f t="shared" si="2"/>
        <v>0</v>
      </c>
      <c r="K67" s="1027" t="s">
        <v>1621</v>
      </c>
      <c r="L67" s="1035"/>
      <c r="M67" s="1029">
        <v>0</v>
      </c>
      <c r="N67" s="1030">
        <f t="shared" si="3"/>
        <v>0</v>
      </c>
      <c r="O67" s="1031"/>
      <c r="P67" s="1032"/>
      <c r="Q67" s="1032"/>
      <c r="R67" s="1033"/>
      <c r="S67" s="1034">
        <f t="shared" si="4"/>
        <v>0</v>
      </c>
    </row>
    <row r="68" spans="1:19" ht="83.25" customHeight="1">
      <c r="A68" s="1017" t="s">
        <v>1622</v>
      </c>
      <c r="B68" s="1018" t="s">
        <v>1619</v>
      </c>
      <c r="C68" s="1019" t="s">
        <v>1416</v>
      </c>
      <c r="D68" s="1020" t="s">
        <v>1623</v>
      </c>
      <c r="E68" s="1021" t="s">
        <v>1418</v>
      </c>
      <c r="F68" s="1037"/>
      <c r="G68" s="1023"/>
      <c r="H68" s="1038"/>
      <c r="I68" s="1039"/>
      <c r="J68" s="1026">
        <f t="shared" si="2"/>
        <v>0</v>
      </c>
      <c r="K68" s="1027" t="s">
        <v>1624</v>
      </c>
      <c r="L68" s="1035"/>
      <c r="M68" s="1029">
        <v>0</v>
      </c>
      <c r="N68" s="1030">
        <f t="shared" si="3"/>
        <v>0</v>
      </c>
      <c r="O68" s="1031"/>
      <c r="P68" s="1032"/>
      <c r="Q68" s="1032"/>
      <c r="R68" s="1033"/>
      <c r="S68" s="1034">
        <f t="shared" si="4"/>
        <v>0</v>
      </c>
    </row>
    <row r="69" spans="1:19" ht="37.5" customHeight="1">
      <c r="A69" s="1048"/>
      <c r="B69" s="1049"/>
      <c r="C69" s="1050"/>
      <c r="D69" s="1050" t="s">
        <v>151</v>
      </c>
      <c r="E69" s="1050"/>
      <c r="F69" s="1051">
        <f>SUM(F9:F68)</f>
        <v>3556862</v>
      </c>
      <c r="G69" s="1051">
        <f>SUM(G9:G68)</f>
        <v>14309</v>
      </c>
      <c r="H69" s="1051">
        <f>SUM(H9:H68)</f>
        <v>1311561</v>
      </c>
      <c r="I69" s="1051">
        <f>SUM(I9:I68)</f>
        <v>202149</v>
      </c>
      <c r="J69" s="1051">
        <f>SUM(G69:H69)</f>
        <v>1325870</v>
      </c>
      <c r="K69" s="1052"/>
      <c r="L69" s="1051">
        <f>SUM(L9:L68)</f>
        <v>0</v>
      </c>
      <c r="M69" s="1051">
        <f>SUM(M9:M68)</f>
        <v>319404</v>
      </c>
      <c r="N69" s="1051">
        <f>SUM(L69:M69)</f>
        <v>319404</v>
      </c>
      <c r="O69" s="1051">
        <f>SUM(O9:O68)</f>
        <v>0</v>
      </c>
      <c r="P69" s="1051">
        <f>SUM(P9:P68)</f>
        <v>76808</v>
      </c>
      <c r="Q69" s="1051">
        <f>SUM(Q9:Q68)</f>
        <v>66529</v>
      </c>
      <c r="R69" s="1051">
        <f>SUM(R9:R68)</f>
        <v>180688</v>
      </c>
      <c r="S69" s="1053">
        <f>SUM(O69:R69)</f>
        <v>324025</v>
      </c>
    </row>
    <row r="70" spans="1:19" ht="21">
      <c r="A70" s="1054"/>
      <c r="B70" s="1054"/>
      <c r="C70" s="1055"/>
      <c r="D70" s="1055"/>
      <c r="E70" s="1054"/>
      <c r="F70" s="1054"/>
      <c r="G70" s="1056"/>
      <c r="H70" s="1056"/>
      <c r="I70" s="1056"/>
      <c r="J70" s="1054"/>
      <c r="K70" s="1057"/>
      <c r="L70" s="1054"/>
      <c r="M70" s="1054"/>
      <c r="N70" s="1056"/>
      <c r="O70" s="1054"/>
      <c r="P70" s="1054"/>
      <c r="Q70" s="1054"/>
      <c r="R70" s="1054"/>
      <c r="S70" s="1054"/>
    </row>
    <row r="71" spans="1:13" ht="18.75">
      <c r="A71" s="1058"/>
      <c r="B71" s="1059"/>
      <c r="C71" s="1060"/>
      <c r="D71" s="1061"/>
      <c r="E71" s="1061"/>
      <c r="F71" s="1062"/>
      <c r="G71" s="706"/>
      <c r="H71" s="706"/>
      <c r="I71" s="706"/>
      <c r="J71" s="1063"/>
      <c r="K71" s="1063"/>
      <c r="L71" s="1064"/>
      <c r="M71" s="1064"/>
    </row>
    <row r="72" spans="1:13" ht="19.5">
      <c r="A72" s="1065"/>
      <c r="B72" s="1066"/>
      <c r="C72" s="1067"/>
      <c r="D72" s="1061"/>
      <c r="E72" s="1061"/>
      <c r="F72" s="1062"/>
      <c r="G72" s="706"/>
      <c r="H72" s="706"/>
      <c r="I72" s="706"/>
      <c r="J72" s="706"/>
      <c r="K72" s="1068"/>
      <c r="L72" s="1069"/>
      <c r="M72" s="1069"/>
    </row>
    <row r="73" spans="1:19" ht="18.75">
      <c r="A73" s="1070"/>
      <c r="B73" s="1070"/>
      <c r="D73" s="984"/>
      <c r="E73" s="984"/>
      <c r="F73" s="1062"/>
      <c r="G73" s="984"/>
      <c r="H73" s="984"/>
      <c r="I73" s="984"/>
      <c r="J73" s="706"/>
      <c r="K73" s="1063"/>
      <c r="L73" s="1071"/>
      <c r="M73" s="1071"/>
      <c r="N73" s="1072"/>
      <c r="O73" s="1072"/>
      <c r="P73" s="1072"/>
      <c r="Q73" s="1072"/>
      <c r="R73" s="1072"/>
      <c r="S73" s="1072"/>
    </row>
    <row r="74" spans="1:19" ht="15.75" customHeight="1">
      <c r="A74" s="1070"/>
      <c r="B74" s="1070"/>
      <c r="C74" s="981"/>
      <c r="D74" s="984"/>
      <c r="E74" s="984"/>
      <c r="F74" s="1073"/>
      <c r="J74" s="1074"/>
      <c r="L74" s="1075"/>
      <c r="M74" s="1075"/>
      <c r="N74" s="1076"/>
      <c r="O74" s="1076"/>
      <c r="P74" s="1076"/>
      <c r="Q74" s="1076"/>
      <c r="R74" s="1076"/>
      <c r="S74" s="1076"/>
    </row>
    <row r="75" spans="1:19" ht="15.75" customHeight="1">
      <c r="A75" s="1070"/>
      <c r="B75" s="1070"/>
      <c r="C75" s="1077"/>
      <c r="D75" s="984"/>
      <c r="E75" s="984"/>
      <c r="F75" s="1078"/>
      <c r="J75" s="1074"/>
      <c r="L75" s="1060"/>
      <c r="M75" s="1060"/>
      <c r="N75" s="1060"/>
      <c r="O75" s="1060"/>
      <c r="P75" s="1060"/>
      <c r="Q75" s="1060"/>
      <c r="R75" s="1060"/>
      <c r="S75" s="1060"/>
    </row>
    <row r="76" spans="1:19" ht="15.75" customHeight="1">
      <c r="A76" s="1070"/>
      <c r="B76" s="1070"/>
      <c r="C76" s="1077"/>
      <c r="D76" s="984"/>
      <c r="E76" s="984"/>
      <c r="F76" s="1078"/>
      <c r="J76" s="1074"/>
      <c r="L76" s="1060"/>
      <c r="M76" s="1060"/>
      <c r="N76" s="1060"/>
      <c r="O76" s="1060"/>
      <c r="P76" s="1060"/>
      <c r="Q76" s="1060"/>
      <c r="R76" s="1060"/>
      <c r="S76" s="1060"/>
    </row>
    <row r="77" spans="1:19" ht="18.75">
      <c r="A77" s="1079"/>
      <c r="B77" s="1079"/>
      <c r="C77" s="981"/>
      <c r="G77" s="706"/>
      <c r="H77" s="706"/>
      <c r="I77" s="706"/>
      <c r="K77" s="1068"/>
      <c r="L77" s="1060"/>
      <c r="M77" s="1060"/>
      <c r="N77" s="1060"/>
      <c r="O77" s="1060"/>
      <c r="P77" s="1060"/>
      <c r="Q77" s="1060"/>
      <c r="R77" s="1060"/>
      <c r="S77" s="1060"/>
    </row>
    <row r="78" spans="1:19" ht="18.75">
      <c r="A78" s="1079"/>
      <c r="B78" s="1079"/>
      <c r="G78" s="706"/>
      <c r="H78" s="706"/>
      <c r="I78" s="706"/>
      <c r="J78" s="706"/>
      <c r="L78" s="1080"/>
      <c r="M78" s="1080"/>
      <c r="N78" s="1060"/>
      <c r="O78" s="1060"/>
      <c r="P78" s="1060"/>
      <c r="Q78" s="1060"/>
      <c r="R78" s="1060"/>
      <c r="S78" s="1060"/>
    </row>
    <row r="79" spans="1:19" ht="18.75">
      <c r="A79" s="1079"/>
      <c r="B79" s="1079"/>
      <c r="G79" s="706"/>
      <c r="H79" s="706"/>
      <c r="I79" s="706"/>
      <c r="J79" s="706"/>
      <c r="K79" s="1068"/>
      <c r="L79" s="1080"/>
      <c r="M79" s="1080"/>
      <c r="N79" s="1060"/>
      <c r="O79" s="1060"/>
      <c r="P79" s="1060"/>
      <c r="Q79" s="1060"/>
      <c r="R79" s="1060"/>
      <c r="S79" s="1060"/>
    </row>
    <row r="80" spans="1:19" ht="18.75">
      <c r="A80" s="1079"/>
      <c r="B80" s="1079"/>
      <c r="C80" s="981"/>
      <c r="G80" s="706"/>
      <c r="H80" s="706"/>
      <c r="I80" s="706"/>
      <c r="J80" s="706"/>
      <c r="K80" s="1068"/>
      <c r="L80" s="1080"/>
      <c r="M80" s="1080"/>
      <c r="N80" s="1060"/>
      <c r="O80" s="1060"/>
      <c r="P80" s="1060"/>
      <c r="Q80" s="1060"/>
      <c r="R80" s="1060"/>
      <c r="S80" s="1060"/>
    </row>
    <row r="81" spans="1:19" ht="18.75">
      <c r="A81" s="1079"/>
      <c r="B81" s="1079"/>
      <c r="C81" s="981"/>
      <c r="G81" s="706"/>
      <c r="H81" s="706"/>
      <c r="I81" s="706"/>
      <c r="J81" s="706"/>
      <c r="K81" s="1068"/>
      <c r="L81" s="1080"/>
      <c r="M81" s="1080"/>
      <c r="N81" s="1060"/>
      <c r="O81" s="1060"/>
      <c r="P81" s="1060"/>
      <c r="Q81" s="1060"/>
      <c r="R81" s="1060"/>
      <c r="S81" s="1060"/>
    </row>
    <row r="82" spans="1:19" ht="18.75">
      <c r="A82" s="1079"/>
      <c r="B82" s="1079"/>
      <c r="C82" s="981"/>
      <c r="G82" s="706"/>
      <c r="H82" s="706"/>
      <c r="I82" s="706"/>
      <c r="J82" s="706"/>
      <c r="K82" s="1068"/>
      <c r="L82" s="1080"/>
      <c r="M82" s="1080"/>
      <c r="N82" s="1060"/>
      <c r="O82" s="1060"/>
      <c r="P82" s="1060"/>
      <c r="Q82" s="1060"/>
      <c r="R82" s="1060"/>
      <c r="S82" s="1060"/>
    </row>
    <row r="83" spans="1:19" ht="18.75">
      <c r="A83" s="1079"/>
      <c r="B83" s="1079"/>
      <c r="C83" s="981"/>
      <c r="G83" s="706"/>
      <c r="H83" s="706"/>
      <c r="I83" s="706"/>
      <c r="J83" s="706"/>
      <c r="K83" s="1068"/>
      <c r="L83" s="1080"/>
      <c r="M83" s="1080"/>
      <c r="N83" s="1060"/>
      <c r="O83" s="1060"/>
      <c r="P83" s="1060"/>
      <c r="Q83" s="1060"/>
      <c r="R83" s="1060"/>
      <c r="S83" s="1060"/>
    </row>
    <row r="84" spans="1:19" ht="18.75">
      <c r="A84" s="1079"/>
      <c r="B84" s="1079"/>
      <c r="C84" s="981"/>
      <c r="G84" s="706"/>
      <c r="H84" s="706"/>
      <c r="I84" s="706"/>
      <c r="J84" s="706"/>
      <c r="K84" s="1068"/>
      <c r="L84" s="1080"/>
      <c r="M84" s="1080"/>
      <c r="N84" s="1060"/>
      <c r="O84" s="1060"/>
      <c r="P84" s="1060"/>
      <c r="Q84" s="1060"/>
      <c r="R84" s="1060"/>
      <c r="S84" s="1060"/>
    </row>
    <row r="85" spans="1:19" ht="18.75">
      <c r="A85" s="1079"/>
      <c r="B85" s="1079"/>
      <c r="C85" s="981"/>
      <c r="G85" s="706"/>
      <c r="H85" s="706"/>
      <c r="I85" s="706"/>
      <c r="J85" s="706"/>
      <c r="K85" s="1068"/>
      <c r="L85" s="1080"/>
      <c r="M85" s="1080"/>
      <c r="N85" s="1060"/>
      <c r="O85" s="1060"/>
      <c r="P85" s="1060"/>
      <c r="Q85" s="1060"/>
      <c r="R85" s="1060"/>
      <c r="S85" s="1060"/>
    </row>
    <row r="86" spans="1:19" ht="18.75">
      <c r="A86" s="1079"/>
      <c r="B86" s="1079"/>
      <c r="G86" s="706"/>
      <c r="H86" s="706"/>
      <c r="I86" s="706"/>
      <c r="J86" s="706"/>
      <c r="K86" s="1068"/>
      <c r="L86" s="1080"/>
      <c r="M86" s="1080"/>
      <c r="N86" s="1060"/>
      <c r="O86" s="1060"/>
      <c r="P86" s="1060"/>
      <c r="Q86" s="1060"/>
      <c r="R86" s="1060"/>
      <c r="S86" s="1060"/>
    </row>
    <row r="87" spans="7:11" ht="15.75">
      <c r="G87" s="706"/>
      <c r="H87" s="706"/>
      <c r="I87" s="706"/>
      <c r="J87" s="706"/>
      <c r="K87" s="1068"/>
    </row>
    <row r="88" spans="7:11" ht="15.75">
      <c r="G88" s="706"/>
      <c r="H88" s="706"/>
      <c r="I88" s="706"/>
      <c r="J88" s="706"/>
      <c r="K88" s="1068"/>
    </row>
    <row r="89" spans="7:11" ht="15.75">
      <c r="G89" s="706"/>
      <c r="H89" s="706"/>
      <c r="I89" s="706"/>
      <c r="J89" s="706"/>
      <c r="K89" s="1068"/>
    </row>
    <row r="90" spans="7:11" ht="15.75">
      <c r="G90" s="1068"/>
      <c r="H90" s="1068"/>
      <c r="I90" s="1068"/>
      <c r="J90" s="1068"/>
      <c r="K90" s="1068"/>
    </row>
    <row r="91" spans="7:11" ht="15.75">
      <c r="G91" s="706"/>
      <c r="H91" s="706"/>
      <c r="I91" s="706"/>
      <c r="J91" s="706"/>
      <c r="K91" s="1068"/>
    </row>
    <row r="92" spans="7:9" ht="15.75">
      <c r="G92" s="1081"/>
      <c r="H92" s="1081"/>
      <c r="I92" s="1081"/>
    </row>
  </sheetData>
  <sheetProtection selectLockedCells="1" selectUnlockedCells="1"/>
  <mergeCells count="25">
    <mergeCell ref="A1:S1"/>
    <mergeCell ref="A2:S2"/>
    <mergeCell ref="A3:S3"/>
    <mergeCell ref="A5:A8"/>
    <mergeCell ref="B5:B8"/>
    <mergeCell ref="C5:C8"/>
    <mergeCell ref="D5:D8"/>
    <mergeCell ref="E5:E8"/>
    <mergeCell ref="F5:F8"/>
    <mergeCell ref="G5:J5"/>
    <mergeCell ref="K5:K8"/>
    <mergeCell ref="L5:N5"/>
    <mergeCell ref="O5:S5"/>
    <mergeCell ref="G6:G8"/>
    <mergeCell ref="H6:H8"/>
    <mergeCell ref="I6:I8"/>
    <mergeCell ref="J6:J8"/>
    <mergeCell ref="L6:L8"/>
    <mergeCell ref="M6:M8"/>
    <mergeCell ref="N6:N8"/>
    <mergeCell ref="O6:O8"/>
    <mergeCell ref="P6:P8"/>
    <mergeCell ref="Q6:Q8"/>
    <mergeCell ref="R6:R8"/>
    <mergeCell ref="S6:S8"/>
  </mergeCells>
  <printOptions horizontalCentered="1"/>
  <pageMargins left="0.39375" right="0.39375" top="0.39375" bottom="0.39375" header="0" footer="0.5118055555555555"/>
  <pageSetup horizontalDpi="300" verticalDpi="300" orientation="landscape" paperSize="9" scale="35"/>
  <headerFooter alignWithMargins="0">
    <oddHeader>&amp;L24. melléklet a 16/2011.(V.02.)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A1" sqref="A1"/>
    </sheetView>
  </sheetViews>
  <sheetFormatPr defaultColWidth="9.00390625" defaultRowHeight="12.75"/>
  <cols>
    <col min="1" max="1" width="82.25390625" style="0" customWidth="1"/>
  </cols>
  <sheetData>
    <row r="1" ht="15.75">
      <c r="A1" s="1082" t="s">
        <v>1625</v>
      </c>
    </row>
    <row r="2" ht="15.75">
      <c r="A2" s="1082"/>
    </row>
    <row r="3" ht="81" customHeight="1">
      <c r="A3" s="1083" t="s">
        <v>1626</v>
      </c>
    </row>
    <row r="4" ht="51" customHeight="1">
      <c r="A4" s="1083" t="s">
        <v>1627</v>
      </c>
    </row>
    <row r="5" ht="78.75">
      <c r="A5" s="1083" t="s">
        <v>1628</v>
      </c>
    </row>
    <row r="6" ht="47.25">
      <c r="A6" s="1083" t="s">
        <v>1629</v>
      </c>
    </row>
    <row r="7" ht="47.25">
      <c r="A7" s="1083" t="s">
        <v>1630</v>
      </c>
    </row>
    <row r="8" ht="47.25">
      <c r="A8" s="1083" t="s">
        <v>1631</v>
      </c>
    </row>
    <row r="9" ht="47.25">
      <c r="A9" s="1083" t="s">
        <v>1632</v>
      </c>
    </row>
    <row r="10" ht="47.25">
      <c r="A10" s="1083" t="s">
        <v>1633</v>
      </c>
    </row>
    <row r="11" ht="15.75">
      <c r="A11" s="1084" t="s">
        <v>1634</v>
      </c>
    </row>
    <row r="12" ht="15.75">
      <c r="A12" s="1084" t="s">
        <v>1635</v>
      </c>
    </row>
    <row r="13" ht="15.75">
      <c r="A13" s="1084" t="s">
        <v>1636</v>
      </c>
    </row>
    <row r="14" ht="15.75">
      <c r="A14" s="1084" t="s">
        <v>1637</v>
      </c>
    </row>
    <row r="15" ht="15.75">
      <c r="A15" s="1084" t="s">
        <v>1638</v>
      </c>
    </row>
    <row r="16" ht="15.75">
      <c r="A16" s="1084" t="s">
        <v>1639</v>
      </c>
    </row>
    <row r="17" ht="15.75">
      <c r="A17" s="1084" t="s">
        <v>1640</v>
      </c>
    </row>
    <row r="18" ht="15.75">
      <c r="A18" s="1084" t="s">
        <v>1641</v>
      </c>
    </row>
    <row r="19" ht="15.75">
      <c r="A19" s="1084" t="s">
        <v>1642</v>
      </c>
    </row>
    <row r="20" ht="15.75">
      <c r="A20" s="1084" t="s">
        <v>1643</v>
      </c>
    </row>
    <row r="21" ht="15.75">
      <c r="A21" s="1084" t="s">
        <v>1644</v>
      </c>
    </row>
    <row r="22" ht="15.75">
      <c r="A22" s="1084" t="s">
        <v>1645</v>
      </c>
    </row>
    <row r="23" ht="15.75">
      <c r="A23" s="1084" t="s">
        <v>1646</v>
      </c>
    </row>
    <row r="24" ht="15.75">
      <c r="A24" s="1084" t="s">
        <v>1647</v>
      </c>
    </row>
    <row r="25" ht="15.75">
      <c r="A25" s="1084"/>
    </row>
    <row r="26" ht="15.75">
      <c r="A26" s="1084"/>
    </row>
    <row r="27" ht="94.5">
      <c r="A27" s="1083" t="s">
        <v>1648</v>
      </c>
    </row>
    <row r="28" ht="94.5">
      <c r="A28" s="1083" t="s">
        <v>1649</v>
      </c>
    </row>
    <row r="29" ht="15.75">
      <c r="A29" s="1084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&amp;L25. melléklet a 16/2011.(V.02.)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00" workbookViewId="0" topLeftCell="A31">
      <selection activeCell="K54" sqref="K54"/>
    </sheetView>
  </sheetViews>
  <sheetFormatPr defaultColWidth="9.00390625" defaultRowHeight="12.75"/>
  <cols>
    <col min="1" max="1" width="52.00390625" style="0" customWidth="1"/>
    <col min="2" max="2" width="10.75390625" style="0" customWidth="1"/>
    <col min="3" max="4" width="11.75390625" style="0" customWidth="1"/>
    <col min="5" max="5" width="10.75390625" style="0" customWidth="1"/>
    <col min="6" max="7" width="11.75390625" style="0" customWidth="1"/>
    <col min="8" max="8" width="10.875" style="0" customWidth="1"/>
    <col min="9" max="10" width="11.75390625" style="0" customWidth="1"/>
    <col min="11" max="11" width="10.75390625" style="0" customWidth="1"/>
    <col min="12" max="13" width="11.75390625" style="0" customWidth="1"/>
  </cols>
  <sheetData>
    <row r="1" spans="1:11" ht="12.75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3" ht="14.25">
      <c r="A2" s="159" t="s">
        <v>146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1" ht="15.7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58"/>
    </row>
    <row r="4" spans="1:13" ht="54.75" customHeight="1">
      <c r="A4" s="160" t="s">
        <v>147</v>
      </c>
      <c r="B4" s="161" t="s">
        <v>148</v>
      </c>
      <c r="C4" s="161"/>
      <c r="D4" s="161"/>
      <c r="E4" s="161" t="s">
        <v>149</v>
      </c>
      <c r="F4" s="161"/>
      <c r="G4" s="161"/>
      <c r="H4" s="161" t="s">
        <v>150</v>
      </c>
      <c r="I4" s="161"/>
      <c r="J4" s="161"/>
      <c r="K4" s="162" t="s">
        <v>151</v>
      </c>
      <c r="L4" s="162"/>
      <c r="M4" s="162"/>
    </row>
    <row r="5" spans="1:13" ht="12.75" customHeight="1">
      <c r="A5" s="163"/>
      <c r="B5" s="164" t="s">
        <v>152</v>
      </c>
      <c r="C5" s="165" t="s">
        <v>4</v>
      </c>
      <c r="D5" s="165" t="s">
        <v>5</v>
      </c>
      <c r="E5" s="164" t="s">
        <v>152</v>
      </c>
      <c r="F5" s="165" t="s">
        <v>4</v>
      </c>
      <c r="G5" s="165" t="s">
        <v>5</v>
      </c>
      <c r="H5" s="164" t="s">
        <v>152</v>
      </c>
      <c r="I5" s="165" t="s">
        <v>4</v>
      </c>
      <c r="J5" s="165" t="s">
        <v>5</v>
      </c>
      <c r="K5" s="165" t="s">
        <v>7</v>
      </c>
      <c r="L5" s="166" t="s">
        <v>4</v>
      </c>
      <c r="M5" s="167" t="s">
        <v>5</v>
      </c>
    </row>
    <row r="6" spans="1:13" ht="12.75">
      <c r="A6" s="168" t="s">
        <v>153</v>
      </c>
      <c r="B6" s="169">
        <v>27500</v>
      </c>
      <c r="C6" s="170">
        <v>40922</v>
      </c>
      <c r="D6" s="170">
        <v>52430</v>
      </c>
      <c r="E6" s="170">
        <v>107829</v>
      </c>
      <c r="F6" s="170">
        <v>114731</v>
      </c>
      <c r="G6" s="170">
        <v>113571</v>
      </c>
      <c r="H6" s="170">
        <v>6400</v>
      </c>
      <c r="I6" s="170">
        <v>13104</v>
      </c>
      <c r="J6" s="170">
        <v>13104</v>
      </c>
      <c r="K6" s="76">
        <f>SUM(B6+E6+H6)</f>
        <v>141729</v>
      </c>
      <c r="L6" s="76">
        <f>SUM(C6+F6+I6)</f>
        <v>168757</v>
      </c>
      <c r="M6" s="171">
        <f>SUM(D6+G6+J6)</f>
        <v>179105</v>
      </c>
    </row>
    <row r="7" spans="1:13" ht="12.75">
      <c r="A7" s="62" t="s">
        <v>154</v>
      </c>
      <c r="B7" s="32">
        <v>33488</v>
      </c>
      <c r="C7" s="76">
        <v>193298</v>
      </c>
      <c r="D7" s="76">
        <v>197176</v>
      </c>
      <c r="E7" s="76">
        <v>25621</v>
      </c>
      <c r="F7" s="76">
        <v>30098</v>
      </c>
      <c r="G7" s="76">
        <v>31961</v>
      </c>
      <c r="H7" s="76">
        <v>50</v>
      </c>
      <c r="I7" s="76">
        <v>500</v>
      </c>
      <c r="J7" s="76">
        <v>500</v>
      </c>
      <c r="K7" s="76">
        <f aca="true" t="shared" si="0" ref="K7:K51">SUM(B7+E7+H7)</f>
        <v>59159</v>
      </c>
      <c r="L7" s="76">
        <f aca="true" t="shared" si="1" ref="L7:L35">SUM(C7+F7+I7)</f>
        <v>223896</v>
      </c>
      <c r="M7" s="171">
        <f aca="true" t="shared" si="2" ref="M7:M51">SUM(D7+G7+J7)</f>
        <v>229637</v>
      </c>
    </row>
    <row r="8" spans="1:13" ht="12.75">
      <c r="A8" s="62" t="s">
        <v>155</v>
      </c>
      <c r="B8" s="32">
        <v>133000</v>
      </c>
      <c r="C8" s="76">
        <v>133013</v>
      </c>
      <c r="D8" s="76">
        <v>148081</v>
      </c>
      <c r="E8" s="76"/>
      <c r="F8" s="76"/>
      <c r="G8" s="76">
        <v>358</v>
      </c>
      <c r="H8" s="76">
        <v>500</v>
      </c>
      <c r="I8" s="76">
        <v>1395</v>
      </c>
      <c r="J8" s="76">
        <v>1395</v>
      </c>
      <c r="K8" s="76">
        <f t="shared" si="0"/>
        <v>133500</v>
      </c>
      <c r="L8" s="76">
        <f t="shared" si="1"/>
        <v>134408</v>
      </c>
      <c r="M8" s="171">
        <f t="shared" si="2"/>
        <v>149834</v>
      </c>
    </row>
    <row r="9" spans="1:13" ht="12.75">
      <c r="A9" s="62" t="s">
        <v>156</v>
      </c>
      <c r="B9" s="32">
        <v>129000</v>
      </c>
      <c r="C9" s="76">
        <v>129000</v>
      </c>
      <c r="D9" s="76">
        <v>136049</v>
      </c>
      <c r="E9" s="76"/>
      <c r="F9" s="76"/>
      <c r="G9" s="76"/>
      <c r="H9" s="76"/>
      <c r="I9" s="76"/>
      <c r="J9" s="76"/>
      <c r="K9" s="76">
        <f t="shared" si="0"/>
        <v>129000</v>
      </c>
      <c r="L9" s="76">
        <f t="shared" si="1"/>
        <v>129000</v>
      </c>
      <c r="M9" s="171">
        <f t="shared" si="2"/>
        <v>136049</v>
      </c>
    </row>
    <row r="10" spans="1:13" ht="12.75">
      <c r="A10" s="62" t="s">
        <v>157</v>
      </c>
      <c r="B10" s="32">
        <v>2700</v>
      </c>
      <c r="C10" s="76">
        <v>12050</v>
      </c>
      <c r="D10" s="76">
        <v>4072</v>
      </c>
      <c r="E10" s="76"/>
      <c r="F10" s="76">
        <v>9892</v>
      </c>
      <c r="G10" s="76">
        <v>6126</v>
      </c>
      <c r="H10" s="76"/>
      <c r="I10" s="76"/>
      <c r="J10" s="76"/>
      <c r="K10" s="76">
        <f t="shared" si="0"/>
        <v>2700</v>
      </c>
      <c r="L10" s="76">
        <f t="shared" si="1"/>
        <v>21942</v>
      </c>
      <c r="M10" s="171">
        <f t="shared" si="2"/>
        <v>10198</v>
      </c>
    </row>
    <row r="11" spans="1:13" ht="12.75">
      <c r="A11" s="172" t="s">
        <v>158</v>
      </c>
      <c r="B11" s="65">
        <f aca="true" t="shared" si="3" ref="B11:J11">SUM(B6+B7+B8+B10)</f>
        <v>196688</v>
      </c>
      <c r="C11" s="65">
        <f t="shared" si="3"/>
        <v>379283</v>
      </c>
      <c r="D11" s="65">
        <f t="shared" si="3"/>
        <v>401759</v>
      </c>
      <c r="E11" s="65">
        <f t="shared" si="3"/>
        <v>133450</v>
      </c>
      <c r="F11" s="65">
        <f t="shared" si="3"/>
        <v>154721</v>
      </c>
      <c r="G11" s="65">
        <f t="shared" si="3"/>
        <v>152016</v>
      </c>
      <c r="H11" s="65">
        <f t="shared" si="3"/>
        <v>6950</v>
      </c>
      <c r="I11" s="65">
        <f t="shared" si="3"/>
        <v>14999</v>
      </c>
      <c r="J11" s="65">
        <f t="shared" si="3"/>
        <v>14999</v>
      </c>
      <c r="K11" s="68">
        <f t="shared" si="0"/>
        <v>337088</v>
      </c>
      <c r="L11" s="68">
        <f t="shared" si="1"/>
        <v>549003</v>
      </c>
      <c r="M11" s="173">
        <f t="shared" si="2"/>
        <v>568774</v>
      </c>
    </row>
    <row r="12" spans="1:13" ht="12.75">
      <c r="A12" s="62" t="s">
        <v>159</v>
      </c>
      <c r="B12" s="32">
        <f>SUM(B14:B19)</f>
        <v>1140400</v>
      </c>
      <c r="C12" s="32">
        <f>SUM(C14:C19)</f>
        <v>1154727</v>
      </c>
      <c r="D12" s="32">
        <v>1231327</v>
      </c>
      <c r="E12" s="76"/>
      <c r="F12" s="76"/>
      <c r="G12" s="76"/>
      <c r="H12" s="76"/>
      <c r="I12" s="76"/>
      <c r="J12" s="76"/>
      <c r="K12" s="76">
        <f t="shared" si="0"/>
        <v>1140400</v>
      </c>
      <c r="L12" s="76">
        <f t="shared" si="1"/>
        <v>1154727</v>
      </c>
      <c r="M12" s="171">
        <f t="shared" si="2"/>
        <v>1231327</v>
      </c>
    </row>
    <row r="13" spans="1:13" ht="12.75">
      <c r="A13" s="62" t="s">
        <v>160</v>
      </c>
      <c r="B13" s="32"/>
      <c r="C13" s="76"/>
      <c r="D13" s="76"/>
      <c r="E13" s="76"/>
      <c r="F13" s="76"/>
      <c r="G13" s="76"/>
      <c r="H13" s="76"/>
      <c r="I13" s="76"/>
      <c r="J13" s="76"/>
      <c r="K13" s="76">
        <f t="shared" si="0"/>
        <v>0</v>
      </c>
      <c r="L13" s="76">
        <f t="shared" si="1"/>
        <v>0</v>
      </c>
      <c r="M13" s="171">
        <f t="shared" si="2"/>
        <v>0</v>
      </c>
    </row>
    <row r="14" spans="1:13" ht="12.75">
      <c r="A14" s="62" t="s">
        <v>161</v>
      </c>
      <c r="B14" s="32">
        <v>190000</v>
      </c>
      <c r="C14" s="76">
        <v>200127</v>
      </c>
      <c r="D14" s="76">
        <v>205240</v>
      </c>
      <c r="E14" s="76"/>
      <c r="F14" s="76"/>
      <c r="G14" s="76"/>
      <c r="H14" s="76"/>
      <c r="I14" s="76"/>
      <c r="J14" s="76"/>
      <c r="K14" s="76">
        <f t="shared" si="0"/>
        <v>190000</v>
      </c>
      <c r="L14" s="76">
        <f t="shared" si="1"/>
        <v>200127</v>
      </c>
      <c r="M14" s="171">
        <f t="shared" si="2"/>
        <v>205240</v>
      </c>
    </row>
    <row r="15" spans="1:13" ht="12.75">
      <c r="A15" s="62" t="s">
        <v>162</v>
      </c>
      <c r="B15" s="32">
        <v>70000</v>
      </c>
      <c r="C15" s="76">
        <v>70394</v>
      </c>
      <c r="D15" s="76">
        <v>70735</v>
      </c>
      <c r="E15" s="76"/>
      <c r="F15" s="76"/>
      <c r="G15" s="76"/>
      <c r="H15" s="76"/>
      <c r="I15" s="76"/>
      <c r="J15" s="76"/>
      <c r="K15" s="76">
        <f t="shared" si="0"/>
        <v>70000</v>
      </c>
      <c r="L15" s="76">
        <f t="shared" si="1"/>
        <v>70394</v>
      </c>
      <c r="M15" s="171">
        <f t="shared" si="2"/>
        <v>70735</v>
      </c>
    </row>
    <row r="16" spans="1:13" ht="12.75">
      <c r="A16" s="62" t="s">
        <v>163</v>
      </c>
      <c r="B16" s="32">
        <v>15000</v>
      </c>
      <c r="C16" s="76">
        <v>15000</v>
      </c>
      <c r="D16" s="76">
        <v>15571</v>
      </c>
      <c r="E16" s="76"/>
      <c r="F16" s="76"/>
      <c r="G16" s="76"/>
      <c r="H16" s="76"/>
      <c r="I16" s="76"/>
      <c r="J16" s="76"/>
      <c r="K16" s="76">
        <f t="shared" si="0"/>
        <v>15000</v>
      </c>
      <c r="L16" s="76">
        <f t="shared" si="1"/>
        <v>15000</v>
      </c>
      <c r="M16" s="171">
        <f t="shared" si="2"/>
        <v>15571</v>
      </c>
    </row>
    <row r="17" spans="1:13" ht="12.75">
      <c r="A17" s="62" t="s">
        <v>164</v>
      </c>
      <c r="B17" s="32">
        <v>850000</v>
      </c>
      <c r="C17" s="76">
        <v>850000</v>
      </c>
      <c r="D17" s="76">
        <v>921369</v>
      </c>
      <c r="E17" s="76"/>
      <c r="F17" s="76"/>
      <c r="G17" s="76"/>
      <c r="H17" s="76"/>
      <c r="I17" s="76"/>
      <c r="J17" s="76"/>
      <c r="K17" s="76">
        <f t="shared" si="0"/>
        <v>850000</v>
      </c>
      <c r="L17" s="76">
        <f t="shared" si="1"/>
        <v>850000</v>
      </c>
      <c r="M17" s="171">
        <f t="shared" si="2"/>
        <v>921369</v>
      </c>
    </row>
    <row r="18" spans="1:13" ht="12.75">
      <c r="A18" s="62" t="s">
        <v>165</v>
      </c>
      <c r="B18" s="32">
        <v>12000</v>
      </c>
      <c r="C18" s="76">
        <v>15157</v>
      </c>
      <c r="D18" s="76">
        <v>15318</v>
      </c>
      <c r="E18" s="76"/>
      <c r="F18" s="76"/>
      <c r="G18" s="76"/>
      <c r="H18" s="76"/>
      <c r="I18" s="76"/>
      <c r="J18" s="76"/>
      <c r="K18" s="76">
        <f t="shared" si="0"/>
        <v>12000</v>
      </c>
      <c r="L18" s="76">
        <f t="shared" si="1"/>
        <v>15157</v>
      </c>
      <c r="M18" s="171">
        <f t="shared" si="2"/>
        <v>15318</v>
      </c>
    </row>
    <row r="19" spans="1:13" ht="12.75">
      <c r="A19" s="62" t="s">
        <v>166</v>
      </c>
      <c r="B19" s="32">
        <v>3400</v>
      </c>
      <c r="C19" s="76">
        <v>4049</v>
      </c>
      <c r="D19" s="76">
        <v>3094</v>
      </c>
      <c r="E19" s="76"/>
      <c r="F19" s="76"/>
      <c r="G19" s="76"/>
      <c r="H19" s="76"/>
      <c r="I19" s="76"/>
      <c r="J19" s="76"/>
      <c r="K19" s="76">
        <f t="shared" si="0"/>
        <v>3400</v>
      </c>
      <c r="L19" s="76">
        <f t="shared" si="1"/>
        <v>4049</v>
      </c>
      <c r="M19" s="171">
        <f t="shared" si="2"/>
        <v>3094</v>
      </c>
    </row>
    <row r="20" spans="1:13" ht="12.75">
      <c r="A20" s="62" t="s">
        <v>167</v>
      </c>
      <c r="B20" s="32">
        <v>426859</v>
      </c>
      <c r="C20" s="76">
        <v>426859</v>
      </c>
      <c r="D20" s="76">
        <v>426859</v>
      </c>
      <c r="E20" s="76"/>
      <c r="F20" s="76"/>
      <c r="G20" s="76"/>
      <c r="H20" s="76"/>
      <c r="I20" s="76"/>
      <c r="J20" s="76"/>
      <c r="K20" s="76">
        <f t="shared" si="0"/>
        <v>426859</v>
      </c>
      <c r="L20" s="76">
        <f t="shared" si="1"/>
        <v>426859</v>
      </c>
      <c r="M20" s="171">
        <f t="shared" si="2"/>
        <v>426859</v>
      </c>
    </row>
    <row r="21" spans="1:13" ht="12.75">
      <c r="A21" s="62" t="s">
        <v>168</v>
      </c>
      <c r="B21" s="32">
        <v>240000</v>
      </c>
      <c r="C21" s="76">
        <v>240664</v>
      </c>
      <c r="D21" s="76">
        <v>262487</v>
      </c>
      <c r="E21" s="76"/>
      <c r="F21" s="76"/>
      <c r="G21" s="76"/>
      <c r="H21" s="76"/>
      <c r="I21" s="76"/>
      <c r="J21" s="76"/>
      <c r="K21" s="76">
        <f t="shared" si="0"/>
        <v>240000</v>
      </c>
      <c r="L21" s="76">
        <f t="shared" si="1"/>
        <v>240664</v>
      </c>
      <c r="M21" s="171">
        <f t="shared" si="2"/>
        <v>262487</v>
      </c>
    </row>
    <row r="22" spans="1:13" ht="12.75">
      <c r="A22" s="62" t="s">
        <v>169</v>
      </c>
      <c r="B22" s="32">
        <v>100</v>
      </c>
      <c r="C22" s="76">
        <v>100</v>
      </c>
      <c r="D22" s="76">
        <v>303</v>
      </c>
      <c r="E22" s="76"/>
      <c r="F22" s="76"/>
      <c r="G22" s="76"/>
      <c r="H22" s="76"/>
      <c r="I22" s="76"/>
      <c r="J22" s="76"/>
      <c r="K22" s="76">
        <f t="shared" si="0"/>
        <v>100</v>
      </c>
      <c r="L22" s="76">
        <f t="shared" si="1"/>
        <v>100</v>
      </c>
      <c r="M22" s="171">
        <f t="shared" si="2"/>
        <v>303</v>
      </c>
    </row>
    <row r="23" spans="1:13" ht="12.75">
      <c r="A23" s="62" t="s">
        <v>170</v>
      </c>
      <c r="B23" s="32">
        <v>2500</v>
      </c>
      <c r="C23" s="76">
        <v>2605</v>
      </c>
      <c r="D23" s="76">
        <v>4034</v>
      </c>
      <c r="E23" s="76"/>
      <c r="F23" s="76"/>
      <c r="G23" s="76"/>
      <c r="H23" s="76"/>
      <c r="I23" s="76"/>
      <c r="J23" s="76"/>
      <c r="K23" s="76">
        <f t="shared" si="0"/>
        <v>2500</v>
      </c>
      <c r="L23" s="76">
        <f t="shared" si="1"/>
        <v>2605</v>
      </c>
      <c r="M23" s="171">
        <f t="shared" si="2"/>
        <v>4034</v>
      </c>
    </row>
    <row r="24" spans="1:13" ht="12.75">
      <c r="A24" s="62" t="s">
        <v>171</v>
      </c>
      <c r="B24" s="32">
        <v>5000</v>
      </c>
      <c r="C24" s="76">
        <v>5000</v>
      </c>
      <c r="D24" s="76">
        <v>5631</v>
      </c>
      <c r="E24" s="76"/>
      <c r="F24" s="76"/>
      <c r="G24" s="76"/>
      <c r="H24" s="76"/>
      <c r="I24" s="76"/>
      <c r="J24" s="76"/>
      <c r="K24" s="76">
        <f t="shared" si="0"/>
        <v>5000</v>
      </c>
      <c r="L24" s="76">
        <f t="shared" si="1"/>
        <v>5000</v>
      </c>
      <c r="M24" s="171">
        <f t="shared" si="2"/>
        <v>5631</v>
      </c>
    </row>
    <row r="25" spans="1:13" ht="12.75">
      <c r="A25" s="62" t="s">
        <v>172</v>
      </c>
      <c r="B25" s="32">
        <v>39094</v>
      </c>
      <c r="C25" s="76">
        <v>38161</v>
      </c>
      <c r="D25" s="76">
        <v>34368</v>
      </c>
      <c r="E25" s="76"/>
      <c r="F25" s="76"/>
      <c r="G25" s="76"/>
      <c r="H25" s="76"/>
      <c r="I25" s="76"/>
      <c r="J25" s="76"/>
      <c r="K25" s="76">
        <f t="shared" si="0"/>
        <v>39094</v>
      </c>
      <c r="L25" s="76">
        <f t="shared" si="1"/>
        <v>38161</v>
      </c>
      <c r="M25" s="171">
        <f t="shared" si="2"/>
        <v>34368</v>
      </c>
    </row>
    <row r="26" spans="1:13" ht="12.75">
      <c r="A26" s="62" t="s">
        <v>173</v>
      </c>
      <c r="B26" s="32">
        <v>54500</v>
      </c>
      <c r="C26" s="76">
        <v>54500</v>
      </c>
      <c r="D26" s="76">
        <v>51214</v>
      </c>
      <c r="E26" s="76"/>
      <c r="F26" s="76"/>
      <c r="G26" s="76"/>
      <c r="H26" s="76"/>
      <c r="I26" s="76"/>
      <c r="J26" s="76"/>
      <c r="K26" s="76">
        <f t="shared" si="0"/>
        <v>54500</v>
      </c>
      <c r="L26" s="76">
        <f t="shared" si="1"/>
        <v>54500</v>
      </c>
      <c r="M26" s="171">
        <f t="shared" si="2"/>
        <v>51214</v>
      </c>
    </row>
    <row r="27" spans="1:13" ht="12.75">
      <c r="A27" s="172" t="s">
        <v>174</v>
      </c>
      <c r="B27" s="65">
        <f aca="true" t="shared" si="4" ref="B27:J27">SUM(B12+B20+B21+B22+B23+B24+B25+B26)</f>
        <v>1908453</v>
      </c>
      <c r="C27" s="65">
        <f t="shared" si="4"/>
        <v>1922616</v>
      </c>
      <c r="D27" s="65">
        <f t="shared" si="4"/>
        <v>2016223</v>
      </c>
      <c r="E27" s="65">
        <f t="shared" si="4"/>
        <v>0</v>
      </c>
      <c r="F27" s="65"/>
      <c r="G27" s="65"/>
      <c r="H27" s="65">
        <f t="shared" si="4"/>
        <v>0</v>
      </c>
      <c r="I27" s="65">
        <f t="shared" si="4"/>
        <v>0</v>
      </c>
      <c r="J27" s="65">
        <f t="shared" si="4"/>
        <v>0</v>
      </c>
      <c r="K27" s="68">
        <f t="shared" si="0"/>
        <v>1908453</v>
      </c>
      <c r="L27" s="68">
        <f t="shared" si="1"/>
        <v>1922616</v>
      </c>
      <c r="M27" s="173">
        <f t="shared" si="2"/>
        <v>2016223</v>
      </c>
    </row>
    <row r="28" spans="1:13" ht="12.75">
      <c r="A28" s="52" t="s">
        <v>175</v>
      </c>
      <c r="B28" s="37">
        <f aca="true" t="shared" si="5" ref="B28:J28">SUM(B11+B27)</f>
        <v>2105141</v>
      </c>
      <c r="C28" s="37">
        <f t="shared" si="5"/>
        <v>2301899</v>
      </c>
      <c r="D28" s="37">
        <f t="shared" si="5"/>
        <v>2417982</v>
      </c>
      <c r="E28" s="37">
        <f t="shared" si="5"/>
        <v>133450</v>
      </c>
      <c r="F28" s="37">
        <f t="shared" si="5"/>
        <v>154721</v>
      </c>
      <c r="G28" s="37">
        <f t="shared" si="5"/>
        <v>152016</v>
      </c>
      <c r="H28" s="37">
        <f t="shared" si="5"/>
        <v>6950</v>
      </c>
      <c r="I28" s="37">
        <f t="shared" si="5"/>
        <v>14999</v>
      </c>
      <c r="J28" s="37">
        <f t="shared" si="5"/>
        <v>14999</v>
      </c>
      <c r="K28" s="174">
        <f t="shared" si="0"/>
        <v>2245541</v>
      </c>
      <c r="L28" s="174">
        <f t="shared" si="1"/>
        <v>2471619</v>
      </c>
      <c r="M28" s="175">
        <f t="shared" si="2"/>
        <v>2584997</v>
      </c>
    </row>
    <row r="29" spans="1:13" ht="12.75">
      <c r="A29" s="62" t="s">
        <v>176</v>
      </c>
      <c r="B29" s="37"/>
      <c r="C29" s="174"/>
      <c r="D29" s="174"/>
      <c r="E29" s="174"/>
      <c r="F29" s="174"/>
      <c r="G29" s="174"/>
      <c r="H29" s="174"/>
      <c r="I29" s="76">
        <v>800</v>
      </c>
      <c r="J29" s="76">
        <v>800</v>
      </c>
      <c r="K29" s="174"/>
      <c r="L29" s="76">
        <f t="shared" si="1"/>
        <v>800</v>
      </c>
      <c r="M29" s="171">
        <f t="shared" si="2"/>
        <v>800</v>
      </c>
    </row>
    <row r="30" spans="1:13" ht="12.75">
      <c r="A30" s="62" t="s">
        <v>177</v>
      </c>
      <c r="B30" s="32">
        <v>148000</v>
      </c>
      <c r="C30" s="76">
        <v>148000</v>
      </c>
      <c r="D30" s="76">
        <v>10532</v>
      </c>
      <c r="E30" s="76"/>
      <c r="F30" s="76"/>
      <c r="G30" s="76"/>
      <c r="H30" s="76"/>
      <c r="I30" s="76"/>
      <c r="J30" s="76"/>
      <c r="K30" s="76">
        <f t="shared" si="0"/>
        <v>148000</v>
      </c>
      <c r="L30" s="76">
        <f t="shared" si="1"/>
        <v>148000</v>
      </c>
      <c r="M30" s="171">
        <f t="shared" si="2"/>
        <v>10532</v>
      </c>
    </row>
    <row r="31" spans="1:13" ht="12.75">
      <c r="A31" s="62" t="s">
        <v>178</v>
      </c>
      <c r="B31" s="32">
        <v>45800</v>
      </c>
      <c r="C31" s="76">
        <v>45800</v>
      </c>
      <c r="D31" s="76">
        <v>7330</v>
      </c>
      <c r="E31" s="76"/>
      <c r="F31" s="76"/>
      <c r="G31" s="76"/>
      <c r="H31" s="76"/>
      <c r="I31" s="76"/>
      <c r="J31" s="76"/>
      <c r="K31" s="76">
        <f t="shared" si="0"/>
        <v>45800</v>
      </c>
      <c r="L31" s="76">
        <f t="shared" si="1"/>
        <v>45800</v>
      </c>
      <c r="M31" s="171">
        <f t="shared" si="2"/>
        <v>7330</v>
      </c>
    </row>
    <row r="32" spans="1:13" ht="12.75">
      <c r="A32" s="62" t="s">
        <v>179</v>
      </c>
      <c r="B32" s="32">
        <v>72000</v>
      </c>
      <c r="C32" s="76">
        <v>72000</v>
      </c>
      <c r="D32" s="76">
        <v>13500</v>
      </c>
      <c r="E32" s="76"/>
      <c r="F32" s="76"/>
      <c r="G32" s="76"/>
      <c r="H32" s="76"/>
      <c r="I32" s="76"/>
      <c r="J32" s="76"/>
      <c r="K32" s="76">
        <f t="shared" si="0"/>
        <v>72000</v>
      </c>
      <c r="L32" s="76">
        <f t="shared" si="1"/>
        <v>72000</v>
      </c>
      <c r="M32" s="171">
        <f t="shared" si="2"/>
        <v>13500</v>
      </c>
    </row>
    <row r="33" spans="1:13" ht="12.75">
      <c r="A33" s="62" t="s">
        <v>180</v>
      </c>
      <c r="B33" s="32">
        <v>455000</v>
      </c>
      <c r="C33" s="76">
        <v>455000</v>
      </c>
      <c r="D33" s="76"/>
      <c r="E33" s="76"/>
      <c r="F33" s="76"/>
      <c r="G33" s="76"/>
      <c r="H33" s="76"/>
      <c r="I33" s="76"/>
      <c r="J33" s="76"/>
      <c r="K33" s="76">
        <f t="shared" si="0"/>
        <v>455000</v>
      </c>
      <c r="L33" s="76">
        <f t="shared" si="1"/>
        <v>455000</v>
      </c>
      <c r="M33" s="171">
        <f t="shared" si="2"/>
        <v>0</v>
      </c>
    </row>
    <row r="34" spans="1:13" ht="12.75">
      <c r="A34" s="62" t="s">
        <v>181</v>
      </c>
      <c r="B34" s="32">
        <v>13854</v>
      </c>
      <c r="C34" s="76">
        <v>13854</v>
      </c>
      <c r="D34" s="76">
        <v>9354</v>
      </c>
      <c r="E34" s="76"/>
      <c r="F34" s="76"/>
      <c r="G34" s="76"/>
      <c r="H34" s="76"/>
      <c r="I34" s="76"/>
      <c r="J34" s="76"/>
      <c r="K34" s="76">
        <f t="shared" si="0"/>
        <v>13854</v>
      </c>
      <c r="L34" s="76">
        <f t="shared" si="1"/>
        <v>13854</v>
      </c>
      <c r="M34" s="171">
        <f t="shared" si="2"/>
        <v>9354</v>
      </c>
    </row>
    <row r="35" spans="1:13" ht="12.75">
      <c r="A35" s="62" t="s">
        <v>182</v>
      </c>
      <c r="B35" s="32">
        <v>6700</v>
      </c>
      <c r="C35" s="76">
        <v>6700</v>
      </c>
      <c r="D35" s="76">
        <v>7044</v>
      </c>
      <c r="E35" s="76"/>
      <c r="F35" s="76"/>
      <c r="G35" s="76">
        <v>3766</v>
      </c>
      <c r="H35" s="76"/>
      <c r="I35" s="76"/>
      <c r="J35" s="76"/>
      <c r="K35" s="76">
        <f t="shared" si="0"/>
        <v>6700</v>
      </c>
      <c r="L35" s="76">
        <f t="shared" si="1"/>
        <v>6700</v>
      </c>
      <c r="M35" s="171">
        <f t="shared" si="2"/>
        <v>10810</v>
      </c>
    </row>
    <row r="36" spans="1:13" ht="12.75">
      <c r="A36" s="176" t="s">
        <v>183</v>
      </c>
      <c r="B36" s="37">
        <f>SUM(B29:B35)</f>
        <v>741354</v>
      </c>
      <c r="C36" s="37">
        <f aca="true" t="shared" si="6" ref="C36:M36">SUM(C29:C35)</f>
        <v>741354</v>
      </c>
      <c r="D36" s="37">
        <f t="shared" si="6"/>
        <v>47760</v>
      </c>
      <c r="E36" s="37">
        <f t="shared" si="6"/>
        <v>0</v>
      </c>
      <c r="F36" s="37">
        <f t="shared" si="6"/>
        <v>0</v>
      </c>
      <c r="G36" s="37">
        <f t="shared" si="6"/>
        <v>3766</v>
      </c>
      <c r="H36" s="37">
        <f t="shared" si="6"/>
        <v>0</v>
      </c>
      <c r="I36" s="37">
        <f t="shared" si="6"/>
        <v>800</v>
      </c>
      <c r="J36" s="37">
        <f t="shared" si="6"/>
        <v>800</v>
      </c>
      <c r="K36" s="37">
        <f t="shared" si="6"/>
        <v>741354</v>
      </c>
      <c r="L36" s="37">
        <f t="shared" si="6"/>
        <v>742154</v>
      </c>
      <c r="M36" s="177">
        <f t="shared" si="6"/>
        <v>52326</v>
      </c>
    </row>
    <row r="37" spans="1:13" ht="12.75">
      <c r="A37" s="62" t="s">
        <v>184</v>
      </c>
      <c r="B37" s="32">
        <v>862671</v>
      </c>
      <c r="C37" s="76">
        <v>851084</v>
      </c>
      <c r="D37" s="76">
        <v>851084</v>
      </c>
      <c r="E37" s="76"/>
      <c r="F37" s="76"/>
      <c r="G37" s="76"/>
      <c r="H37" s="76"/>
      <c r="I37" s="76"/>
      <c r="J37" s="76"/>
      <c r="K37" s="76">
        <f t="shared" si="0"/>
        <v>862671</v>
      </c>
      <c r="L37" s="76">
        <f aca="true" t="shared" si="7" ref="L37:L51">SUM(C37+F37+I37)</f>
        <v>851084</v>
      </c>
      <c r="M37" s="171">
        <f t="shared" si="2"/>
        <v>851084</v>
      </c>
    </row>
    <row r="38" spans="1:13" ht="12.75">
      <c r="A38" s="62" t="s">
        <v>185</v>
      </c>
      <c r="B38" s="32">
        <v>190225</v>
      </c>
      <c r="C38" s="76">
        <v>166392</v>
      </c>
      <c r="D38" s="76">
        <v>166392</v>
      </c>
      <c r="E38" s="76"/>
      <c r="F38" s="76"/>
      <c r="G38" s="76"/>
      <c r="H38" s="76"/>
      <c r="I38" s="76"/>
      <c r="J38" s="76"/>
      <c r="K38" s="76">
        <f t="shared" si="0"/>
        <v>190225</v>
      </c>
      <c r="L38" s="76">
        <f t="shared" si="7"/>
        <v>166392</v>
      </c>
      <c r="M38" s="171">
        <f t="shared" si="2"/>
        <v>166392</v>
      </c>
    </row>
    <row r="39" spans="1:13" ht="12.75">
      <c r="A39" s="62" t="s">
        <v>186</v>
      </c>
      <c r="B39" s="32"/>
      <c r="C39" s="76">
        <v>88943</v>
      </c>
      <c r="D39" s="76">
        <v>88943</v>
      </c>
      <c r="E39" s="76"/>
      <c r="F39" s="76"/>
      <c r="G39" s="76"/>
      <c r="H39" s="76"/>
      <c r="I39" s="76"/>
      <c r="J39" s="76"/>
      <c r="K39" s="76">
        <f t="shared" si="0"/>
        <v>0</v>
      </c>
      <c r="L39" s="76">
        <f t="shared" si="7"/>
        <v>88943</v>
      </c>
      <c r="M39" s="171">
        <f t="shared" si="2"/>
        <v>88943</v>
      </c>
    </row>
    <row r="40" spans="1:13" ht="12.75">
      <c r="A40" s="62" t="s">
        <v>187</v>
      </c>
      <c r="B40" s="32">
        <v>1698</v>
      </c>
      <c r="C40" s="76"/>
      <c r="D40" s="76"/>
      <c r="E40" s="76"/>
      <c r="F40" s="76"/>
      <c r="G40" s="76"/>
      <c r="H40" s="76"/>
      <c r="I40" s="76"/>
      <c r="J40" s="76"/>
      <c r="K40" s="76">
        <f t="shared" si="0"/>
        <v>1698</v>
      </c>
      <c r="L40" s="76">
        <f t="shared" si="7"/>
        <v>0</v>
      </c>
      <c r="M40" s="171">
        <f t="shared" si="2"/>
        <v>0</v>
      </c>
    </row>
    <row r="41" spans="1:13" ht="12.75">
      <c r="A41" s="62" t="s">
        <v>188</v>
      </c>
      <c r="B41" s="32">
        <v>15661</v>
      </c>
      <c r="C41" s="76">
        <v>12324</v>
      </c>
      <c r="D41" s="76">
        <v>12324</v>
      </c>
      <c r="E41" s="76"/>
      <c r="F41" s="76"/>
      <c r="G41" s="76"/>
      <c r="H41" s="76"/>
      <c r="I41" s="76"/>
      <c r="J41" s="76"/>
      <c r="K41" s="76">
        <f t="shared" si="0"/>
        <v>15661</v>
      </c>
      <c r="L41" s="76">
        <f t="shared" si="7"/>
        <v>12324</v>
      </c>
      <c r="M41" s="171">
        <f t="shared" si="2"/>
        <v>12324</v>
      </c>
    </row>
    <row r="42" spans="1:13" ht="12.75">
      <c r="A42" s="52" t="s">
        <v>189</v>
      </c>
      <c r="B42" s="37">
        <f>SUM(B37:B41)</f>
        <v>1070255</v>
      </c>
      <c r="C42" s="37">
        <f>SUM(C37:C41)</f>
        <v>1118743</v>
      </c>
      <c r="D42" s="37">
        <f>SUM(D37:D41)</f>
        <v>1118743</v>
      </c>
      <c r="E42" s="37">
        <f aca="true" t="shared" si="8" ref="E42:J42">SUM(E37:E40)</f>
        <v>0</v>
      </c>
      <c r="F42" s="37">
        <f>SUM(F37:F40)</f>
        <v>0</v>
      </c>
      <c r="G42" s="37">
        <f>SUM(G37:G40)</f>
        <v>0</v>
      </c>
      <c r="H42" s="37">
        <f t="shared" si="8"/>
        <v>0</v>
      </c>
      <c r="I42" s="37">
        <f>SUM(I37:I40)</f>
        <v>0</v>
      </c>
      <c r="J42" s="37">
        <f t="shared" si="8"/>
        <v>0</v>
      </c>
      <c r="K42" s="174">
        <f t="shared" si="0"/>
        <v>1070255</v>
      </c>
      <c r="L42" s="174">
        <f t="shared" si="7"/>
        <v>1118743</v>
      </c>
      <c r="M42" s="175">
        <f t="shared" si="2"/>
        <v>1118743</v>
      </c>
    </row>
    <row r="43" spans="1:13" ht="12.75">
      <c r="A43" s="62" t="s">
        <v>190</v>
      </c>
      <c r="B43" s="32">
        <v>139868</v>
      </c>
      <c r="C43" s="76">
        <v>172431</v>
      </c>
      <c r="D43" s="76">
        <v>145974</v>
      </c>
      <c r="E43" s="76"/>
      <c r="F43" s="76">
        <v>23547</v>
      </c>
      <c r="G43" s="76">
        <v>22665</v>
      </c>
      <c r="H43" s="76">
        <v>4800</v>
      </c>
      <c r="I43" s="76">
        <v>7500</v>
      </c>
      <c r="J43" s="76">
        <v>7500</v>
      </c>
      <c r="K43" s="76">
        <f t="shared" si="0"/>
        <v>144668</v>
      </c>
      <c r="L43" s="76">
        <f t="shared" si="7"/>
        <v>203478</v>
      </c>
      <c r="M43" s="171">
        <f t="shared" si="2"/>
        <v>176139</v>
      </c>
    </row>
    <row r="44" spans="1:13" ht="12.75">
      <c r="A44" s="62" t="s">
        <v>191</v>
      </c>
      <c r="B44" s="32"/>
      <c r="C44" s="76"/>
      <c r="D44" s="76"/>
      <c r="E44" s="76"/>
      <c r="F44" s="76"/>
      <c r="G44" s="76"/>
      <c r="H44" s="76">
        <v>745910</v>
      </c>
      <c r="I44" s="76">
        <v>805158</v>
      </c>
      <c r="J44" s="76">
        <v>805158</v>
      </c>
      <c r="K44" s="76">
        <f t="shared" si="0"/>
        <v>745910</v>
      </c>
      <c r="L44" s="76">
        <f t="shared" si="7"/>
        <v>805158</v>
      </c>
      <c r="M44" s="171">
        <f t="shared" si="2"/>
        <v>805158</v>
      </c>
    </row>
    <row r="45" spans="1:13" ht="12.75">
      <c r="A45" s="62" t="s">
        <v>192</v>
      </c>
      <c r="B45" s="32">
        <v>2492844</v>
      </c>
      <c r="C45" s="76">
        <v>1827085</v>
      </c>
      <c r="D45" s="76">
        <v>266776</v>
      </c>
      <c r="E45" s="76"/>
      <c r="F45" s="76">
        <v>3179</v>
      </c>
      <c r="G45" s="76">
        <v>3179</v>
      </c>
      <c r="H45" s="76"/>
      <c r="I45" s="76"/>
      <c r="J45" s="76"/>
      <c r="K45" s="76">
        <f t="shared" si="0"/>
        <v>2492844</v>
      </c>
      <c r="L45" s="76">
        <f t="shared" si="7"/>
        <v>1830264</v>
      </c>
      <c r="M45" s="171">
        <f t="shared" si="2"/>
        <v>269955</v>
      </c>
    </row>
    <row r="46" spans="1:13" ht="12.75">
      <c r="A46" s="176" t="s">
        <v>193</v>
      </c>
      <c r="B46" s="37">
        <f aca="true" t="shared" si="9" ref="B46:J46">SUM(B43:B45)</f>
        <v>2632712</v>
      </c>
      <c r="C46" s="37">
        <f t="shared" si="9"/>
        <v>1999516</v>
      </c>
      <c r="D46" s="37">
        <f t="shared" si="9"/>
        <v>412750</v>
      </c>
      <c r="E46" s="37">
        <f t="shared" si="9"/>
        <v>0</v>
      </c>
      <c r="F46" s="37">
        <f t="shared" si="9"/>
        <v>26726</v>
      </c>
      <c r="G46" s="37">
        <f t="shared" si="9"/>
        <v>25844</v>
      </c>
      <c r="H46" s="37">
        <f t="shared" si="9"/>
        <v>750710</v>
      </c>
      <c r="I46" s="37">
        <f t="shared" si="9"/>
        <v>812658</v>
      </c>
      <c r="J46" s="37">
        <f t="shared" si="9"/>
        <v>812658</v>
      </c>
      <c r="K46" s="174">
        <f t="shared" si="0"/>
        <v>3383422</v>
      </c>
      <c r="L46" s="174">
        <f t="shared" si="7"/>
        <v>2838900</v>
      </c>
      <c r="M46" s="175">
        <f t="shared" si="2"/>
        <v>1251252</v>
      </c>
    </row>
    <row r="47" spans="1:13" ht="12.75">
      <c r="A47" s="176" t="s">
        <v>194</v>
      </c>
      <c r="B47" s="37">
        <v>14000</v>
      </c>
      <c r="C47" s="174">
        <v>20587</v>
      </c>
      <c r="D47" s="174">
        <v>15469</v>
      </c>
      <c r="E47" s="174"/>
      <c r="F47" s="174">
        <v>4433</v>
      </c>
      <c r="G47" s="174">
        <v>4433</v>
      </c>
      <c r="H47" s="174"/>
      <c r="I47" s="174"/>
      <c r="J47" s="174"/>
      <c r="K47" s="174">
        <f t="shared" si="0"/>
        <v>14000</v>
      </c>
      <c r="L47" s="174">
        <f t="shared" si="7"/>
        <v>25020</v>
      </c>
      <c r="M47" s="175">
        <f t="shared" si="2"/>
        <v>19902</v>
      </c>
    </row>
    <row r="48" spans="1:13" ht="12.75">
      <c r="A48" s="176" t="s">
        <v>195</v>
      </c>
      <c r="B48" s="37">
        <v>1850000</v>
      </c>
      <c r="C48" s="174">
        <v>2433375</v>
      </c>
      <c r="D48" s="174">
        <v>2446276</v>
      </c>
      <c r="E48" s="174"/>
      <c r="F48" s="174">
        <v>12069</v>
      </c>
      <c r="G48" s="174">
        <v>12069</v>
      </c>
      <c r="H48" s="174"/>
      <c r="I48" s="174">
        <v>763</v>
      </c>
      <c r="J48" s="174">
        <v>763</v>
      </c>
      <c r="K48" s="174">
        <f t="shared" si="0"/>
        <v>1850000</v>
      </c>
      <c r="L48" s="174">
        <f t="shared" si="7"/>
        <v>2446207</v>
      </c>
      <c r="M48" s="175">
        <f t="shared" si="2"/>
        <v>2459108</v>
      </c>
    </row>
    <row r="49" spans="1:13" ht="12.75">
      <c r="A49" s="178" t="s">
        <v>78</v>
      </c>
      <c r="B49" s="179"/>
      <c r="C49" s="180"/>
      <c r="D49" s="180">
        <v>3589</v>
      </c>
      <c r="E49" s="180"/>
      <c r="F49" s="180"/>
      <c r="G49" s="180"/>
      <c r="H49" s="180"/>
      <c r="I49" s="180"/>
      <c r="J49" s="180"/>
      <c r="K49" s="174">
        <f t="shared" si="0"/>
        <v>0</v>
      </c>
      <c r="L49" s="174">
        <f t="shared" si="7"/>
        <v>0</v>
      </c>
      <c r="M49" s="175">
        <f t="shared" si="2"/>
        <v>3589</v>
      </c>
    </row>
    <row r="50" spans="1:13" ht="12.75">
      <c r="A50" s="178" t="s">
        <v>196</v>
      </c>
      <c r="B50" s="179"/>
      <c r="C50" s="180"/>
      <c r="D50" s="180"/>
      <c r="E50" s="180"/>
      <c r="F50" s="180"/>
      <c r="G50" s="180">
        <v>7383</v>
      </c>
      <c r="H50" s="180"/>
      <c r="I50" s="180"/>
      <c r="J50" s="180"/>
      <c r="K50" s="174">
        <f t="shared" si="0"/>
        <v>0</v>
      </c>
      <c r="L50" s="174">
        <f t="shared" si="7"/>
        <v>0</v>
      </c>
      <c r="M50" s="175">
        <f t="shared" si="2"/>
        <v>7383</v>
      </c>
    </row>
    <row r="51" spans="1:13" ht="12.75">
      <c r="A51" s="178" t="s">
        <v>84</v>
      </c>
      <c r="B51" s="179"/>
      <c r="C51" s="180"/>
      <c r="D51" s="180">
        <v>-22974</v>
      </c>
      <c r="E51" s="180"/>
      <c r="F51" s="180"/>
      <c r="G51" s="180">
        <v>-20</v>
      </c>
      <c r="H51" s="180"/>
      <c r="I51" s="180"/>
      <c r="J51" s="180">
        <v>2524</v>
      </c>
      <c r="K51" s="174">
        <f t="shared" si="0"/>
        <v>0</v>
      </c>
      <c r="L51" s="174">
        <f t="shared" si="7"/>
        <v>0</v>
      </c>
      <c r="M51" s="175">
        <f t="shared" si="2"/>
        <v>-20470</v>
      </c>
    </row>
    <row r="52" spans="1:13" ht="13.5">
      <c r="A52" s="181" t="s">
        <v>197</v>
      </c>
      <c r="B52" s="99">
        <f>SUM(B28+B36+B42+B46+B47+B48+B49+B50+B51)</f>
        <v>8413462</v>
      </c>
      <c r="C52" s="99">
        <f aca="true" t="shared" si="10" ref="C52:J52">SUM(C28+C36+C42+C46+C47+C48+C49+C50+C51)</f>
        <v>8615474</v>
      </c>
      <c r="D52" s="99">
        <f t="shared" si="10"/>
        <v>6439595</v>
      </c>
      <c r="E52" s="99">
        <f t="shared" si="10"/>
        <v>133450</v>
      </c>
      <c r="F52" s="99">
        <f t="shared" si="10"/>
        <v>197949</v>
      </c>
      <c r="G52" s="99">
        <f t="shared" si="10"/>
        <v>205491</v>
      </c>
      <c r="H52" s="99">
        <f t="shared" si="10"/>
        <v>757660</v>
      </c>
      <c r="I52" s="99">
        <f t="shared" si="10"/>
        <v>829220</v>
      </c>
      <c r="J52" s="99">
        <f t="shared" si="10"/>
        <v>831744</v>
      </c>
      <c r="K52" s="99">
        <f>SUM(K28+K36+K42+K46+K47+K48+K49+K50+K51)</f>
        <v>9304572</v>
      </c>
      <c r="L52" s="99">
        <f>SUM(L28+L36+L42+L46+L47+L48+L49+L50+L51)</f>
        <v>9642643</v>
      </c>
      <c r="M52" s="182">
        <f>SUM(M28+M36+M42+M46+M47+M48+M49+M50+M51)</f>
        <v>7476830</v>
      </c>
    </row>
    <row r="53" spans="1:11" ht="13.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</row>
  </sheetData>
  <sheetProtection selectLockedCells="1" selectUnlockedCells="1"/>
  <mergeCells count="5">
    <mergeCell ref="A2:M2"/>
    <mergeCell ref="B4:D4"/>
    <mergeCell ref="E4:G4"/>
    <mergeCell ref="H4:J4"/>
    <mergeCell ref="K4:M4"/>
  </mergeCells>
  <printOptions horizontalCentered="1"/>
  <pageMargins left="0.2" right="0.19027777777777777" top="0.4701388888888889" bottom="0.2361111111111111" header="0.15763888888888888" footer="0.5118055555555555"/>
  <pageSetup horizontalDpi="300" verticalDpi="300" orientation="landscape" paperSize="9" scale="75"/>
  <headerFooter alignWithMargins="0">
    <oddHeader>&amp;L&amp;8 2. melléklet a 16/2011.(V.02.)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61"/>
  <sheetViews>
    <sheetView zoomScaleSheetLayoutView="100" workbookViewId="0" topLeftCell="C1">
      <selection activeCell="O33" sqref="O33"/>
    </sheetView>
  </sheetViews>
  <sheetFormatPr defaultColWidth="9.00390625" defaultRowHeight="25.5" customHeight="1"/>
  <cols>
    <col min="1" max="2" width="0" style="1" hidden="1" customWidth="1"/>
    <col min="3" max="3" width="41.125" style="1" customWidth="1"/>
    <col min="4" max="4" width="10.75390625" style="1" customWidth="1"/>
    <col min="5" max="6" width="11.75390625" style="1" customWidth="1"/>
    <col min="7" max="7" width="10.75390625" style="1" customWidth="1"/>
    <col min="8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5" width="11.75390625" style="1" customWidth="1"/>
    <col min="16" max="16384" width="9.125" style="1" customWidth="1"/>
  </cols>
  <sheetData>
    <row r="1" spans="3:6" s="51" customFormat="1" ht="13.5" customHeight="1">
      <c r="C1" s="183"/>
      <c r="D1" s="184"/>
      <c r="E1" s="184"/>
      <c r="F1" s="184"/>
    </row>
    <row r="2" s="51" customFormat="1" ht="12.75" customHeight="1"/>
    <row r="3" spans="3:15" s="51" customFormat="1" ht="18" customHeight="1">
      <c r="C3" s="185" t="s">
        <v>198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3:15" s="51" customFormat="1" ht="18" customHeight="1">
      <c r="C4" s="185" t="s">
        <v>199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3:13" s="51" customFormat="1" ht="18" customHeight="1"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3:12" s="51" customFormat="1" ht="18" customHeight="1"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1:25" ht="56.25" customHeight="1">
      <c r="A7" s="188"/>
      <c r="B7" s="189"/>
      <c r="C7" s="190" t="s">
        <v>200</v>
      </c>
      <c r="D7" s="161" t="s">
        <v>148</v>
      </c>
      <c r="E7" s="161"/>
      <c r="F7" s="161"/>
      <c r="G7" s="161" t="s">
        <v>149</v>
      </c>
      <c r="H7" s="161"/>
      <c r="I7" s="161"/>
      <c r="J7" s="161" t="s">
        <v>150</v>
      </c>
      <c r="K7" s="161"/>
      <c r="L7" s="161"/>
      <c r="M7" s="162" t="s">
        <v>151</v>
      </c>
      <c r="N7" s="162"/>
      <c r="O7" s="162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s="198" customFormat="1" ht="15" customHeight="1">
      <c r="A8" s="191"/>
      <c r="B8" s="192"/>
      <c r="C8" s="193"/>
      <c r="D8" s="194" t="s">
        <v>3</v>
      </c>
      <c r="E8" s="195" t="s">
        <v>4</v>
      </c>
      <c r="F8" s="195" t="s">
        <v>201</v>
      </c>
      <c r="G8" s="194" t="s">
        <v>3</v>
      </c>
      <c r="H8" s="195" t="s">
        <v>4</v>
      </c>
      <c r="I8" s="195" t="s">
        <v>5</v>
      </c>
      <c r="J8" s="194" t="s">
        <v>3</v>
      </c>
      <c r="K8" s="195" t="s">
        <v>4</v>
      </c>
      <c r="L8" s="195" t="s">
        <v>5</v>
      </c>
      <c r="M8" s="195" t="s">
        <v>7</v>
      </c>
      <c r="N8" s="195" t="s">
        <v>4</v>
      </c>
      <c r="O8" s="196" t="s">
        <v>5</v>
      </c>
      <c r="P8" s="197"/>
      <c r="Q8" s="197"/>
      <c r="R8" s="197"/>
      <c r="S8" s="197"/>
      <c r="T8" s="197"/>
      <c r="U8" s="197"/>
      <c r="V8" s="197"/>
      <c r="W8" s="197"/>
      <c r="X8" s="197"/>
      <c r="Y8" s="197"/>
    </row>
    <row r="9" spans="1:25" s="2" customFormat="1" ht="15" customHeight="1">
      <c r="A9" s="199"/>
      <c r="B9" s="200"/>
      <c r="C9" s="201" t="s">
        <v>9</v>
      </c>
      <c r="D9" s="202">
        <v>499755</v>
      </c>
      <c r="E9" s="203">
        <v>560069</v>
      </c>
      <c r="F9" s="203">
        <v>542198</v>
      </c>
      <c r="G9" s="203">
        <v>880615</v>
      </c>
      <c r="H9" s="203">
        <v>942230</v>
      </c>
      <c r="I9" s="203">
        <v>933206</v>
      </c>
      <c r="J9" s="203">
        <v>401233</v>
      </c>
      <c r="K9" s="203">
        <v>384353</v>
      </c>
      <c r="L9" s="203">
        <v>384353</v>
      </c>
      <c r="M9" s="174">
        <f aca="true" t="shared" si="0" ref="M9:M32">SUM(D9+G9+J9)</f>
        <v>1781603</v>
      </c>
      <c r="N9" s="174">
        <f>SUM(E9+H9+K9)</f>
        <v>1886652</v>
      </c>
      <c r="O9" s="177">
        <f>SUM(F9+I9+L9)</f>
        <v>1859757</v>
      </c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s="2" customFormat="1" ht="15" customHeight="1">
      <c r="A10" s="199"/>
      <c r="B10" s="200"/>
      <c r="C10" s="204" t="s">
        <v>202</v>
      </c>
      <c r="D10" s="205">
        <v>137334</v>
      </c>
      <c r="E10" s="206">
        <v>141027</v>
      </c>
      <c r="F10" s="206">
        <v>134895</v>
      </c>
      <c r="G10" s="206">
        <v>227281</v>
      </c>
      <c r="H10" s="206">
        <v>247887</v>
      </c>
      <c r="I10" s="206">
        <v>245680</v>
      </c>
      <c r="J10" s="206">
        <v>110196</v>
      </c>
      <c r="K10" s="206">
        <v>102796</v>
      </c>
      <c r="L10" s="206">
        <v>102796</v>
      </c>
      <c r="M10" s="174">
        <f t="shared" si="0"/>
        <v>474811</v>
      </c>
      <c r="N10" s="174">
        <f aca="true" t="shared" si="1" ref="N10:N32">SUM(E10+H10+K10)</f>
        <v>491710</v>
      </c>
      <c r="O10" s="177">
        <f aca="true" t="shared" si="2" ref="O10:O32">SUM(F10+I10+L10)</f>
        <v>483371</v>
      </c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ht="15" customHeight="1">
      <c r="A11" s="188"/>
      <c r="B11" s="189"/>
      <c r="C11" s="71" t="s">
        <v>203</v>
      </c>
      <c r="D11" s="207">
        <v>687239</v>
      </c>
      <c r="E11" s="208">
        <v>955217</v>
      </c>
      <c r="F11" s="208">
        <v>861506</v>
      </c>
      <c r="G11" s="208">
        <v>390034</v>
      </c>
      <c r="H11" s="208">
        <v>448674</v>
      </c>
      <c r="I11" s="208">
        <v>432895</v>
      </c>
      <c r="J11" s="208">
        <v>244756</v>
      </c>
      <c r="K11" s="208">
        <v>335719</v>
      </c>
      <c r="L11" s="208">
        <v>288249</v>
      </c>
      <c r="M11" s="76">
        <f t="shared" si="0"/>
        <v>1322029</v>
      </c>
      <c r="N11" s="76">
        <f t="shared" si="1"/>
        <v>1739610</v>
      </c>
      <c r="O11" s="209">
        <f t="shared" si="2"/>
        <v>1582650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15" customHeight="1">
      <c r="A12" s="188"/>
      <c r="B12" s="189"/>
      <c r="C12" s="71" t="s">
        <v>44</v>
      </c>
      <c r="D12" s="207">
        <v>131528</v>
      </c>
      <c r="E12" s="208">
        <v>47423</v>
      </c>
      <c r="F12" s="208">
        <v>45505</v>
      </c>
      <c r="G12" s="208"/>
      <c r="H12" s="208"/>
      <c r="I12" s="208"/>
      <c r="J12" s="208"/>
      <c r="K12" s="208"/>
      <c r="L12" s="208"/>
      <c r="M12" s="76">
        <f t="shared" si="0"/>
        <v>131528</v>
      </c>
      <c r="N12" s="76">
        <f t="shared" si="1"/>
        <v>47423</v>
      </c>
      <c r="O12" s="209">
        <f t="shared" si="2"/>
        <v>45505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s="2" customFormat="1" ht="15" customHeight="1">
      <c r="A13" s="199"/>
      <c r="B13" s="200"/>
      <c r="C13" s="75" t="s">
        <v>204</v>
      </c>
      <c r="D13" s="210">
        <f>SUM(D11:D12)</f>
        <v>818767</v>
      </c>
      <c r="E13" s="210">
        <f>SUM(E11:E12)</f>
        <v>1002640</v>
      </c>
      <c r="F13" s="210">
        <f>SUM(F11:F12)</f>
        <v>907011</v>
      </c>
      <c r="G13" s="205">
        <f aca="true" t="shared" si="3" ref="G13:L13">SUM(G11+G12)</f>
        <v>390034</v>
      </c>
      <c r="H13" s="205">
        <f t="shared" si="3"/>
        <v>448674</v>
      </c>
      <c r="I13" s="205">
        <f t="shared" si="3"/>
        <v>432895</v>
      </c>
      <c r="J13" s="205">
        <f t="shared" si="3"/>
        <v>244756</v>
      </c>
      <c r="K13" s="205">
        <f t="shared" si="3"/>
        <v>335719</v>
      </c>
      <c r="L13" s="205">
        <f t="shared" si="3"/>
        <v>288249</v>
      </c>
      <c r="M13" s="174">
        <f t="shared" si="0"/>
        <v>1453557</v>
      </c>
      <c r="N13" s="174">
        <f t="shared" si="1"/>
        <v>1787033</v>
      </c>
      <c r="O13" s="177">
        <f t="shared" si="2"/>
        <v>1628155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1:25" s="2" customFormat="1" ht="15" customHeight="1">
      <c r="A14" s="199"/>
      <c r="B14" s="200"/>
      <c r="C14" s="211" t="s">
        <v>205</v>
      </c>
      <c r="D14" s="210">
        <f>SUM(D15:D16)</f>
        <v>623858</v>
      </c>
      <c r="E14" s="210">
        <f>SUM(E15:E16)</f>
        <v>738608</v>
      </c>
      <c r="F14" s="210">
        <f>SUM(F15:F16)</f>
        <v>609768</v>
      </c>
      <c r="G14" s="210">
        <f>SUM(G15:G16)</f>
        <v>0</v>
      </c>
      <c r="H14" s="210"/>
      <c r="I14" s="210"/>
      <c r="J14" s="210">
        <f>SUM(J15:J16)</f>
        <v>1475</v>
      </c>
      <c r="K14" s="210">
        <f>SUM(K15:K16)</f>
        <v>488</v>
      </c>
      <c r="L14" s="210">
        <f>SUM(L15:L16)</f>
        <v>488</v>
      </c>
      <c r="M14" s="174">
        <f t="shared" si="0"/>
        <v>625333</v>
      </c>
      <c r="N14" s="174">
        <f t="shared" si="1"/>
        <v>739096</v>
      </c>
      <c r="O14" s="177">
        <f t="shared" si="2"/>
        <v>610256</v>
      </c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1:25" ht="15" customHeight="1">
      <c r="A15" s="188"/>
      <c r="B15" s="189"/>
      <c r="C15" s="212" t="s">
        <v>23</v>
      </c>
      <c r="D15" s="207">
        <v>250981</v>
      </c>
      <c r="E15" s="208">
        <v>324168</v>
      </c>
      <c r="F15" s="208">
        <v>321157</v>
      </c>
      <c r="G15" s="208"/>
      <c r="H15" s="208"/>
      <c r="I15" s="208"/>
      <c r="J15" s="208">
        <v>1475</v>
      </c>
      <c r="K15" s="208">
        <v>488</v>
      </c>
      <c r="L15" s="208">
        <v>488</v>
      </c>
      <c r="M15" s="76">
        <f t="shared" si="0"/>
        <v>252456</v>
      </c>
      <c r="N15" s="76">
        <f t="shared" si="1"/>
        <v>324656</v>
      </c>
      <c r="O15" s="209">
        <f t="shared" si="2"/>
        <v>321645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ht="15" customHeight="1">
      <c r="A16" s="188"/>
      <c r="B16" s="189"/>
      <c r="C16" s="213" t="s">
        <v>26</v>
      </c>
      <c r="D16" s="207">
        <v>372877</v>
      </c>
      <c r="E16" s="208">
        <v>414440</v>
      </c>
      <c r="F16" s="208">
        <v>288611</v>
      </c>
      <c r="G16" s="208"/>
      <c r="H16" s="208"/>
      <c r="I16" s="208"/>
      <c r="J16" s="208"/>
      <c r="K16" s="208"/>
      <c r="L16" s="208"/>
      <c r="M16" s="76">
        <f t="shared" si="0"/>
        <v>372877</v>
      </c>
      <c r="N16" s="76">
        <f t="shared" si="1"/>
        <v>414440</v>
      </c>
      <c r="O16" s="209">
        <f t="shared" si="2"/>
        <v>288611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s="2" customFormat="1" ht="15" customHeight="1">
      <c r="A17" s="199"/>
      <c r="B17" s="200"/>
      <c r="C17" s="204" t="s">
        <v>206</v>
      </c>
      <c r="D17" s="205">
        <v>223696</v>
      </c>
      <c r="E17" s="206">
        <v>198885</v>
      </c>
      <c r="F17" s="206">
        <v>178885</v>
      </c>
      <c r="G17" s="206"/>
      <c r="H17" s="206"/>
      <c r="I17" s="206">
        <v>125</v>
      </c>
      <c r="J17" s="206"/>
      <c r="K17" s="206"/>
      <c r="L17" s="206"/>
      <c r="M17" s="174">
        <f t="shared" si="0"/>
        <v>223696</v>
      </c>
      <c r="N17" s="174">
        <f t="shared" si="1"/>
        <v>198885</v>
      </c>
      <c r="O17" s="177">
        <f t="shared" si="2"/>
        <v>179010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1:25" s="2" customFormat="1" ht="15" customHeight="1">
      <c r="A18" s="199"/>
      <c r="B18" s="200"/>
      <c r="C18" s="204" t="s">
        <v>207</v>
      </c>
      <c r="D18" s="205"/>
      <c r="E18" s="206"/>
      <c r="F18" s="206"/>
      <c r="G18" s="206">
        <v>9378</v>
      </c>
      <c r="H18" s="206">
        <v>9305</v>
      </c>
      <c r="I18" s="206">
        <v>9180</v>
      </c>
      <c r="J18" s="206"/>
      <c r="K18" s="206"/>
      <c r="L18" s="206"/>
      <c r="M18" s="174">
        <f t="shared" si="0"/>
        <v>9378</v>
      </c>
      <c r="N18" s="174">
        <f t="shared" si="1"/>
        <v>9305</v>
      </c>
      <c r="O18" s="177">
        <f t="shared" si="2"/>
        <v>9180</v>
      </c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25" s="2" customFormat="1" ht="15" customHeight="1">
      <c r="A19" s="199"/>
      <c r="B19" s="200"/>
      <c r="C19" s="204" t="s">
        <v>208</v>
      </c>
      <c r="D19" s="205">
        <v>195168</v>
      </c>
      <c r="E19" s="206">
        <v>182034</v>
      </c>
      <c r="F19" s="206">
        <v>145400</v>
      </c>
      <c r="G19" s="206">
        <v>17000</v>
      </c>
      <c r="H19" s="206">
        <v>29385</v>
      </c>
      <c r="I19" s="206">
        <v>28997</v>
      </c>
      <c r="J19" s="206">
        <v>0</v>
      </c>
      <c r="K19" s="206">
        <v>2325</v>
      </c>
      <c r="L19" s="206">
        <v>2325</v>
      </c>
      <c r="M19" s="174">
        <f t="shared" si="0"/>
        <v>212168</v>
      </c>
      <c r="N19" s="174">
        <f t="shared" si="1"/>
        <v>213744</v>
      </c>
      <c r="O19" s="177">
        <f t="shared" si="2"/>
        <v>176722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1:25" s="2" customFormat="1" ht="15" customHeight="1">
      <c r="A20" s="214"/>
      <c r="B20" s="215"/>
      <c r="C20" s="204" t="s">
        <v>209</v>
      </c>
      <c r="D20" s="205">
        <v>4311281</v>
      </c>
      <c r="E20" s="206">
        <v>4148073</v>
      </c>
      <c r="F20" s="206">
        <v>1562873</v>
      </c>
      <c r="G20" s="206">
        <v>2400</v>
      </c>
      <c r="H20" s="206">
        <v>19323</v>
      </c>
      <c r="I20" s="206">
        <v>11101</v>
      </c>
      <c r="J20" s="206">
        <v>0</v>
      </c>
      <c r="K20" s="206">
        <v>6288</v>
      </c>
      <c r="L20" s="206">
        <v>6288</v>
      </c>
      <c r="M20" s="174">
        <f t="shared" si="0"/>
        <v>4313681</v>
      </c>
      <c r="N20" s="174">
        <f t="shared" si="1"/>
        <v>4173684</v>
      </c>
      <c r="O20" s="177">
        <f t="shared" si="2"/>
        <v>1580262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25" s="2" customFormat="1" ht="15" customHeight="1">
      <c r="A21" s="216"/>
      <c r="B21" s="216"/>
      <c r="C21" s="204" t="s">
        <v>210</v>
      </c>
      <c r="D21" s="210">
        <f>SUM(D22:D23)</f>
        <v>8500</v>
      </c>
      <c r="E21" s="210">
        <f>SUM(E22:E23)</f>
        <v>8600</v>
      </c>
      <c r="F21" s="210">
        <f>SUM(F22:F23)</f>
        <v>5150</v>
      </c>
      <c r="G21" s="205"/>
      <c r="H21" s="205"/>
      <c r="I21" s="205"/>
      <c r="J21" s="205"/>
      <c r="K21" s="206"/>
      <c r="L21" s="206"/>
      <c r="M21" s="174">
        <f t="shared" si="0"/>
        <v>8500</v>
      </c>
      <c r="N21" s="174">
        <f t="shared" si="1"/>
        <v>8600</v>
      </c>
      <c r="O21" s="177">
        <f t="shared" si="2"/>
        <v>5150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s="2" customFormat="1" ht="15" customHeight="1">
      <c r="A22" s="216"/>
      <c r="B22" s="216"/>
      <c r="C22" s="71" t="s">
        <v>211</v>
      </c>
      <c r="D22" s="207">
        <v>7000</v>
      </c>
      <c r="E22" s="208">
        <v>7000</v>
      </c>
      <c r="F22" s="208">
        <v>3550</v>
      </c>
      <c r="G22" s="208"/>
      <c r="H22" s="208"/>
      <c r="I22" s="208"/>
      <c r="J22" s="208"/>
      <c r="K22" s="208"/>
      <c r="L22" s="208"/>
      <c r="M22" s="76">
        <f t="shared" si="0"/>
        <v>7000</v>
      </c>
      <c r="N22" s="76">
        <f t="shared" si="1"/>
        <v>7000</v>
      </c>
      <c r="O22" s="209">
        <f t="shared" si="2"/>
        <v>3550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25" s="2" customFormat="1" ht="15" customHeight="1">
      <c r="A23" s="216"/>
      <c r="B23" s="216"/>
      <c r="C23" s="71" t="s">
        <v>212</v>
      </c>
      <c r="D23" s="207">
        <v>1500</v>
      </c>
      <c r="E23" s="208">
        <v>1600</v>
      </c>
      <c r="F23" s="208">
        <v>1600</v>
      </c>
      <c r="G23" s="208"/>
      <c r="H23" s="208"/>
      <c r="I23" s="208"/>
      <c r="J23" s="208"/>
      <c r="K23" s="208"/>
      <c r="L23" s="208"/>
      <c r="M23" s="76">
        <f t="shared" si="0"/>
        <v>1500</v>
      </c>
      <c r="N23" s="76">
        <f t="shared" si="1"/>
        <v>1600</v>
      </c>
      <c r="O23" s="209">
        <f t="shared" si="2"/>
        <v>1600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</row>
    <row r="24" spans="1:25" s="2" customFormat="1" ht="15" customHeight="1">
      <c r="A24" s="216"/>
      <c r="B24" s="216"/>
      <c r="C24" s="204" t="s">
        <v>213</v>
      </c>
      <c r="D24" s="205"/>
      <c r="E24" s="206">
        <v>61186</v>
      </c>
      <c r="F24" s="206">
        <v>40933</v>
      </c>
      <c r="G24" s="208"/>
      <c r="H24" s="208"/>
      <c r="I24" s="208"/>
      <c r="J24" s="208"/>
      <c r="K24" s="208"/>
      <c r="L24" s="208"/>
      <c r="M24" s="174"/>
      <c r="N24" s="174">
        <f t="shared" si="1"/>
        <v>61186</v>
      </c>
      <c r="O24" s="177">
        <f t="shared" si="2"/>
        <v>40933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</row>
    <row r="25" spans="1:25" s="2" customFormat="1" ht="15" customHeight="1">
      <c r="A25" s="216"/>
      <c r="B25" s="216"/>
      <c r="C25" s="204" t="s">
        <v>214</v>
      </c>
      <c r="D25" s="205">
        <v>13573</v>
      </c>
      <c r="E25" s="206">
        <v>13573</v>
      </c>
      <c r="F25" s="206">
        <v>11776</v>
      </c>
      <c r="G25" s="206"/>
      <c r="H25" s="206"/>
      <c r="I25" s="206"/>
      <c r="J25" s="206"/>
      <c r="K25" s="206"/>
      <c r="L25" s="206"/>
      <c r="M25" s="174">
        <f t="shared" si="0"/>
        <v>13573</v>
      </c>
      <c r="N25" s="174">
        <f t="shared" si="1"/>
        <v>13573</v>
      </c>
      <c r="O25" s="177">
        <f t="shared" si="2"/>
        <v>11776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1:25" s="2" customFormat="1" ht="15" customHeight="1">
      <c r="A26" s="216"/>
      <c r="B26" s="216"/>
      <c r="C26" s="217" t="s">
        <v>215</v>
      </c>
      <c r="D26" s="210">
        <f>SUM(D27:D29)</f>
        <v>182393</v>
      </c>
      <c r="E26" s="210">
        <f>SUM(E27:E29)</f>
        <v>53296</v>
      </c>
      <c r="F26" s="210">
        <f>SUM(F27:F29)</f>
        <v>0</v>
      </c>
      <c r="G26" s="210"/>
      <c r="H26" s="210"/>
      <c r="I26" s="210"/>
      <c r="J26" s="210"/>
      <c r="K26" s="218"/>
      <c r="L26" s="218"/>
      <c r="M26" s="174">
        <f t="shared" si="0"/>
        <v>182393</v>
      </c>
      <c r="N26" s="174">
        <f t="shared" si="1"/>
        <v>53296</v>
      </c>
      <c r="O26" s="177">
        <f t="shared" si="2"/>
        <v>0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pans="1:25" s="2" customFormat="1" ht="15.75" customHeight="1">
      <c r="A27" s="216"/>
      <c r="B27" s="216"/>
      <c r="C27" s="71" t="s">
        <v>102</v>
      </c>
      <c r="D27" s="207">
        <v>15000</v>
      </c>
      <c r="E27" s="208">
        <v>313</v>
      </c>
      <c r="F27" s="208"/>
      <c r="G27" s="206"/>
      <c r="H27" s="206"/>
      <c r="I27" s="206"/>
      <c r="J27" s="206"/>
      <c r="K27" s="206"/>
      <c r="L27" s="206"/>
      <c r="M27" s="76">
        <f t="shared" si="0"/>
        <v>15000</v>
      </c>
      <c r="N27" s="76">
        <f t="shared" si="1"/>
        <v>313</v>
      </c>
      <c r="O27" s="209">
        <f t="shared" si="2"/>
        <v>0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1:25" s="2" customFormat="1" ht="15" customHeight="1">
      <c r="A28" s="216"/>
      <c r="B28" s="216"/>
      <c r="C28" s="71" t="s">
        <v>216</v>
      </c>
      <c r="D28" s="207">
        <v>136900</v>
      </c>
      <c r="E28" s="208">
        <v>22194</v>
      </c>
      <c r="F28" s="208"/>
      <c r="G28" s="206"/>
      <c r="H28" s="206"/>
      <c r="I28" s="206"/>
      <c r="J28" s="206"/>
      <c r="K28" s="206"/>
      <c r="L28" s="206"/>
      <c r="M28" s="76">
        <f t="shared" si="0"/>
        <v>136900</v>
      </c>
      <c r="N28" s="76">
        <f t="shared" si="1"/>
        <v>22194</v>
      </c>
      <c r="O28" s="209">
        <f t="shared" si="2"/>
        <v>0</v>
      </c>
      <c r="P28" s="58"/>
      <c r="Q28" s="58"/>
      <c r="R28" s="58"/>
      <c r="S28" s="58"/>
      <c r="T28" s="58"/>
      <c r="U28" s="58"/>
      <c r="V28" s="58"/>
      <c r="W28" s="58"/>
      <c r="X28" s="58"/>
      <c r="Y28" s="58"/>
    </row>
    <row r="29" spans="1:25" s="2" customFormat="1" ht="15" customHeight="1">
      <c r="A29" s="216"/>
      <c r="B29" s="216"/>
      <c r="C29" s="219" t="s">
        <v>217</v>
      </c>
      <c r="D29" s="220">
        <v>30493</v>
      </c>
      <c r="E29" s="221">
        <v>30789</v>
      </c>
      <c r="F29" s="221"/>
      <c r="G29" s="222"/>
      <c r="H29" s="222"/>
      <c r="I29" s="222"/>
      <c r="J29" s="222"/>
      <c r="K29" s="222"/>
      <c r="L29" s="222"/>
      <c r="M29" s="76">
        <f t="shared" si="0"/>
        <v>30493</v>
      </c>
      <c r="N29" s="76">
        <f t="shared" si="1"/>
        <v>30789</v>
      </c>
      <c r="O29" s="209">
        <f t="shared" si="2"/>
        <v>0</v>
      </c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1:25" s="2" customFormat="1" ht="15" customHeight="1">
      <c r="A30" s="216"/>
      <c r="B30" s="216"/>
      <c r="C30" s="211" t="s">
        <v>218</v>
      </c>
      <c r="D30" s="223">
        <v>5879</v>
      </c>
      <c r="E30" s="222">
        <v>5879</v>
      </c>
      <c r="F30" s="222">
        <v>3488</v>
      </c>
      <c r="G30" s="222"/>
      <c r="H30" s="222"/>
      <c r="I30" s="222"/>
      <c r="J30" s="222"/>
      <c r="K30" s="222"/>
      <c r="L30" s="222"/>
      <c r="M30" s="174">
        <f t="shared" si="0"/>
        <v>5879</v>
      </c>
      <c r="N30" s="174">
        <f t="shared" si="1"/>
        <v>5879</v>
      </c>
      <c r="O30" s="177">
        <f t="shared" si="2"/>
        <v>3488</v>
      </c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s="2" customFormat="1" ht="15" customHeight="1">
      <c r="A31" s="216"/>
      <c r="B31" s="216"/>
      <c r="C31" s="211" t="s">
        <v>68</v>
      </c>
      <c r="D31" s="223"/>
      <c r="E31" s="222"/>
      <c r="F31" s="222">
        <v>7383</v>
      </c>
      <c r="G31" s="222"/>
      <c r="H31" s="222"/>
      <c r="I31" s="222"/>
      <c r="J31" s="222"/>
      <c r="K31" s="222"/>
      <c r="L31" s="222"/>
      <c r="M31" s="174">
        <f t="shared" si="0"/>
        <v>0</v>
      </c>
      <c r="N31" s="174">
        <f t="shared" si="1"/>
        <v>0</v>
      </c>
      <c r="O31" s="177">
        <f t="shared" si="2"/>
        <v>7383</v>
      </c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1:25" s="2" customFormat="1" ht="15" customHeight="1">
      <c r="A32" s="216"/>
      <c r="B32" s="216"/>
      <c r="C32" s="75" t="s">
        <v>219</v>
      </c>
      <c r="D32" s="205"/>
      <c r="E32" s="205"/>
      <c r="F32" s="205">
        <v>-16545</v>
      </c>
      <c r="G32" s="205"/>
      <c r="H32" s="205"/>
      <c r="I32" s="205">
        <v>9059</v>
      </c>
      <c r="J32" s="205"/>
      <c r="K32" s="206"/>
      <c r="L32" s="206">
        <v>2450</v>
      </c>
      <c r="M32" s="174">
        <f t="shared" si="0"/>
        <v>0</v>
      </c>
      <c r="N32" s="174">
        <f t="shared" si="1"/>
        <v>0</v>
      </c>
      <c r="O32" s="177">
        <f t="shared" si="2"/>
        <v>-5036</v>
      </c>
      <c r="P32" s="58"/>
      <c r="Q32" s="58"/>
      <c r="R32" s="58"/>
      <c r="S32" s="58"/>
      <c r="T32" s="58"/>
      <c r="U32" s="58"/>
      <c r="V32" s="58"/>
      <c r="W32" s="58"/>
      <c r="X32" s="58"/>
      <c r="Y32" s="58"/>
    </row>
    <row r="33" spans="1:25" s="2" customFormat="1" ht="15" customHeight="1">
      <c r="A33" s="216"/>
      <c r="B33" s="216"/>
      <c r="C33" s="224" t="s">
        <v>220</v>
      </c>
      <c r="D33" s="225">
        <f>SUM(D9+D10+D13+D14+D17+D18+D19+D20+D21+D24+D25+D26+D30+D31+D32)</f>
        <v>7020204</v>
      </c>
      <c r="E33" s="225">
        <f aca="true" t="shared" si="4" ref="E33:O33">SUM(E9+E10+E13+E14+E17+E18+E19+E20+E21+E24+E25+E26+E30+E31+E32)</f>
        <v>7113870</v>
      </c>
      <c r="F33" s="225">
        <f t="shared" si="4"/>
        <v>4133215</v>
      </c>
      <c r="G33" s="225">
        <f t="shared" si="4"/>
        <v>1526708</v>
      </c>
      <c r="H33" s="225">
        <f t="shared" si="4"/>
        <v>1696804</v>
      </c>
      <c r="I33" s="225">
        <f t="shared" si="4"/>
        <v>1670243</v>
      </c>
      <c r="J33" s="225">
        <f t="shared" si="4"/>
        <v>757660</v>
      </c>
      <c r="K33" s="225">
        <f t="shared" si="4"/>
        <v>831969</v>
      </c>
      <c r="L33" s="225">
        <f t="shared" si="4"/>
        <v>786949</v>
      </c>
      <c r="M33" s="225">
        <f t="shared" si="4"/>
        <v>9304572</v>
      </c>
      <c r="N33" s="225">
        <f t="shared" si="4"/>
        <v>9642643</v>
      </c>
      <c r="O33" s="226">
        <f t="shared" si="4"/>
        <v>6590407</v>
      </c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="51" customFormat="1" ht="25.5" customHeight="1"/>
    <row r="35" s="51" customFormat="1" ht="25.5" customHeight="1"/>
    <row r="36" spans="3:25" ht="25.5" customHeight="1"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25" ht="25.5" customHeight="1"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25" ht="25.5" customHeight="1"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25" ht="25.5" customHeight="1"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25" ht="25.5" customHeight="1"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25" ht="25.5" customHeight="1"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25" ht="25.5" customHeight="1"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25" ht="25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25" ht="25.5" customHeight="1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25" ht="25.5" customHeight="1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25" ht="25.5" customHeight="1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3:25" ht="25.5" customHeight="1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3:25" ht="25.5" customHeight="1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3:25" ht="25.5" customHeight="1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3:25" ht="25.5" customHeight="1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3:25" ht="25.5" customHeight="1"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3:25" ht="25.5" customHeight="1"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3:25" ht="25.5" customHeight="1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3:25" ht="25.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3:25" ht="25.5" customHeight="1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3:25" ht="25.5" customHeight="1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3:25" ht="25.5" customHeight="1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3:25" ht="25.5" customHeight="1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3:25" ht="25.5" customHeight="1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3:12" ht="25.5" customHeight="1"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3:12" ht="25.5" customHeight="1"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3:12" ht="25.5" customHeight="1"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3:12" ht="25.5" customHeight="1"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3:12" ht="25.5" customHeight="1"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3:12" ht="25.5" customHeight="1"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3:12" ht="25.5" customHeight="1"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3:12" ht="25.5" customHeight="1"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3:12" ht="25.5" customHeight="1"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3:12" ht="25.5" customHeight="1"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3:12" ht="25.5" customHeight="1"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3:12" ht="25.5" customHeight="1"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3:12" ht="25.5" customHeight="1"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3:12" ht="25.5" customHeight="1"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3:12" ht="25.5" customHeight="1"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3:12" ht="25.5" customHeight="1"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pans="3:12" ht="25.5" customHeight="1"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3:12" ht="25.5" customHeight="1"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3:12" ht="25.5" customHeight="1"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3:12" ht="25.5" customHeight="1"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3:12" ht="25.5" customHeight="1"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3:12" ht="25.5" customHeight="1">
      <c r="C81" s="51"/>
      <c r="D81" s="51"/>
      <c r="E81" s="51"/>
      <c r="F81" s="51"/>
      <c r="G81" s="51"/>
      <c r="H81" s="51"/>
      <c r="I81" s="51"/>
      <c r="J81" s="51"/>
      <c r="K81" s="51"/>
      <c r="L81" s="51"/>
    </row>
    <row r="82" spans="3:12" ht="25.5" customHeight="1">
      <c r="C82" s="51"/>
      <c r="D82" s="51"/>
      <c r="E82" s="51"/>
      <c r="F82" s="51"/>
      <c r="G82" s="51"/>
      <c r="H82" s="51"/>
      <c r="I82" s="51"/>
      <c r="J82" s="51"/>
      <c r="K82" s="51"/>
      <c r="L82" s="51"/>
    </row>
    <row r="83" spans="3:12" ht="25.5" customHeight="1">
      <c r="C83" s="51"/>
      <c r="D83" s="51"/>
      <c r="E83" s="51"/>
      <c r="F83" s="51"/>
      <c r="G83" s="51"/>
      <c r="H83" s="51"/>
      <c r="I83" s="51"/>
      <c r="J83" s="51"/>
      <c r="K83" s="51"/>
      <c r="L83" s="51"/>
    </row>
    <row r="84" spans="3:12" ht="25.5" customHeight="1">
      <c r="C84" s="51"/>
      <c r="D84" s="51"/>
      <c r="E84" s="51"/>
      <c r="F84" s="51"/>
      <c r="G84" s="51"/>
      <c r="H84" s="51"/>
      <c r="I84" s="51"/>
      <c r="J84" s="51"/>
      <c r="K84" s="51"/>
      <c r="L84" s="51"/>
    </row>
    <row r="85" spans="3:12" ht="25.5" customHeight="1">
      <c r="C85" s="51"/>
      <c r="D85" s="51"/>
      <c r="E85" s="51"/>
      <c r="F85" s="51"/>
      <c r="G85" s="51"/>
      <c r="H85" s="51"/>
      <c r="I85" s="51"/>
      <c r="J85" s="51"/>
      <c r="K85" s="51"/>
      <c r="L85" s="51"/>
    </row>
    <row r="86" spans="3:12" ht="25.5" customHeight="1">
      <c r="C86" s="51"/>
      <c r="D86" s="51"/>
      <c r="E86" s="51"/>
      <c r="F86" s="51"/>
      <c r="G86" s="51"/>
      <c r="H86" s="51"/>
      <c r="I86" s="51"/>
      <c r="J86" s="51"/>
      <c r="K86" s="51"/>
      <c r="L86" s="51"/>
    </row>
    <row r="87" spans="3:12" ht="25.5" customHeight="1"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3:12" ht="25.5" customHeight="1">
      <c r="C88" s="51"/>
      <c r="D88" s="51"/>
      <c r="E88" s="51"/>
      <c r="F88" s="51"/>
      <c r="G88" s="51"/>
      <c r="H88" s="51"/>
      <c r="I88" s="51"/>
      <c r="J88" s="51"/>
      <c r="K88" s="51"/>
      <c r="L88" s="51"/>
    </row>
    <row r="89" spans="3:12" ht="25.5" customHeight="1">
      <c r="C89" s="51"/>
      <c r="D89" s="51"/>
      <c r="E89" s="51"/>
      <c r="F89" s="51"/>
      <c r="G89" s="51"/>
      <c r="H89" s="51"/>
      <c r="I89" s="51"/>
      <c r="J89" s="51"/>
      <c r="K89" s="51"/>
      <c r="L89" s="51"/>
    </row>
    <row r="90" spans="3:12" ht="25.5" customHeight="1">
      <c r="C90" s="51"/>
      <c r="D90" s="51"/>
      <c r="E90" s="51"/>
      <c r="F90" s="51"/>
      <c r="G90" s="51"/>
      <c r="H90" s="51"/>
      <c r="I90" s="51"/>
      <c r="J90" s="51"/>
      <c r="K90" s="51"/>
      <c r="L90" s="51"/>
    </row>
    <row r="91" spans="3:12" ht="25.5" customHeight="1"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3:12" ht="25.5" customHeight="1">
      <c r="C92" s="51"/>
      <c r="D92" s="51"/>
      <c r="E92" s="51"/>
      <c r="F92" s="51"/>
      <c r="G92" s="51"/>
      <c r="H92" s="51"/>
      <c r="I92" s="51"/>
      <c r="J92" s="51"/>
      <c r="K92" s="51"/>
      <c r="L92" s="51"/>
    </row>
    <row r="93" spans="3:12" ht="25.5" customHeight="1">
      <c r="C93" s="51"/>
      <c r="D93" s="51"/>
      <c r="E93" s="51"/>
      <c r="F93" s="51"/>
      <c r="G93" s="51"/>
      <c r="H93" s="51"/>
      <c r="I93" s="51"/>
      <c r="J93" s="51"/>
      <c r="K93" s="51"/>
      <c r="L93" s="51"/>
    </row>
    <row r="94" spans="3:12" ht="25.5" customHeight="1">
      <c r="C94" s="51"/>
      <c r="D94" s="51"/>
      <c r="E94" s="51"/>
      <c r="F94" s="51"/>
      <c r="G94" s="51"/>
      <c r="H94" s="51"/>
      <c r="I94" s="51"/>
      <c r="J94" s="51"/>
      <c r="K94" s="51"/>
      <c r="L94" s="51"/>
    </row>
    <row r="95" spans="3:12" ht="25.5" customHeight="1">
      <c r="C95" s="51"/>
      <c r="D95" s="51"/>
      <c r="E95" s="51"/>
      <c r="F95" s="51"/>
      <c r="G95" s="51"/>
      <c r="H95" s="51"/>
      <c r="I95" s="51"/>
      <c r="J95" s="51"/>
      <c r="K95" s="51"/>
      <c r="L95" s="51"/>
    </row>
    <row r="96" spans="3:12" ht="25.5" customHeight="1">
      <c r="C96" s="51"/>
      <c r="D96" s="51"/>
      <c r="E96" s="51"/>
      <c r="F96" s="51"/>
      <c r="G96" s="51"/>
      <c r="H96" s="51"/>
      <c r="I96" s="51"/>
      <c r="J96" s="51"/>
      <c r="K96" s="51"/>
      <c r="L96" s="51"/>
    </row>
    <row r="97" spans="3:12" ht="25.5" customHeight="1">
      <c r="C97" s="51"/>
      <c r="D97" s="51"/>
      <c r="E97" s="51"/>
      <c r="F97" s="51"/>
      <c r="G97" s="51"/>
      <c r="H97" s="51"/>
      <c r="I97" s="51"/>
      <c r="J97" s="51"/>
      <c r="K97" s="51"/>
      <c r="L97" s="51"/>
    </row>
    <row r="98" spans="3:12" ht="25.5" customHeight="1">
      <c r="C98" s="51"/>
      <c r="D98" s="51"/>
      <c r="E98" s="51"/>
      <c r="F98" s="51"/>
      <c r="G98" s="51"/>
      <c r="H98" s="51"/>
      <c r="I98" s="51"/>
      <c r="J98" s="51"/>
      <c r="K98" s="51"/>
      <c r="L98" s="51"/>
    </row>
    <row r="99" spans="3:12" ht="25.5" customHeight="1">
      <c r="C99" s="51"/>
      <c r="D99" s="51"/>
      <c r="E99" s="51"/>
      <c r="F99" s="51"/>
      <c r="G99" s="51"/>
      <c r="H99" s="51"/>
      <c r="I99" s="51"/>
      <c r="J99" s="51"/>
      <c r="K99" s="51"/>
      <c r="L99" s="51"/>
    </row>
    <row r="100" spans="3:12" ht="25.5" customHeight="1">
      <c r="C100" s="51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3:12" ht="25.5" customHeight="1">
      <c r="C101" s="51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3:12" ht="25.5" customHeight="1">
      <c r="C102" s="51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3:12" ht="25.5" customHeight="1">
      <c r="C103" s="51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3:12" ht="25.5" customHeight="1">
      <c r="C104" s="51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3:12" ht="25.5" customHeight="1">
      <c r="C105" s="51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3:12" ht="25.5" customHeight="1">
      <c r="C106" s="51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3:12" ht="25.5" customHeight="1">
      <c r="C107" s="51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3:12" ht="25.5" customHeight="1">
      <c r="C108" s="51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3:12" ht="25.5" customHeight="1">
      <c r="C109" s="51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3:12" ht="25.5" customHeight="1">
      <c r="C110" s="51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3:12" ht="25.5" customHeight="1">
      <c r="C111" s="51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3:12" ht="25.5" customHeight="1">
      <c r="C112" s="51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3:12" ht="25.5" customHeight="1">
      <c r="C113" s="51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3:12" ht="25.5" customHeight="1">
      <c r="C114" s="51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3:12" ht="25.5" customHeight="1">
      <c r="C115" s="51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3:12" ht="25.5" customHeight="1">
      <c r="C116" s="51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3:12" ht="25.5" customHeight="1">
      <c r="C117" s="51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3:12" ht="25.5" customHeight="1">
      <c r="C118" s="51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3:12" ht="25.5" customHeight="1">
      <c r="C119" s="51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3:12" ht="25.5" customHeight="1">
      <c r="C120" s="51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3:12" ht="25.5" customHeight="1">
      <c r="C121" s="51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3:12" ht="25.5" customHeight="1">
      <c r="C122" s="51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3:12" ht="25.5" customHeight="1">
      <c r="C123" s="51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3:12" ht="25.5" customHeight="1">
      <c r="C124" s="51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3:12" ht="25.5" customHeight="1"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3:12" ht="25.5" customHeight="1">
      <c r="C126" s="51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3:12" ht="25.5" customHeight="1">
      <c r="C127" s="51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3:12" ht="25.5" customHeight="1">
      <c r="C128" s="51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3:12" ht="25.5" customHeight="1">
      <c r="C129" s="51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3:12" ht="25.5" customHeight="1">
      <c r="C130" s="51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3:12" ht="25.5" customHeight="1">
      <c r="C131" s="51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3:12" ht="25.5" customHeight="1">
      <c r="C132" s="51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3:12" ht="25.5" customHeight="1">
      <c r="C133" s="51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3:12" ht="25.5" customHeight="1">
      <c r="C134" s="51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3:12" ht="25.5" customHeight="1">
      <c r="C135" s="51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3:12" ht="25.5" customHeight="1">
      <c r="C136" s="51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3:12" ht="25.5" customHeight="1">
      <c r="C137" s="5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3:12" ht="25.5" customHeight="1">
      <c r="C138" s="51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3:12" ht="25.5" customHeight="1">
      <c r="C139" s="51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3:12" ht="25.5" customHeight="1">
      <c r="C140" s="51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3:12" ht="25.5" customHeight="1">
      <c r="C141" s="51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3:12" ht="25.5" customHeight="1">
      <c r="C142" s="51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3:12" ht="25.5" customHeight="1">
      <c r="C143" s="51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3:12" ht="25.5" customHeight="1">
      <c r="C144" s="51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3:12" ht="25.5" customHeight="1">
      <c r="C145" s="51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3:12" ht="25.5" customHeight="1">
      <c r="C146" s="51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3:12" ht="25.5" customHeight="1">
      <c r="C147" s="51"/>
      <c r="D147" s="51"/>
      <c r="E147" s="51"/>
      <c r="F147" s="51"/>
      <c r="G147" s="51"/>
      <c r="H147" s="51"/>
      <c r="I147" s="51"/>
      <c r="J147" s="51"/>
      <c r="K147" s="51"/>
      <c r="L147" s="51"/>
    </row>
    <row r="148" spans="3:12" ht="25.5" customHeight="1">
      <c r="C148" s="51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3:12" ht="25.5" customHeight="1">
      <c r="C149" s="51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3:12" ht="25.5" customHeight="1">
      <c r="C150" s="51"/>
      <c r="D150" s="51"/>
      <c r="E150" s="51"/>
      <c r="F150" s="51"/>
      <c r="G150" s="51"/>
      <c r="H150" s="51"/>
      <c r="I150" s="51"/>
      <c r="J150" s="51"/>
      <c r="K150" s="51"/>
      <c r="L150" s="51"/>
    </row>
    <row r="151" spans="3:12" ht="25.5" customHeight="1">
      <c r="C151" s="51"/>
      <c r="D151" s="51"/>
      <c r="E151" s="51"/>
      <c r="F151" s="51"/>
      <c r="G151" s="51"/>
      <c r="H151" s="51"/>
      <c r="I151" s="51"/>
      <c r="J151" s="51"/>
      <c r="K151" s="51"/>
      <c r="L151" s="51"/>
    </row>
    <row r="152" spans="3:12" ht="25.5" customHeight="1">
      <c r="C152" s="51"/>
      <c r="D152" s="51"/>
      <c r="E152" s="51"/>
      <c r="F152" s="51"/>
      <c r="G152" s="51"/>
      <c r="H152" s="51"/>
      <c r="I152" s="51"/>
      <c r="J152" s="51"/>
      <c r="K152" s="51"/>
      <c r="L152" s="51"/>
    </row>
    <row r="153" spans="3:12" ht="25.5" customHeight="1">
      <c r="C153" s="51"/>
      <c r="D153" s="51"/>
      <c r="E153" s="51"/>
      <c r="F153" s="51"/>
      <c r="G153" s="51"/>
      <c r="H153" s="51"/>
      <c r="I153" s="51"/>
      <c r="J153" s="51"/>
      <c r="K153" s="51"/>
      <c r="L153" s="51"/>
    </row>
    <row r="154" spans="3:12" ht="25.5" customHeight="1">
      <c r="C154" s="51"/>
      <c r="D154" s="51"/>
      <c r="E154" s="51"/>
      <c r="F154" s="51"/>
      <c r="G154" s="51"/>
      <c r="H154" s="51"/>
      <c r="I154" s="51"/>
      <c r="J154" s="51"/>
      <c r="K154" s="51"/>
      <c r="L154" s="51"/>
    </row>
    <row r="155" spans="3:12" ht="25.5" customHeight="1">
      <c r="C155" s="51"/>
      <c r="D155" s="51"/>
      <c r="E155" s="51"/>
      <c r="F155" s="51"/>
      <c r="G155" s="51"/>
      <c r="H155" s="51"/>
      <c r="I155" s="51"/>
      <c r="J155" s="51"/>
      <c r="K155" s="51"/>
      <c r="L155" s="51"/>
    </row>
    <row r="156" spans="3:12" ht="25.5" customHeight="1">
      <c r="C156" s="51"/>
      <c r="D156" s="51"/>
      <c r="E156" s="51"/>
      <c r="F156" s="51"/>
      <c r="G156" s="51"/>
      <c r="H156" s="51"/>
      <c r="I156" s="51"/>
      <c r="J156" s="51"/>
      <c r="K156" s="51"/>
      <c r="L156" s="51"/>
    </row>
    <row r="157" spans="3:12" ht="25.5" customHeight="1">
      <c r="C157" s="51"/>
      <c r="D157" s="51"/>
      <c r="E157" s="51"/>
      <c r="F157" s="51"/>
      <c r="G157" s="51"/>
      <c r="H157" s="51"/>
      <c r="I157" s="51"/>
      <c r="J157" s="51"/>
      <c r="K157" s="51"/>
      <c r="L157" s="51"/>
    </row>
    <row r="158" spans="3:12" ht="25.5" customHeight="1">
      <c r="C158" s="51"/>
      <c r="D158" s="51"/>
      <c r="E158" s="51"/>
      <c r="F158" s="51"/>
      <c r="G158" s="51"/>
      <c r="H158" s="51"/>
      <c r="I158" s="51"/>
      <c r="J158" s="51"/>
      <c r="K158" s="51"/>
      <c r="L158" s="51"/>
    </row>
    <row r="159" spans="3:12" ht="25.5" customHeight="1">
      <c r="C159" s="51"/>
      <c r="D159" s="51"/>
      <c r="E159" s="51"/>
      <c r="F159" s="51"/>
      <c r="G159" s="51"/>
      <c r="H159" s="51"/>
      <c r="I159" s="51"/>
      <c r="J159" s="51"/>
      <c r="K159" s="51"/>
      <c r="L159" s="51"/>
    </row>
    <row r="160" spans="3:12" ht="25.5" customHeight="1">
      <c r="C160" s="51"/>
      <c r="D160" s="51"/>
      <c r="E160" s="51"/>
      <c r="F160" s="51"/>
      <c r="G160" s="51"/>
      <c r="H160" s="51"/>
      <c r="I160" s="51"/>
      <c r="J160" s="51"/>
      <c r="K160" s="51"/>
      <c r="L160" s="51"/>
    </row>
    <row r="161" spans="3:12" ht="25.5" customHeight="1">
      <c r="C161" s="51"/>
      <c r="D161" s="51"/>
      <c r="E161" s="51"/>
      <c r="F161" s="51"/>
      <c r="G161" s="51"/>
      <c r="H161" s="51"/>
      <c r="I161" s="51"/>
      <c r="J161" s="51"/>
      <c r="K161" s="51"/>
      <c r="L161" s="51"/>
    </row>
  </sheetData>
  <sheetProtection selectLockedCells="1" selectUnlockedCells="1"/>
  <mergeCells count="7">
    <mergeCell ref="C3:O3"/>
    <mergeCell ref="C4:O4"/>
    <mergeCell ref="C5:M5"/>
    <mergeCell ref="D7:F7"/>
    <mergeCell ref="G7:I7"/>
    <mergeCell ref="J7:L7"/>
    <mergeCell ref="M7:O7"/>
  </mergeCells>
  <printOptions horizontalCentered="1"/>
  <pageMargins left="0.2" right="0.2" top="0.3541666666666667" bottom="0.3541666666666667" header="0.27569444444444446" footer="0.5118055555555555"/>
  <pageSetup horizontalDpi="300" verticalDpi="300" orientation="landscape" paperSize="9" scale="80"/>
  <headerFooter alignWithMargins="0">
    <oddHeader>&amp;L&amp;8 3. melléklet a 16/2011.(V.02.)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08"/>
  <sheetViews>
    <sheetView workbookViewId="0" topLeftCell="A1">
      <selection activeCell="A2" sqref="A2"/>
    </sheetView>
  </sheetViews>
  <sheetFormatPr defaultColWidth="9.00390625" defaultRowHeight="12.75"/>
  <cols>
    <col min="1" max="1" width="8.00390625" style="227" customWidth="1"/>
    <col min="2" max="2" width="74.75390625" style="228" customWidth="1"/>
    <col min="3" max="3" width="10.625" style="229" customWidth="1"/>
    <col min="4" max="4" width="9.25390625" style="230" customWidth="1"/>
    <col min="5" max="5" width="9.875" style="228" customWidth="1"/>
    <col min="6" max="7" width="8.75390625" style="228" customWidth="1"/>
    <col min="8" max="8" width="9.625" style="228" customWidth="1"/>
    <col min="9" max="9" width="9.375" style="228" customWidth="1"/>
    <col min="10" max="10" width="10.125" style="228" customWidth="1"/>
    <col min="11" max="11" width="9.375" style="228" customWidth="1"/>
    <col min="12" max="12" width="9.125" style="228" customWidth="1"/>
    <col min="13" max="13" width="8.875" style="231" customWidth="1"/>
    <col min="14" max="14" width="9.625" style="228" customWidth="1"/>
    <col min="15" max="16384" width="9.125" style="228" customWidth="1"/>
  </cols>
  <sheetData>
    <row r="1" ht="12.75">
      <c r="A1" s="232" t="s">
        <v>221</v>
      </c>
    </row>
    <row r="2" ht="10.5" customHeight="1"/>
    <row r="3" spans="1:14" ht="15.75" customHeight="1">
      <c r="A3" s="233" t="s">
        <v>222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4" ht="12.7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</row>
    <row r="5" spans="12:14" ht="11.25" customHeight="1">
      <c r="L5" s="230"/>
      <c r="M5" s="235"/>
      <c r="N5" s="235" t="s">
        <v>223</v>
      </c>
    </row>
    <row r="6" spans="1:14" s="242" customFormat="1" ht="13.5" customHeight="1">
      <c r="A6" s="236" t="s">
        <v>224</v>
      </c>
      <c r="B6" s="236"/>
      <c r="C6" s="236"/>
      <c r="D6" s="237" t="s">
        <v>225</v>
      </c>
      <c r="E6" s="238" t="s">
        <v>226</v>
      </c>
      <c r="F6" s="239" t="s">
        <v>227</v>
      </c>
      <c r="G6" s="239"/>
      <c r="H6" s="239"/>
      <c r="I6" s="239"/>
      <c r="J6" s="239"/>
      <c r="K6" s="239" t="s">
        <v>228</v>
      </c>
      <c r="L6" s="239"/>
      <c r="M6" s="240" t="s">
        <v>229</v>
      </c>
      <c r="N6" s="241" t="s">
        <v>53</v>
      </c>
    </row>
    <row r="7" spans="1:14" s="242" customFormat="1" ht="12" customHeight="1">
      <c r="A7" s="236"/>
      <c r="B7" s="236"/>
      <c r="C7" s="236"/>
      <c r="D7" s="237"/>
      <c r="E7" s="238"/>
      <c r="F7" s="243" t="s">
        <v>230</v>
      </c>
      <c r="G7" s="243" t="s">
        <v>231</v>
      </c>
      <c r="H7" s="243" t="s">
        <v>232</v>
      </c>
      <c r="I7" s="243" t="s">
        <v>233</v>
      </c>
      <c r="J7" s="243" t="s">
        <v>234</v>
      </c>
      <c r="K7" s="244" t="s">
        <v>40</v>
      </c>
      <c r="L7" s="244" t="s">
        <v>35</v>
      </c>
      <c r="M7" s="240"/>
      <c r="N7" s="241"/>
    </row>
    <row r="8" spans="1:14" s="242" customFormat="1" ht="39" customHeight="1">
      <c r="A8" s="236"/>
      <c r="B8" s="236"/>
      <c r="C8" s="236"/>
      <c r="D8" s="237"/>
      <c r="E8" s="238"/>
      <c r="F8" s="243"/>
      <c r="G8" s="243"/>
      <c r="H8" s="243"/>
      <c r="I8" s="243"/>
      <c r="J8" s="243"/>
      <c r="K8" s="244"/>
      <c r="L8" s="244"/>
      <c r="M8" s="240"/>
      <c r="N8" s="241"/>
    </row>
    <row r="9" spans="1:14" s="242" customFormat="1" ht="12" customHeight="1">
      <c r="A9" s="245" t="s">
        <v>235</v>
      </c>
      <c r="B9" s="246" t="s">
        <v>236</v>
      </c>
      <c r="C9" s="247" t="s">
        <v>7</v>
      </c>
      <c r="D9" s="248">
        <v>0</v>
      </c>
      <c r="E9" s="248">
        <f aca="true" t="shared" si="0" ref="E9:E40">SUM(F9:N9)</f>
        <v>9420</v>
      </c>
      <c r="F9" s="248"/>
      <c r="G9" s="248"/>
      <c r="H9" s="248">
        <v>9420</v>
      </c>
      <c r="I9" s="248"/>
      <c r="J9" s="248"/>
      <c r="K9" s="248"/>
      <c r="L9" s="248"/>
      <c r="M9" s="248"/>
      <c r="N9" s="249"/>
    </row>
    <row r="10" spans="1:14" s="242" customFormat="1" ht="12" customHeight="1">
      <c r="A10" s="245"/>
      <c r="B10" s="246"/>
      <c r="C10" s="247" t="s">
        <v>4</v>
      </c>
      <c r="D10" s="248"/>
      <c r="E10" s="248">
        <f t="shared" si="0"/>
        <v>10220</v>
      </c>
      <c r="F10" s="248"/>
      <c r="G10" s="248"/>
      <c r="H10" s="248">
        <v>10220</v>
      </c>
      <c r="I10" s="248"/>
      <c r="J10" s="248"/>
      <c r="K10" s="248"/>
      <c r="L10" s="248"/>
      <c r="M10" s="248"/>
      <c r="N10" s="249"/>
    </row>
    <row r="11" spans="1:14" s="242" customFormat="1" ht="12" customHeight="1">
      <c r="A11" s="245"/>
      <c r="B11" s="246"/>
      <c r="C11" s="247" t="s">
        <v>5</v>
      </c>
      <c r="D11" s="248"/>
      <c r="E11" s="248">
        <f t="shared" si="0"/>
        <v>9597</v>
      </c>
      <c r="F11" s="248"/>
      <c r="G11" s="248"/>
      <c r="H11" s="248">
        <v>9597</v>
      </c>
      <c r="I11" s="248"/>
      <c r="J11" s="248"/>
      <c r="K11" s="248"/>
      <c r="L11" s="248"/>
      <c r="M11" s="248"/>
      <c r="N11" s="249"/>
    </row>
    <row r="12" spans="1:14" s="242" customFormat="1" ht="12" customHeight="1">
      <c r="A12" s="250">
        <v>360000</v>
      </c>
      <c r="B12" s="251" t="s">
        <v>237</v>
      </c>
      <c r="C12" s="252" t="s">
        <v>7</v>
      </c>
      <c r="D12" s="253">
        <v>100357</v>
      </c>
      <c r="E12" s="248">
        <f t="shared" si="0"/>
        <v>140111</v>
      </c>
      <c r="F12" s="253"/>
      <c r="G12" s="253"/>
      <c r="H12" s="253">
        <v>300</v>
      </c>
      <c r="I12" s="253">
        <v>4600</v>
      </c>
      <c r="J12" s="253"/>
      <c r="K12" s="253">
        <v>10000</v>
      </c>
      <c r="L12" s="253">
        <v>125211</v>
      </c>
      <c r="M12" s="253"/>
      <c r="N12" s="254"/>
    </row>
    <row r="13" spans="1:14" s="242" customFormat="1" ht="12" customHeight="1">
      <c r="A13" s="250"/>
      <c r="B13" s="251"/>
      <c r="C13" s="247" t="s">
        <v>4</v>
      </c>
      <c r="D13" s="253">
        <v>100357</v>
      </c>
      <c r="E13" s="248">
        <f t="shared" si="0"/>
        <v>154912</v>
      </c>
      <c r="F13" s="253"/>
      <c r="G13" s="253"/>
      <c r="H13" s="253">
        <v>1300</v>
      </c>
      <c r="I13" s="253">
        <v>4600</v>
      </c>
      <c r="J13" s="253"/>
      <c r="K13" s="253">
        <v>10413</v>
      </c>
      <c r="L13" s="253">
        <v>138599</v>
      </c>
      <c r="M13" s="253"/>
      <c r="N13" s="254"/>
    </row>
    <row r="14" spans="1:14" s="242" customFormat="1" ht="12" customHeight="1">
      <c r="A14" s="250"/>
      <c r="B14" s="251"/>
      <c r="C14" s="247" t="s">
        <v>5</v>
      </c>
      <c r="D14" s="253">
        <v>1044</v>
      </c>
      <c r="E14" s="248">
        <f t="shared" si="0"/>
        <v>22229</v>
      </c>
      <c r="F14" s="253"/>
      <c r="G14" s="253"/>
      <c r="H14" s="253">
        <v>1637</v>
      </c>
      <c r="I14" s="253">
        <v>4600</v>
      </c>
      <c r="J14" s="253"/>
      <c r="K14" s="253">
        <v>10412</v>
      </c>
      <c r="L14" s="253">
        <v>5580</v>
      </c>
      <c r="M14" s="253"/>
      <c r="N14" s="254"/>
    </row>
    <row r="15" spans="1:14" s="242" customFormat="1" ht="12" customHeight="1">
      <c r="A15" s="250">
        <v>370000</v>
      </c>
      <c r="B15" s="255" t="s">
        <v>238</v>
      </c>
      <c r="C15" s="252" t="s">
        <v>7</v>
      </c>
      <c r="D15" s="253">
        <v>16155</v>
      </c>
      <c r="E15" s="253">
        <f t="shared" si="0"/>
        <v>20575</v>
      </c>
      <c r="F15" s="253"/>
      <c r="G15" s="253"/>
      <c r="H15" s="253">
        <v>3000</v>
      </c>
      <c r="I15" s="253"/>
      <c r="J15" s="253"/>
      <c r="K15" s="253">
        <v>2000</v>
      </c>
      <c r="L15" s="253">
        <v>15575</v>
      </c>
      <c r="M15" s="253"/>
      <c r="N15" s="254"/>
    </row>
    <row r="16" spans="1:14" s="242" customFormat="1" ht="12" customHeight="1">
      <c r="A16" s="250"/>
      <c r="B16" s="255"/>
      <c r="C16" s="247" t="s">
        <v>4</v>
      </c>
      <c r="D16" s="253">
        <v>16629</v>
      </c>
      <c r="E16" s="253">
        <f t="shared" si="0"/>
        <v>33442</v>
      </c>
      <c r="F16" s="253"/>
      <c r="G16" s="253"/>
      <c r="H16" s="253">
        <v>11475</v>
      </c>
      <c r="I16" s="253">
        <v>474</v>
      </c>
      <c r="J16" s="253">
        <v>236</v>
      </c>
      <c r="K16" s="253">
        <v>2462</v>
      </c>
      <c r="L16" s="253">
        <v>18795</v>
      </c>
      <c r="M16" s="253"/>
      <c r="N16" s="254"/>
    </row>
    <row r="17" spans="1:14" s="242" customFormat="1" ht="12" customHeight="1">
      <c r="A17" s="250"/>
      <c r="B17" s="255"/>
      <c r="C17" s="247" t="s">
        <v>5</v>
      </c>
      <c r="D17" s="253">
        <v>17523</v>
      </c>
      <c r="E17" s="253">
        <f t="shared" si="0"/>
        <v>27020</v>
      </c>
      <c r="F17" s="253"/>
      <c r="G17" s="253"/>
      <c r="H17" s="253">
        <v>11406</v>
      </c>
      <c r="I17" s="253">
        <v>474</v>
      </c>
      <c r="J17" s="253"/>
      <c r="K17" s="253">
        <v>2461</v>
      </c>
      <c r="L17" s="253">
        <v>12679</v>
      </c>
      <c r="M17" s="253"/>
      <c r="N17" s="254"/>
    </row>
    <row r="18" spans="1:14" s="242" customFormat="1" ht="12" customHeight="1">
      <c r="A18" s="250">
        <v>381103</v>
      </c>
      <c r="B18" s="255" t="s">
        <v>239</v>
      </c>
      <c r="C18" s="252" t="s">
        <v>7</v>
      </c>
      <c r="D18" s="253"/>
      <c r="E18" s="253">
        <f t="shared" si="0"/>
        <v>49725</v>
      </c>
      <c r="F18" s="253"/>
      <c r="G18" s="253"/>
      <c r="H18" s="253">
        <v>29225</v>
      </c>
      <c r="I18" s="253">
        <v>20500</v>
      </c>
      <c r="J18" s="253"/>
      <c r="K18" s="253"/>
      <c r="L18" s="253"/>
      <c r="M18" s="253"/>
      <c r="N18" s="254"/>
    </row>
    <row r="19" spans="1:14" s="242" customFormat="1" ht="12" customHeight="1">
      <c r="A19" s="250"/>
      <c r="B19" s="255"/>
      <c r="C19" s="247" t="s">
        <v>4</v>
      </c>
      <c r="D19" s="253"/>
      <c r="E19" s="253">
        <f t="shared" si="0"/>
        <v>49857</v>
      </c>
      <c r="F19" s="253"/>
      <c r="G19" s="253"/>
      <c r="H19" s="253">
        <v>29225</v>
      </c>
      <c r="I19" s="253">
        <v>20500</v>
      </c>
      <c r="J19" s="253"/>
      <c r="K19" s="253"/>
      <c r="L19" s="253">
        <v>132</v>
      </c>
      <c r="M19" s="253"/>
      <c r="N19" s="254"/>
    </row>
    <row r="20" spans="1:14" s="242" customFormat="1" ht="12" customHeight="1">
      <c r="A20" s="250"/>
      <c r="B20" s="255"/>
      <c r="C20" s="247" t="s">
        <v>5</v>
      </c>
      <c r="D20" s="253"/>
      <c r="E20" s="253">
        <f t="shared" si="0"/>
        <v>44745</v>
      </c>
      <c r="F20" s="253"/>
      <c r="G20" s="253"/>
      <c r="H20" s="253">
        <v>26613</v>
      </c>
      <c r="I20" s="253">
        <v>18132</v>
      </c>
      <c r="J20" s="253"/>
      <c r="K20" s="253"/>
      <c r="L20" s="253"/>
      <c r="M20" s="253"/>
      <c r="N20" s="254"/>
    </row>
    <row r="21" spans="1:14" s="242" customFormat="1" ht="12" customHeight="1">
      <c r="A21" s="250">
        <v>412000</v>
      </c>
      <c r="B21" s="255" t="s">
        <v>240</v>
      </c>
      <c r="C21" s="252" t="s">
        <v>7</v>
      </c>
      <c r="D21" s="253">
        <v>1689754</v>
      </c>
      <c r="E21" s="253">
        <f t="shared" si="0"/>
        <v>2968176</v>
      </c>
      <c r="F21" s="253"/>
      <c r="G21" s="253"/>
      <c r="H21" s="253"/>
      <c r="I21" s="253">
        <v>184812</v>
      </c>
      <c r="J21" s="253"/>
      <c r="K21" s="253">
        <v>84077</v>
      </c>
      <c r="L21" s="253">
        <v>2699287</v>
      </c>
      <c r="M21" s="253"/>
      <c r="N21" s="254"/>
    </row>
    <row r="22" spans="1:14" s="242" customFormat="1" ht="12" customHeight="1">
      <c r="A22" s="250"/>
      <c r="B22" s="255"/>
      <c r="C22" s="247" t="s">
        <v>4</v>
      </c>
      <c r="D22" s="253">
        <v>1516370</v>
      </c>
      <c r="E22" s="253">
        <f t="shared" si="0"/>
        <v>3160050</v>
      </c>
      <c r="F22" s="253">
        <v>12252</v>
      </c>
      <c r="G22" s="253">
        <v>3008</v>
      </c>
      <c r="H22" s="253">
        <v>168247</v>
      </c>
      <c r="I22" s="253">
        <v>178312</v>
      </c>
      <c r="J22" s="253"/>
      <c r="K22" s="253">
        <v>43720</v>
      </c>
      <c r="L22" s="253">
        <v>2754511</v>
      </c>
      <c r="M22" s="253"/>
      <c r="N22" s="254"/>
    </row>
    <row r="23" spans="1:14" s="242" customFormat="1" ht="12" customHeight="1">
      <c r="A23" s="250"/>
      <c r="B23" s="255"/>
      <c r="C23" s="247" t="s">
        <v>5</v>
      </c>
      <c r="D23" s="253">
        <v>402080</v>
      </c>
      <c r="E23" s="253">
        <f t="shared" si="0"/>
        <v>1407169</v>
      </c>
      <c r="F23" s="253">
        <v>12122</v>
      </c>
      <c r="G23" s="253">
        <v>2976</v>
      </c>
      <c r="H23" s="253">
        <v>147007</v>
      </c>
      <c r="I23" s="253">
        <v>157392</v>
      </c>
      <c r="J23" s="253"/>
      <c r="K23" s="253">
        <v>16027</v>
      </c>
      <c r="L23" s="253">
        <v>1071645</v>
      </c>
      <c r="M23" s="253"/>
      <c r="N23" s="254"/>
    </row>
    <row r="24" spans="1:14" s="242" customFormat="1" ht="12" customHeight="1">
      <c r="A24" s="250">
        <v>421100</v>
      </c>
      <c r="B24" s="255" t="s">
        <v>241</v>
      </c>
      <c r="C24" s="252" t="s">
        <v>7</v>
      </c>
      <c r="D24" s="253">
        <v>566273</v>
      </c>
      <c r="E24" s="253">
        <f t="shared" si="0"/>
        <v>1122735</v>
      </c>
      <c r="F24" s="253"/>
      <c r="G24" s="253"/>
      <c r="H24" s="253"/>
      <c r="I24" s="253">
        <v>82529</v>
      </c>
      <c r="J24" s="253"/>
      <c r="K24" s="253">
        <v>97291</v>
      </c>
      <c r="L24" s="253">
        <v>942915</v>
      </c>
      <c r="M24" s="253"/>
      <c r="N24" s="254"/>
    </row>
    <row r="25" spans="1:14" s="242" customFormat="1" ht="12" customHeight="1">
      <c r="A25" s="250"/>
      <c r="B25" s="255"/>
      <c r="C25" s="247" t="s">
        <v>4</v>
      </c>
      <c r="D25" s="253">
        <v>255236</v>
      </c>
      <c r="E25" s="253">
        <f t="shared" si="0"/>
        <v>808298</v>
      </c>
      <c r="F25" s="253">
        <v>1200</v>
      </c>
      <c r="G25" s="253">
        <v>292</v>
      </c>
      <c r="H25" s="253">
        <v>8918</v>
      </c>
      <c r="I25" s="253">
        <v>88124</v>
      </c>
      <c r="J25" s="253"/>
      <c r="K25" s="253">
        <v>118417</v>
      </c>
      <c r="L25" s="253">
        <v>591347</v>
      </c>
      <c r="M25" s="253"/>
      <c r="N25" s="254"/>
    </row>
    <row r="26" spans="1:14" s="242" customFormat="1" ht="12" customHeight="1">
      <c r="A26" s="250"/>
      <c r="B26" s="255"/>
      <c r="C26" s="247" t="s">
        <v>5</v>
      </c>
      <c r="D26" s="253">
        <v>43316</v>
      </c>
      <c r="E26" s="253">
        <f t="shared" si="0"/>
        <v>195894</v>
      </c>
      <c r="F26" s="253">
        <v>1200</v>
      </c>
      <c r="G26" s="253">
        <v>292</v>
      </c>
      <c r="H26" s="253">
        <v>20582</v>
      </c>
      <c r="I26" s="253">
        <v>13860</v>
      </c>
      <c r="J26" s="253"/>
      <c r="K26" s="253">
        <v>115955</v>
      </c>
      <c r="L26" s="253">
        <v>44005</v>
      </c>
      <c r="M26" s="253"/>
      <c r="N26" s="254"/>
    </row>
    <row r="27" spans="1:14" s="242" customFormat="1" ht="12" customHeight="1">
      <c r="A27" s="250">
        <v>493909</v>
      </c>
      <c r="B27" s="255" t="s">
        <v>242</v>
      </c>
      <c r="C27" s="252" t="s">
        <v>7</v>
      </c>
      <c r="D27" s="253"/>
      <c r="E27" s="253">
        <f t="shared" si="0"/>
        <v>0</v>
      </c>
      <c r="F27" s="253"/>
      <c r="G27" s="253"/>
      <c r="H27" s="253"/>
      <c r="I27" s="253"/>
      <c r="J27" s="253"/>
      <c r="K27" s="253"/>
      <c r="L27" s="253"/>
      <c r="M27" s="253"/>
      <c r="N27" s="254"/>
    </row>
    <row r="28" spans="1:14" s="242" customFormat="1" ht="12" customHeight="1">
      <c r="A28" s="250"/>
      <c r="B28" s="255"/>
      <c r="C28" s="247" t="s">
        <v>4</v>
      </c>
      <c r="D28" s="253">
        <v>5750</v>
      </c>
      <c r="E28" s="253">
        <f t="shared" si="0"/>
        <v>14850</v>
      </c>
      <c r="F28" s="253"/>
      <c r="G28" s="253"/>
      <c r="H28" s="253"/>
      <c r="I28" s="253">
        <v>14850</v>
      </c>
      <c r="J28" s="253"/>
      <c r="K28" s="253"/>
      <c r="L28" s="253"/>
      <c r="M28" s="253"/>
      <c r="N28" s="254"/>
    </row>
    <row r="29" spans="1:14" s="242" customFormat="1" ht="12" customHeight="1">
      <c r="A29" s="250"/>
      <c r="B29" s="255"/>
      <c r="C29" s="247" t="s">
        <v>5</v>
      </c>
      <c r="D29" s="253">
        <v>5750</v>
      </c>
      <c r="E29" s="253">
        <f t="shared" si="0"/>
        <v>14850</v>
      </c>
      <c r="F29" s="253"/>
      <c r="G29" s="253"/>
      <c r="H29" s="253"/>
      <c r="I29" s="253">
        <v>14850</v>
      </c>
      <c r="J29" s="253"/>
      <c r="K29" s="253"/>
      <c r="L29" s="253"/>
      <c r="M29" s="253"/>
      <c r="N29" s="254"/>
    </row>
    <row r="30" spans="1:14" s="242" customFormat="1" ht="12" customHeight="1">
      <c r="A30" s="250">
        <v>522110</v>
      </c>
      <c r="B30" s="255" t="s">
        <v>243</v>
      </c>
      <c r="C30" s="252" t="s">
        <v>7</v>
      </c>
      <c r="D30" s="253"/>
      <c r="E30" s="253">
        <f t="shared" si="0"/>
        <v>36600</v>
      </c>
      <c r="F30" s="253"/>
      <c r="G30" s="253"/>
      <c r="H30" s="253">
        <v>20000</v>
      </c>
      <c r="I30" s="253">
        <v>16600</v>
      </c>
      <c r="J30" s="256"/>
      <c r="K30" s="256"/>
      <c r="L30" s="253"/>
      <c r="M30" s="253"/>
      <c r="N30" s="254"/>
    </row>
    <row r="31" spans="1:14" s="242" customFormat="1" ht="12" customHeight="1">
      <c r="A31" s="250"/>
      <c r="B31" s="255"/>
      <c r="C31" s="247" t="s">
        <v>4</v>
      </c>
      <c r="D31" s="253"/>
      <c r="E31" s="253">
        <f t="shared" si="0"/>
        <v>39999</v>
      </c>
      <c r="F31" s="253"/>
      <c r="G31" s="253"/>
      <c r="H31" s="253">
        <v>23399</v>
      </c>
      <c r="I31" s="253">
        <v>16600</v>
      </c>
      <c r="J31" s="256"/>
      <c r="K31" s="256"/>
      <c r="L31" s="253"/>
      <c r="M31" s="253"/>
      <c r="N31" s="254"/>
    </row>
    <row r="32" spans="1:14" s="242" customFormat="1" ht="12" customHeight="1">
      <c r="A32" s="250"/>
      <c r="B32" s="255"/>
      <c r="C32" s="247" t="s">
        <v>5</v>
      </c>
      <c r="D32" s="253">
        <v>1031</v>
      </c>
      <c r="E32" s="253">
        <f t="shared" si="0"/>
        <v>39698</v>
      </c>
      <c r="F32" s="253"/>
      <c r="G32" s="253"/>
      <c r="H32" s="253">
        <v>23098</v>
      </c>
      <c r="I32" s="253">
        <v>16600</v>
      </c>
      <c r="J32" s="256"/>
      <c r="K32" s="256"/>
      <c r="L32" s="253"/>
      <c r="M32" s="253"/>
      <c r="N32" s="254"/>
    </row>
    <row r="33" spans="1:14" s="242" customFormat="1" ht="12" customHeight="1">
      <c r="A33" s="250">
        <v>552001</v>
      </c>
      <c r="B33" s="255" t="s">
        <v>244</v>
      </c>
      <c r="C33" s="252" t="s">
        <v>7</v>
      </c>
      <c r="D33" s="253">
        <v>2750</v>
      </c>
      <c r="E33" s="253">
        <f t="shared" si="0"/>
        <v>4517</v>
      </c>
      <c r="F33" s="253"/>
      <c r="G33" s="253"/>
      <c r="H33" s="253">
        <v>3617</v>
      </c>
      <c r="I33" s="253">
        <v>900</v>
      </c>
      <c r="J33" s="256"/>
      <c r="K33" s="256"/>
      <c r="L33" s="253"/>
      <c r="M33" s="253"/>
      <c r="N33" s="254"/>
    </row>
    <row r="34" spans="1:14" s="242" customFormat="1" ht="12" customHeight="1">
      <c r="A34" s="250"/>
      <c r="B34" s="255"/>
      <c r="C34" s="247" t="s">
        <v>4</v>
      </c>
      <c r="D34" s="253">
        <v>2750</v>
      </c>
      <c r="E34" s="253">
        <f t="shared" si="0"/>
        <v>11517</v>
      </c>
      <c r="F34" s="253"/>
      <c r="G34" s="253"/>
      <c r="H34" s="253">
        <v>3617</v>
      </c>
      <c r="I34" s="253">
        <v>900</v>
      </c>
      <c r="J34" s="256"/>
      <c r="K34" s="256"/>
      <c r="L34" s="253">
        <v>7000</v>
      </c>
      <c r="M34" s="253"/>
      <c r="N34" s="254"/>
    </row>
    <row r="35" spans="1:14" s="242" customFormat="1" ht="12" customHeight="1">
      <c r="A35" s="250"/>
      <c r="B35" s="255"/>
      <c r="C35" s="247" t="s">
        <v>5</v>
      </c>
      <c r="D35" s="253">
        <v>2297</v>
      </c>
      <c r="E35" s="253">
        <f t="shared" si="0"/>
        <v>2329</v>
      </c>
      <c r="F35" s="253"/>
      <c r="G35" s="253"/>
      <c r="H35" s="253">
        <v>1429</v>
      </c>
      <c r="I35" s="253">
        <v>900</v>
      </c>
      <c r="J35" s="256"/>
      <c r="K35" s="256"/>
      <c r="L35" s="253"/>
      <c r="M35" s="253"/>
      <c r="N35" s="254"/>
    </row>
    <row r="36" spans="1:14" s="242" customFormat="1" ht="12" customHeight="1">
      <c r="A36" s="257">
        <v>581100</v>
      </c>
      <c r="B36" s="258" t="s">
        <v>245</v>
      </c>
      <c r="C36" s="252" t="s">
        <v>7</v>
      </c>
      <c r="D36" s="253"/>
      <c r="E36" s="253">
        <f t="shared" si="0"/>
        <v>2250</v>
      </c>
      <c r="F36" s="259"/>
      <c r="G36" s="259"/>
      <c r="H36" s="259">
        <v>2250</v>
      </c>
      <c r="I36" s="259"/>
      <c r="J36" s="259"/>
      <c r="K36" s="259"/>
      <c r="L36" s="259"/>
      <c r="M36" s="259"/>
      <c r="N36" s="260"/>
    </row>
    <row r="37" spans="1:14" s="242" customFormat="1" ht="12" customHeight="1">
      <c r="A37" s="257"/>
      <c r="B37" s="258"/>
      <c r="C37" s="247" t="s">
        <v>4</v>
      </c>
      <c r="D37" s="253"/>
      <c r="E37" s="253">
        <f t="shared" si="0"/>
        <v>7584</v>
      </c>
      <c r="F37" s="259">
        <v>380</v>
      </c>
      <c r="G37" s="259">
        <v>92</v>
      </c>
      <c r="H37" s="259">
        <v>7112</v>
      </c>
      <c r="I37" s="259"/>
      <c r="J37" s="259"/>
      <c r="K37" s="259"/>
      <c r="L37" s="259"/>
      <c r="M37" s="259"/>
      <c r="N37" s="260"/>
    </row>
    <row r="38" spans="1:14" s="242" customFormat="1" ht="12" customHeight="1">
      <c r="A38" s="257"/>
      <c r="B38" s="258"/>
      <c r="C38" s="247" t="s">
        <v>5</v>
      </c>
      <c r="D38" s="253">
        <v>2448</v>
      </c>
      <c r="E38" s="253">
        <f t="shared" si="0"/>
        <v>7584</v>
      </c>
      <c r="F38" s="259">
        <v>380</v>
      </c>
      <c r="G38" s="259">
        <v>92</v>
      </c>
      <c r="H38" s="259">
        <v>7112</v>
      </c>
      <c r="I38" s="259"/>
      <c r="J38" s="259"/>
      <c r="K38" s="259"/>
      <c r="L38" s="259"/>
      <c r="M38" s="259"/>
      <c r="N38" s="260"/>
    </row>
    <row r="39" spans="1:14" s="242" customFormat="1" ht="12" customHeight="1">
      <c r="A39" s="250">
        <v>581900</v>
      </c>
      <c r="B39" s="255" t="s">
        <v>246</v>
      </c>
      <c r="C39" s="252" t="s">
        <v>7</v>
      </c>
      <c r="D39" s="253">
        <v>0</v>
      </c>
      <c r="E39" s="253">
        <f t="shared" si="0"/>
        <v>15000</v>
      </c>
      <c r="F39" s="253"/>
      <c r="G39" s="253"/>
      <c r="H39" s="253">
        <v>15000</v>
      </c>
      <c r="I39" s="253"/>
      <c r="J39" s="253"/>
      <c r="K39" s="253"/>
      <c r="L39" s="253"/>
      <c r="M39" s="253"/>
      <c r="N39" s="254"/>
    </row>
    <row r="40" spans="1:14" s="242" customFormat="1" ht="12" customHeight="1">
      <c r="A40" s="250"/>
      <c r="B40" s="255"/>
      <c r="C40" s="247" t="s">
        <v>4</v>
      </c>
      <c r="D40" s="253"/>
      <c r="E40" s="253">
        <f t="shared" si="0"/>
        <v>25831</v>
      </c>
      <c r="F40" s="253">
        <v>2016</v>
      </c>
      <c r="G40" s="253">
        <v>477</v>
      </c>
      <c r="H40" s="253">
        <v>22838</v>
      </c>
      <c r="I40" s="253">
        <v>500</v>
      </c>
      <c r="J40" s="253"/>
      <c r="K40" s="253"/>
      <c r="L40" s="253"/>
      <c r="M40" s="253"/>
      <c r="N40" s="254"/>
    </row>
    <row r="41" spans="1:14" s="242" customFormat="1" ht="12" customHeight="1">
      <c r="A41" s="250"/>
      <c r="B41" s="255"/>
      <c r="C41" s="247" t="s">
        <v>5</v>
      </c>
      <c r="D41" s="253">
        <v>107</v>
      </c>
      <c r="E41" s="253">
        <f aca="true" t="shared" si="1" ref="E41:E62">SUM(F41:N41)</f>
        <v>24639</v>
      </c>
      <c r="F41" s="253">
        <v>2015</v>
      </c>
      <c r="G41" s="253">
        <v>476</v>
      </c>
      <c r="H41" s="253">
        <v>21648</v>
      </c>
      <c r="I41" s="253">
        <v>500</v>
      </c>
      <c r="J41" s="253"/>
      <c r="K41" s="253"/>
      <c r="L41" s="253"/>
      <c r="M41" s="253"/>
      <c r="N41" s="254"/>
    </row>
    <row r="42" spans="1:14" s="242" customFormat="1" ht="12" customHeight="1">
      <c r="A42" s="250">
        <v>681000</v>
      </c>
      <c r="B42" s="255" t="s">
        <v>247</v>
      </c>
      <c r="C42" s="252" t="s">
        <v>7</v>
      </c>
      <c r="D42" s="253">
        <v>735800</v>
      </c>
      <c r="E42" s="253">
        <f t="shared" si="1"/>
        <v>235000</v>
      </c>
      <c r="F42" s="253"/>
      <c r="G42" s="253"/>
      <c r="H42" s="253"/>
      <c r="I42" s="253"/>
      <c r="J42" s="253"/>
      <c r="K42" s="253"/>
      <c r="L42" s="253">
        <v>235000</v>
      </c>
      <c r="M42" s="253"/>
      <c r="N42" s="254"/>
    </row>
    <row r="43" spans="1:14" s="242" customFormat="1" ht="12" customHeight="1">
      <c r="A43" s="250"/>
      <c r="B43" s="255"/>
      <c r="C43" s="247" t="s">
        <v>4</v>
      </c>
      <c r="D43" s="253">
        <v>741756</v>
      </c>
      <c r="E43" s="253">
        <f t="shared" si="1"/>
        <v>271932</v>
      </c>
      <c r="F43" s="253"/>
      <c r="G43" s="253"/>
      <c r="H43" s="253">
        <v>19891</v>
      </c>
      <c r="I43" s="253"/>
      <c r="J43" s="253"/>
      <c r="K43" s="253"/>
      <c r="L43" s="253">
        <v>252041</v>
      </c>
      <c r="M43" s="253"/>
      <c r="N43" s="254"/>
    </row>
    <row r="44" spans="1:14" s="242" customFormat="1" ht="12" customHeight="1">
      <c r="A44" s="250"/>
      <c r="B44" s="255"/>
      <c r="C44" s="247" t="s">
        <v>5</v>
      </c>
      <c r="D44" s="253">
        <v>52960</v>
      </c>
      <c r="E44" s="253">
        <f t="shared" si="1"/>
        <v>262121</v>
      </c>
      <c r="F44" s="253"/>
      <c r="G44" s="253"/>
      <c r="H44" s="253">
        <v>13079</v>
      </c>
      <c r="I44" s="253"/>
      <c r="J44" s="253"/>
      <c r="K44" s="253"/>
      <c r="L44" s="253">
        <v>249042</v>
      </c>
      <c r="M44" s="253"/>
      <c r="N44" s="254"/>
    </row>
    <row r="45" spans="1:14" s="242" customFormat="1" ht="12" customHeight="1">
      <c r="A45" s="250">
        <v>682001</v>
      </c>
      <c r="B45" s="255" t="s">
        <v>248</v>
      </c>
      <c r="C45" s="252" t="s">
        <v>7</v>
      </c>
      <c r="D45" s="253">
        <v>54500</v>
      </c>
      <c r="E45" s="253">
        <f t="shared" si="1"/>
        <v>90562</v>
      </c>
      <c r="F45" s="253"/>
      <c r="G45" s="253"/>
      <c r="H45" s="253">
        <v>72687</v>
      </c>
      <c r="I45" s="253"/>
      <c r="J45" s="253"/>
      <c r="K45" s="253"/>
      <c r="L45" s="253">
        <v>17875</v>
      </c>
      <c r="M45" s="253"/>
      <c r="N45" s="254"/>
    </row>
    <row r="46" spans="1:14" s="242" customFormat="1" ht="12" customHeight="1">
      <c r="A46" s="250"/>
      <c r="B46" s="255"/>
      <c r="C46" s="247" t="s">
        <v>4</v>
      </c>
      <c r="D46" s="253">
        <v>54500</v>
      </c>
      <c r="E46" s="253">
        <f t="shared" si="1"/>
        <v>54364</v>
      </c>
      <c r="F46" s="253"/>
      <c r="G46" s="253"/>
      <c r="H46" s="253">
        <v>41989</v>
      </c>
      <c r="I46" s="253"/>
      <c r="J46" s="253"/>
      <c r="K46" s="253"/>
      <c r="L46" s="253">
        <v>12375</v>
      </c>
      <c r="M46" s="253"/>
      <c r="N46" s="254"/>
    </row>
    <row r="47" spans="1:14" s="242" customFormat="1" ht="12" customHeight="1">
      <c r="A47" s="250"/>
      <c r="B47" s="255"/>
      <c r="C47" s="247" t="s">
        <v>5</v>
      </c>
      <c r="D47" s="253">
        <v>52045</v>
      </c>
      <c r="E47" s="253">
        <f t="shared" si="1"/>
        <v>56076</v>
      </c>
      <c r="F47" s="253">
        <v>324</v>
      </c>
      <c r="G47" s="253">
        <v>79</v>
      </c>
      <c r="H47" s="253">
        <v>44799</v>
      </c>
      <c r="I47" s="253"/>
      <c r="J47" s="253"/>
      <c r="K47" s="253"/>
      <c r="L47" s="253">
        <v>10874</v>
      </c>
      <c r="M47" s="253"/>
      <c r="N47" s="254"/>
    </row>
    <row r="48" spans="1:14" s="242" customFormat="1" ht="12" customHeight="1">
      <c r="A48" s="250">
        <v>682002</v>
      </c>
      <c r="B48" s="255" t="s">
        <v>249</v>
      </c>
      <c r="C48" s="252" t="s">
        <v>7</v>
      </c>
      <c r="D48" s="253">
        <v>56368</v>
      </c>
      <c r="E48" s="253">
        <f t="shared" si="1"/>
        <v>54786</v>
      </c>
      <c r="F48" s="253"/>
      <c r="G48" s="253"/>
      <c r="H48" s="253">
        <v>4000</v>
      </c>
      <c r="I48" s="253">
        <v>2036</v>
      </c>
      <c r="J48" s="253"/>
      <c r="K48" s="253"/>
      <c r="L48" s="253">
        <v>48750</v>
      </c>
      <c r="M48" s="253"/>
      <c r="N48" s="254"/>
    </row>
    <row r="49" spans="1:14" s="242" customFormat="1" ht="12" customHeight="1">
      <c r="A49" s="250"/>
      <c r="B49" s="255"/>
      <c r="C49" s="247" t="s">
        <v>4</v>
      </c>
      <c r="D49" s="253">
        <v>55196</v>
      </c>
      <c r="E49" s="253">
        <f t="shared" si="1"/>
        <v>43812</v>
      </c>
      <c r="F49" s="253"/>
      <c r="G49" s="253"/>
      <c r="H49" s="253">
        <v>4713</v>
      </c>
      <c r="I49" s="253"/>
      <c r="J49" s="253"/>
      <c r="K49" s="253"/>
      <c r="L49" s="253">
        <v>39099</v>
      </c>
      <c r="M49" s="253"/>
      <c r="N49" s="254"/>
    </row>
    <row r="50" spans="1:14" s="242" customFormat="1" ht="12" customHeight="1">
      <c r="A50" s="250"/>
      <c r="B50" s="255"/>
      <c r="C50" s="247" t="s">
        <v>5</v>
      </c>
      <c r="D50" s="253">
        <v>43560</v>
      </c>
      <c r="E50" s="253">
        <f t="shared" si="1"/>
        <v>13593</v>
      </c>
      <c r="F50" s="253"/>
      <c r="G50" s="253"/>
      <c r="H50" s="253">
        <v>5798</v>
      </c>
      <c r="I50" s="253"/>
      <c r="J50" s="253"/>
      <c r="K50" s="253"/>
      <c r="L50" s="253">
        <v>7795</v>
      </c>
      <c r="M50" s="253"/>
      <c r="N50" s="254"/>
    </row>
    <row r="51" spans="1:14" s="242" customFormat="1" ht="12" customHeight="1">
      <c r="A51" s="250">
        <v>682002</v>
      </c>
      <c r="B51" s="255" t="s">
        <v>249</v>
      </c>
      <c r="C51" s="252" t="s">
        <v>7</v>
      </c>
      <c r="D51" s="253"/>
      <c r="E51" s="253">
        <f t="shared" si="1"/>
        <v>11620</v>
      </c>
      <c r="F51" s="259"/>
      <c r="G51" s="259"/>
      <c r="H51" s="259">
        <v>11620</v>
      </c>
      <c r="I51" s="259"/>
      <c r="J51" s="259"/>
      <c r="K51" s="259"/>
      <c r="L51" s="259"/>
      <c r="M51" s="259"/>
      <c r="N51" s="260"/>
    </row>
    <row r="52" spans="1:14" s="242" customFormat="1" ht="12" customHeight="1">
      <c r="A52" s="250"/>
      <c r="B52" s="255"/>
      <c r="C52" s="247" t="s">
        <v>4</v>
      </c>
      <c r="D52" s="253"/>
      <c r="E52" s="253">
        <f t="shared" si="1"/>
        <v>13083</v>
      </c>
      <c r="F52" s="259"/>
      <c r="G52" s="259"/>
      <c r="H52" s="259">
        <v>13083</v>
      </c>
      <c r="I52" s="259"/>
      <c r="J52" s="259"/>
      <c r="K52" s="259"/>
      <c r="L52" s="259"/>
      <c r="M52" s="259"/>
      <c r="N52" s="260"/>
    </row>
    <row r="53" spans="1:14" s="242" customFormat="1" ht="12" customHeight="1">
      <c r="A53" s="250"/>
      <c r="B53" s="255"/>
      <c r="C53" s="247" t="s">
        <v>5</v>
      </c>
      <c r="D53" s="253"/>
      <c r="E53" s="253">
        <f t="shared" si="1"/>
        <v>13126</v>
      </c>
      <c r="F53" s="259"/>
      <c r="G53" s="259"/>
      <c r="H53" s="259">
        <v>13126</v>
      </c>
      <c r="I53" s="259"/>
      <c r="J53" s="259"/>
      <c r="K53" s="259"/>
      <c r="L53" s="259"/>
      <c r="M53" s="259"/>
      <c r="N53" s="260"/>
    </row>
    <row r="54" spans="1:14" s="242" customFormat="1" ht="12" customHeight="1">
      <c r="A54" s="250">
        <v>683200</v>
      </c>
      <c r="B54" s="255" t="s">
        <v>250</v>
      </c>
      <c r="C54" s="252" t="s">
        <v>7</v>
      </c>
      <c r="D54" s="253"/>
      <c r="E54" s="253">
        <f t="shared" si="1"/>
        <v>15688</v>
      </c>
      <c r="F54" s="253"/>
      <c r="G54" s="253"/>
      <c r="H54" s="253">
        <v>15688</v>
      </c>
      <c r="I54" s="253"/>
      <c r="J54" s="253"/>
      <c r="K54" s="253"/>
      <c r="L54" s="253"/>
      <c r="M54" s="253"/>
      <c r="N54" s="254"/>
    </row>
    <row r="55" spans="1:14" s="242" customFormat="1" ht="12" customHeight="1">
      <c r="A55" s="250"/>
      <c r="B55" s="255"/>
      <c r="C55" s="247" t="s">
        <v>4</v>
      </c>
      <c r="D55" s="253"/>
      <c r="E55" s="253">
        <f t="shared" si="1"/>
        <v>4688</v>
      </c>
      <c r="F55" s="253"/>
      <c r="G55" s="253"/>
      <c r="H55" s="253">
        <v>4688</v>
      </c>
      <c r="I55" s="253"/>
      <c r="J55" s="253"/>
      <c r="K55" s="253"/>
      <c r="L55" s="253"/>
      <c r="M55" s="253"/>
      <c r="N55" s="254"/>
    </row>
    <row r="56" spans="1:14" s="242" customFormat="1" ht="12" customHeight="1">
      <c r="A56" s="250"/>
      <c r="B56" s="255"/>
      <c r="C56" s="247" t="s">
        <v>5</v>
      </c>
      <c r="D56" s="253"/>
      <c r="E56" s="253">
        <f t="shared" si="1"/>
        <v>2431</v>
      </c>
      <c r="F56" s="253"/>
      <c r="G56" s="253"/>
      <c r="H56" s="253">
        <v>2431</v>
      </c>
      <c r="I56" s="253"/>
      <c r="J56" s="253"/>
      <c r="K56" s="253"/>
      <c r="L56" s="253"/>
      <c r="M56" s="253"/>
      <c r="N56" s="254"/>
    </row>
    <row r="57" spans="1:14" s="242" customFormat="1" ht="12" customHeight="1">
      <c r="A57" s="250">
        <v>750000</v>
      </c>
      <c r="B57" s="255" t="s">
        <v>251</v>
      </c>
      <c r="C57" s="252" t="s">
        <v>7</v>
      </c>
      <c r="D57" s="253"/>
      <c r="E57" s="253">
        <f t="shared" si="1"/>
        <v>3300</v>
      </c>
      <c r="F57" s="253"/>
      <c r="G57" s="253"/>
      <c r="H57" s="253">
        <v>3000</v>
      </c>
      <c r="I57" s="253">
        <v>300</v>
      </c>
      <c r="J57" s="253"/>
      <c r="K57" s="253"/>
      <c r="L57" s="253"/>
      <c r="M57" s="253"/>
      <c r="N57" s="254"/>
    </row>
    <row r="58" spans="1:14" s="242" customFormat="1" ht="12" customHeight="1">
      <c r="A58" s="250"/>
      <c r="B58" s="255"/>
      <c r="C58" s="247" t="s">
        <v>4</v>
      </c>
      <c r="D58" s="253"/>
      <c r="E58" s="253">
        <f t="shared" si="1"/>
        <v>3300</v>
      </c>
      <c r="F58" s="253"/>
      <c r="G58" s="253"/>
      <c r="H58" s="253">
        <v>3000</v>
      </c>
      <c r="I58" s="253">
        <v>300</v>
      </c>
      <c r="J58" s="253"/>
      <c r="K58" s="253"/>
      <c r="L58" s="253"/>
      <c r="M58" s="253"/>
      <c r="N58" s="254"/>
    </row>
    <row r="59" spans="1:14" s="242" customFormat="1" ht="12" customHeight="1">
      <c r="A59" s="250"/>
      <c r="B59" s="255"/>
      <c r="C59" s="247" t="s">
        <v>5</v>
      </c>
      <c r="D59" s="253"/>
      <c r="E59" s="253">
        <f t="shared" si="1"/>
        <v>2723</v>
      </c>
      <c r="F59" s="253"/>
      <c r="G59" s="253"/>
      <c r="H59" s="253">
        <v>2423</v>
      </c>
      <c r="I59" s="253">
        <v>300</v>
      </c>
      <c r="J59" s="253"/>
      <c r="K59" s="253"/>
      <c r="L59" s="253"/>
      <c r="M59" s="253"/>
      <c r="N59" s="254"/>
    </row>
    <row r="60" spans="1:14" s="242" customFormat="1" ht="12" customHeight="1">
      <c r="A60" s="250">
        <v>771100</v>
      </c>
      <c r="B60" s="255" t="s">
        <v>252</v>
      </c>
      <c r="C60" s="252" t="s">
        <v>7</v>
      </c>
      <c r="D60" s="253"/>
      <c r="E60" s="253">
        <f t="shared" si="1"/>
        <v>0</v>
      </c>
      <c r="F60" s="259"/>
      <c r="G60" s="259"/>
      <c r="H60" s="259">
        <v>0</v>
      </c>
      <c r="I60" s="259"/>
      <c r="J60" s="259"/>
      <c r="K60" s="259"/>
      <c r="L60" s="259"/>
      <c r="M60" s="259"/>
      <c r="N60" s="260"/>
    </row>
    <row r="61" spans="1:14" s="242" customFormat="1" ht="12" customHeight="1">
      <c r="A61" s="261"/>
      <c r="B61" s="262"/>
      <c r="C61" s="263" t="s">
        <v>4</v>
      </c>
      <c r="D61" s="264"/>
      <c r="E61" s="264">
        <f t="shared" si="1"/>
        <v>0</v>
      </c>
      <c r="F61" s="265"/>
      <c r="G61" s="265"/>
      <c r="H61" s="265"/>
      <c r="I61" s="265"/>
      <c r="J61" s="265"/>
      <c r="K61" s="265"/>
      <c r="L61" s="265"/>
      <c r="M61" s="265"/>
      <c r="N61" s="266"/>
    </row>
    <row r="62" spans="1:14" s="242" customFormat="1" ht="12" customHeight="1">
      <c r="A62" s="267"/>
      <c r="B62" s="268"/>
      <c r="C62" s="269" t="s">
        <v>5</v>
      </c>
      <c r="D62" s="270"/>
      <c r="E62" s="270">
        <f t="shared" si="1"/>
        <v>0</v>
      </c>
      <c r="F62" s="271"/>
      <c r="G62" s="271"/>
      <c r="H62" s="271"/>
      <c r="I62" s="271"/>
      <c r="J62" s="271"/>
      <c r="K62" s="271"/>
      <c r="L62" s="271"/>
      <c r="M62" s="271"/>
      <c r="N62" s="272"/>
    </row>
    <row r="63" spans="1:14" s="242" customFormat="1" ht="12" customHeight="1">
      <c r="A63" s="236" t="s">
        <v>224</v>
      </c>
      <c r="B63" s="236"/>
      <c r="C63" s="236"/>
      <c r="D63" s="237" t="s">
        <v>225</v>
      </c>
      <c r="E63" s="238" t="s">
        <v>226</v>
      </c>
      <c r="F63" s="239" t="s">
        <v>227</v>
      </c>
      <c r="G63" s="239"/>
      <c r="H63" s="239"/>
      <c r="I63" s="239"/>
      <c r="J63" s="239"/>
      <c r="K63" s="239" t="s">
        <v>228</v>
      </c>
      <c r="L63" s="239"/>
      <c r="M63" s="240" t="s">
        <v>229</v>
      </c>
      <c r="N63" s="241" t="s">
        <v>53</v>
      </c>
    </row>
    <row r="64" spans="1:14" s="242" customFormat="1" ht="12" customHeight="1">
      <c r="A64" s="236"/>
      <c r="B64" s="236"/>
      <c r="C64" s="236"/>
      <c r="D64" s="237"/>
      <c r="E64" s="238"/>
      <c r="F64" s="243" t="s">
        <v>230</v>
      </c>
      <c r="G64" s="243" t="s">
        <v>231</v>
      </c>
      <c r="H64" s="243" t="s">
        <v>232</v>
      </c>
      <c r="I64" s="243" t="s">
        <v>233</v>
      </c>
      <c r="J64" s="243" t="s">
        <v>234</v>
      </c>
      <c r="K64" s="244" t="s">
        <v>40</v>
      </c>
      <c r="L64" s="244" t="s">
        <v>35</v>
      </c>
      <c r="M64" s="240"/>
      <c r="N64" s="241"/>
    </row>
    <row r="65" spans="1:14" s="242" customFormat="1" ht="39.75" customHeight="1">
      <c r="A65" s="236"/>
      <c r="B65" s="236"/>
      <c r="C65" s="236"/>
      <c r="D65" s="237"/>
      <c r="E65" s="238"/>
      <c r="F65" s="243"/>
      <c r="G65" s="243"/>
      <c r="H65" s="243"/>
      <c r="I65" s="243"/>
      <c r="J65" s="243"/>
      <c r="K65" s="244"/>
      <c r="L65" s="244"/>
      <c r="M65" s="240"/>
      <c r="N65" s="241"/>
    </row>
    <row r="66" spans="1:14" s="242" customFormat="1" ht="12" customHeight="1">
      <c r="A66" s="250">
        <v>773000</v>
      </c>
      <c r="B66" s="255" t="s">
        <v>253</v>
      </c>
      <c r="C66" s="252" t="s">
        <v>7</v>
      </c>
      <c r="D66" s="253"/>
      <c r="E66" s="253">
        <f aca="true" t="shared" si="2" ref="E66:E97">SUM(F66:N66)</f>
        <v>3640</v>
      </c>
      <c r="F66" s="259"/>
      <c r="G66" s="259"/>
      <c r="H66" s="259">
        <v>3640</v>
      </c>
      <c r="I66" s="259"/>
      <c r="J66" s="259"/>
      <c r="K66" s="259"/>
      <c r="L66" s="259"/>
      <c r="M66" s="259"/>
      <c r="N66" s="260"/>
    </row>
    <row r="67" spans="1:14" s="242" customFormat="1" ht="12" customHeight="1">
      <c r="A67" s="250"/>
      <c r="B67" s="255"/>
      <c r="C67" s="247" t="s">
        <v>4</v>
      </c>
      <c r="D67" s="253"/>
      <c r="E67" s="253">
        <f t="shared" si="2"/>
        <v>4533</v>
      </c>
      <c r="F67" s="259"/>
      <c r="G67" s="259"/>
      <c r="H67" s="259">
        <v>4533</v>
      </c>
      <c r="I67" s="259"/>
      <c r="J67" s="259"/>
      <c r="K67" s="259"/>
      <c r="L67" s="259"/>
      <c r="M67" s="259"/>
      <c r="N67" s="260"/>
    </row>
    <row r="68" spans="1:14" s="242" customFormat="1" ht="12" customHeight="1">
      <c r="A68" s="250"/>
      <c r="B68" s="255"/>
      <c r="C68" s="247" t="s">
        <v>5</v>
      </c>
      <c r="D68" s="253"/>
      <c r="E68" s="253">
        <f t="shared" si="2"/>
        <v>4533</v>
      </c>
      <c r="F68" s="259"/>
      <c r="G68" s="259"/>
      <c r="H68" s="259">
        <v>4533</v>
      </c>
      <c r="I68" s="259"/>
      <c r="J68" s="259"/>
      <c r="K68" s="259"/>
      <c r="L68" s="259"/>
      <c r="M68" s="259"/>
      <c r="N68" s="260"/>
    </row>
    <row r="69" spans="1:14" s="242" customFormat="1" ht="12" customHeight="1">
      <c r="A69" s="250">
        <v>813000</v>
      </c>
      <c r="B69" s="255" t="s">
        <v>254</v>
      </c>
      <c r="C69" s="252" t="s">
        <v>7</v>
      </c>
      <c r="D69" s="253">
        <v>1100</v>
      </c>
      <c r="E69" s="253">
        <f t="shared" si="2"/>
        <v>63000</v>
      </c>
      <c r="F69" s="253"/>
      <c r="G69" s="253"/>
      <c r="H69" s="253">
        <v>46000</v>
      </c>
      <c r="I69" s="253">
        <v>17000</v>
      </c>
      <c r="J69" s="253"/>
      <c r="K69" s="253"/>
      <c r="L69" s="253"/>
      <c r="M69" s="253"/>
      <c r="N69" s="254"/>
    </row>
    <row r="70" spans="1:14" s="242" customFormat="1" ht="12" customHeight="1">
      <c r="A70" s="250"/>
      <c r="B70" s="255"/>
      <c r="C70" s="247" t="s">
        <v>4</v>
      </c>
      <c r="D70" s="253">
        <v>1100</v>
      </c>
      <c r="E70" s="253">
        <f t="shared" si="2"/>
        <v>78289</v>
      </c>
      <c r="F70" s="253"/>
      <c r="G70" s="253"/>
      <c r="H70" s="253">
        <v>61289</v>
      </c>
      <c r="I70" s="253">
        <v>17000</v>
      </c>
      <c r="J70" s="253"/>
      <c r="K70" s="253"/>
      <c r="L70" s="253"/>
      <c r="M70" s="253"/>
      <c r="N70" s="254"/>
    </row>
    <row r="71" spans="1:14" s="242" customFormat="1" ht="12" customHeight="1">
      <c r="A71" s="250"/>
      <c r="B71" s="255"/>
      <c r="C71" s="247" t="s">
        <v>5</v>
      </c>
      <c r="D71" s="253">
        <v>281</v>
      </c>
      <c r="E71" s="253">
        <f t="shared" si="2"/>
        <v>77055</v>
      </c>
      <c r="F71" s="253"/>
      <c r="G71" s="253"/>
      <c r="H71" s="253">
        <v>60055</v>
      </c>
      <c r="I71" s="253">
        <v>17000</v>
      </c>
      <c r="J71" s="253"/>
      <c r="K71" s="253"/>
      <c r="L71" s="253"/>
      <c r="M71" s="253"/>
      <c r="N71" s="254"/>
    </row>
    <row r="72" spans="1:14" s="242" customFormat="1" ht="12" customHeight="1">
      <c r="A72" s="250">
        <v>813000</v>
      </c>
      <c r="B72" s="255" t="s">
        <v>255</v>
      </c>
      <c r="C72" s="252" t="s">
        <v>7</v>
      </c>
      <c r="D72" s="253"/>
      <c r="E72" s="253">
        <f t="shared" si="2"/>
        <v>5000</v>
      </c>
      <c r="F72" s="253"/>
      <c r="G72" s="253"/>
      <c r="H72" s="253">
        <v>5000</v>
      </c>
      <c r="I72" s="253"/>
      <c r="J72" s="253"/>
      <c r="K72" s="253"/>
      <c r="L72" s="253"/>
      <c r="M72" s="253"/>
      <c r="N72" s="254"/>
    </row>
    <row r="73" spans="1:14" s="242" customFormat="1" ht="12" customHeight="1">
      <c r="A73" s="250"/>
      <c r="B73" s="255"/>
      <c r="C73" s="247" t="s">
        <v>4</v>
      </c>
      <c r="D73" s="253"/>
      <c r="E73" s="253">
        <f t="shared" si="2"/>
        <v>15668</v>
      </c>
      <c r="F73" s="253"/>
      <c r="G73" s="253"/>
      <c r="H73" s="253">
        <v>4700</v>
      </c>
      <c r="I73" s="253"/>
      <c r="J73" s="253"/>
      <c r="K73" s="253">
        <v>546</v>
      </c>
      <c r="L73" s="253">
        <v>10422</v>
      </c>
      <c r="M73" s="253"/>
      <c r="N73" s="254"/>
    </row>
    <row r="74" spans="1:14" s="242" customFormat="1" ht="12" customHeight="1">
      <c r="A74" s="250"/>
      <c r="B74" s="255"/>
      <c r="C74" s="247" t="s">
        <v>5</v>
      </c>
      <c r="D74" s="253">
        <v>11</v>
      </c>
      <c r="E74" s="253">
        <f t="shared" si="2"/>
        <v>15302</v>
      </c>
      <c r="F74" s="253"/>
      <c r="G74" s="253"/>
      <c r="H74" s="253">
        <v>4335</v>
      </c>
      <c r="I74" s="253"/>
      <c r="J74" s="253"/>
      <c r="K74" s="253">
        <v>545</v>
      </c>
      <c r="L74" s="253">
        <v>10422</v>
      </c>
      <c r="M74" s="253"/>
      <c r="N74" s="254"/>
    </row>
    <row r="75" spans="1:14" s="242" customFormat="1" ht="12" customHeight="1">
      <c r="A75" s="250">
        <v>821900</v>
      </c>
      <c r="B75" s="255" t="s">
        <v>256</v>
      </c>
      <c r="C75" s="252" t="s">
        <v>7</v>
      </c>
      <c r="D75" s="253"/>
      <c r="E75" s="253">
        <f t="shared" si="2"/>
        <v>2500</v>
      </c>
      <c r="F75" s="259"/>
      <c r="G75" s="259"/>
      <c r="H75" s="259">
        <v>2500</v>
      </c>
      <c r="I75" s="259"/>
      <c r="J75" s="259"/>
      <c r="K75" s="259"/>
      <c r="L75" s="259"/>
      <c r="M75" s="259"/>
      <c r="N75" s="260"/>
    </row>
    <row r="76" spans="1:14" s="242" customFormat="1" ht="12" customHeight="1">
      <c r="A76" s="250"/>
      <c r="B76" s="255"/>
      <c r="C76" s="247" t="s">
        <v>4</v>
      </c>
      <c r="D76" s="253"/>
      <c r="E76" s="253">
        <f t="shared" si="2"/>
        <v>4185</v>
      </c>
      <c r="F76" s="259"/>
      <c r="G76" s="259"/>
      <c r="H76" s="259">
        <v>4185</v>
      </c>
      <c r="I76" s="259"/>
      <c r="J76" s="259"/>
      <c r="K76" s="259"/>
      <c r="L76" s="259"/>
      <c r="M76" s="259"/>
      <c r="N76" s="260"/>
    </row>
    <row r="77" spans="1:14" s="242" customFormat="1" ht="12" customHeight="1">
      <c r="A77" s="250"/>
      <c r="B77" s="255"/>
      <c r="C77" s="247" t="s">
        <v>5</v>
      </c>
      <c r="D77" s="253"/>
      <c r="E77" s="253">
        <f t="shared" si="2"/>
        <v>4184</v>
      </c>
      <c r="F77" s="259"/>
      <c r="G77" s="259"/>
      <c r="H77" s="259">
        <v>4184</v>
      </c>
      <c r="I77" s="259"/>
      <c r="J77" s="259"/>
      <c r="K77" s="259"/>
      <c r="L77" s="259"/>
      <c r="M77" s="259"/>
      <c r="N77" s="260"/>
    </row>
    <row r="78" spans="1:14" s="242" customFormat="1" ht="12" customHeight="1">
      <c r="A78" s="250">
        <v>841112</v>
      </c>
      <c r="B78" s="255" t="s">
        <v>257</v>
      </c>
      <c r="C78" s="252" t="s">
        <v>7</v>
      </c>
      <c r="D78" s="253"/>
      <c r="E78" s="253">
        <f t="shared" si="2"/>
        <v>72554</v>
      </c>
      <c r="F78" s="259">
        <v>57968</v>
      </c>
      <c r="G78" s="259">
        <v>14470</v>
      </c>
      <c r="H78" s="259">
        <v>116</v>
      </c>
      <c r="I78" s="259"/>
      <c r="J78" s="259"/>
      <c r="K78" s="259"/>
      <c r="L78" s="259"/>
      <c r="M78" s="259"/>
      <c r="N78" s="260"/>
    </row>
    <row r="79" spans="1:14" s="242" customFormat="1" ht="12" customHeight="1">
      <c r="A79" s="250"/>
      <c r="B79" s="255"/>
      <c r="C79" s="247" t="s">
        <v>4</v>
      </c>
      <c r="D79" s="253"/>
      <c r="E79" s="253">
        <f t="shared" si="2"/>
        <v>71302</v>
      </c>
      <c r="F79" s="259">
        <v>56716</v>
      </c>
      <c r="G79" s="259">
        <v>14470</v>
      </c>
      <c r="H79" s="259">
        <v>116</v>
      </c>
      <c r="I79" s="259"/>
      <c r="J79" s="259"/>
      <c r="K79" s="259"/>
      <c r="L79" s="259"/>
      <c r="M79" s="259"/>
      <c r="N79" s="260"/>
    </row>
    <row r="80" spans="1:14" s="242" customFormat="1" ht="12" customHeight="1">
      <c r="A80" s="250"/>
      <c r="B80" s="255"/>
      <c r="C80" s="247" t="s">
        <v>5</v>
      </c>
      <c r="D80" s="253">
        <v>30</v>
      </c>
      <c r="E80" s="253">
        <f t="shared" si="2"/>
        <v>62435</v>
      </c>
      <c r="F80" s="259">
        <v>49056</v>
      </c>
      <c r="G80" s="259">
        <v>12871</v>
      </c>
      <c r="H80" s="259">
        <v>508</v>
      </c>
      <c r="I80" s="259"/>
      <c r="J80" s="259"/>
      <c r="K80" s="259"/>
      <c r="L80" s="259"/>
      <c r="M80" s="259"/>
      <c r="N80" s="260"/>
    </row>
    <row r="81" spans="1:14" s="242" customFormat="1" ht="12" customHeight="1">
      <c r="A81" s="250">
        <v>841114</v>
      </c>
      <c r="B81" s="255" t="s">
        <v>258</v>
      </c>
      <c r="C81" s="252" t="s">
        <v>7</v>
      </c>
      <c r="D81" s="253"/>
      <c r="E81" s="253">
        <f t="shared" si="2"/>
        <v>0</v>
      </c>
      <c r="F81" s="259"/>
      <c r="G81" s="259"/>
      <c r="H81" s="259"/>
      <c r="I81" s="259"/>
      <c r="J81" s="259"/>
      <c r="K81" s="259"/>
      <c r="L81" s="259"/>
      <c r="M81" s="259"/>
      <c r="N81" s="260"/>
    </row>
    <row r="82" spans="1:14" s="242" customFormat="1" ht="12" customHeight="1">
      <c r="A82" s="250"/>
      <c r="B82" s="255"/>
      <c r="C82" s="247" t="s">
        <v>4</v>
      </c>
      <c r="D82" s="253">
        <v>4884</v>
      </c>
      <c r="E82" s="253">
        <f t="shared" si="2"/>
        <v>4884</v>
      </c>
      <c r="F82" s="259">
        <v>2175</v>
      </c>
      <c r="G82" s="259">
        <v>563</v>
      </c>
      <c r="H82" s="259">
        <v>2130</v>
      </c>
      <c r="I82" s="259">
        <v>16</v>
      </c>
      <c r="J82" s="259"/>
      <c r="K82" s="259"/>
      <c r="L82" s="259"/>
      <c r="M82" s="259"/>
      <c r="N82" s="260"/>
    </row>
    <row r="83" spans="1:14" s="242" customFormat="1" ht="12" customHeight="1">
      <c r="A83" s="250"/>
      <c r="B83" s="255"/>
      <c r="C83" s="247" t="s">
        <v>5</v>
      </c>
      <c r="D83" s="253">
        <v>4884</v>
      </c>
      <c r="E83" s="253">
        <f t="shared" si="2"/>
        <v>4884</v>
      </c>
      <c r="F83" s="259">
        <v>2175</v>
      </c>
      <c r="G83" s="259">
        <v>563</v>
      </c>
      <c r="H83" s="259">
        <v>2130</v>
      </c>
      <c r="I83" s="259">
        <v>16</v>
      </c>
      <c r="J83" s="259"/>
      <c r="K83" s="259"/>
      <c r="L83" s="259"/>
      <c r="M83" s="259"/>
      <c r="N83" s="260"/>
    </row>
    <row r="84" spans="1:14" s="242" customFormat="1" ht="12" customHeight="1">
      <c r="A84" s="250">
        <v>841115</v>
      </c>
      <c r="B84" s="255" t="s">
        <v>259</v>
      </c>
      <c r="C84" s="252" t="s">
        <v>7</v>
      </c>
      <c r="D84" s="253"/>
      <c r="E84" s="253">
        <f t="shared" si="2"/>
        <v>0</v>
      </c>
      <c r="F84" s="259"/>
      <c r="G84" s="259"/>
      <c r="H84" s="259"/>
      <c r="I84" s="259"/>
      <c r="J84" s="259"/>
      <c r="K84" s="259"/>
      <c r="L84" s="259"/>
      <c r="M84" s="259"/>
      <c r="N84" s="260"/>
    </row>
    <row r="85" spans="1:14" s="242" customFormat="1" ht="12" customHeight="1">
      <c r="A85" s="250"/>
      <c r="B85" s="255"/>
      <c r="C85" s="247" t="s">
        <v>4</v>
      </c>
      <c r="D85" s="253">
        <v>4507</v>
      </c>
      <c r="E85" s="253">
        <f t="shared" si="2"/>
        <v>4507</v>
      </c>
      <c r="F85" s="259">
        <v>2295</v>
      </c>
      <c r="G85" s="259">
        <v>600</v>
      </c>
      <c r="H85" s="259">
        <v>1575</v>
      </c>
      <c r="I85" s="259">
        <v>37</v>
      </c>
      <c r="J85" s="259"/>
      <c r="K85" s="259"/>
      <c r="L85" s="259"/>
      <c r="M85" s="259"/>
      <c r="N85" s="260"/>
    </row>
    <row r="86" spans="1:14" s="242" customFormat="1" ht="12" customHeight="1">
      <c r="A86" s="250"/>
      <c r="B86" s="255"/>
      <c r="C86" s="247" t="s">
        <v>5</v>
      </c>
      <c r="D86" s="253">
        <v>4507</v>
      </c>
      <c r="E86" s="253">
        <f t="shared" si="2"/>
        <v>4507</v>
      </c>
      <c r="F86" s="259">
        <v>2295</v>
      </c>
      <c r="G86" s="259">
        <v>600</v>
      </c>
      <c r="H86" s="259">
        <v>1575</v>
      </c>
      <c r="I86" s="259">
        <v>37</v>
      </c>
      <c r="J86" s="259"/>
      <c r="K86" s="259"/>
      <c r="L86" s="259"/>
      <c r="M86" s="259"/>
      <c r="N86" s="260"/>
    </row>
    <row r="87" spans="1:14" s="242" customFormat="1" ht="12" customHeight="1">
      <c r="A87" s="250">
        <v>841116</v>
      </c>
      <c r="B87" s="255" t="s">
        <v>260</v>
      </c>
      <c r="C87" s="252" t="s">
        <v>7</v>
      </c>
      <c r="D87" s="253"/>
      <c r="E87" s="253">
        <f t="shared" si="2"/>
        <v>0</v>
      </c>
      <c r="F87" s="259"/>
      <c r="G87" s="259"/>
      <c r="H87" s="259"/>
      <c r="I87" s="259"/>
      <c r="J87" s="259"/>
      <c r="K87" s="259"/>
      <c r="L87" s="259"/>
      <c r="M87" s="259"/>
      <c r="N87" s="260"/>
    </row>
    <row r="88" spans="1:14" s="242" customFormat="1" ht="12" customHeight="1">
      <c r="A88" s="250"/>
      <c r="B88" s="255"/>
      <c r="C88" s="247" t="s">
        <v>4</v>
      </c>
      <c r="D88" s="253">
        <v>1041</v>
      </c>
      <c r="E88" s="253">
        <f t="shared" si="2"/>
        <v>1041</v>
      </c>
      <c r="F88" s="259">
        <v>90</v>
      </c>
      <c r="G88" s="259">
        <v>24</v>
      </c>
      <c r="H88" s="259">
        <v>927</v>
      </c>
      <c r="I88" s="259"/>
      <c r="J88" s="259"/>
      <c r="K88" s="259"/>
      <c r="L88" s="259"/>
      <c r="M88" s="259"/>
      <c r="N88" s="260"/>
    </row>
    <row r="89" spans="1:14" s="242" customFormat="1" ht="12" customHeight="1">
      <c r="A89" s="250"/>
      <c r="B89" s="255"/>
      <c r="C89" s="247" t="s">
        <v>5</v>
      </c>
      <c r="D89" s="253">
        <v>1041</v>
      </c>
      <c r="E89" s="253">
        <f t="shared" si="2"/>
        <v>1041</v>
      </c>
      <c r="F89" s="259">
        <v>90</v>
      </c>
      <c r="G89" s="259">
        <v>24</v>
      </c>
      <c r="H89" s="259">
        <v>927</v>
      </c>
      <c r="I89" s="259"/>
      <c r="J89" s="259"/>
      <c r="K89" s="259"/>
      <c r="L89" s="259"/>
      <c r="M89" s="259"/>
      <c r="N89" s="260"/>
    </row>
    <row r="90" spans="1:14" s="242" customFormat="1" ht="12" customHeight="1">
      <c r="A90" s="250">
        <v>841126</v>
      </c>
      <c r="B90" s="255" t="s">
        <v>261</v>
      </c>
      <c r="C90" s="252" t="s">
        <v>7</v>
      </c>
      <c r="D90" s="253">
        <v>218997</v>
      </c>
      <c r="E90" s="253">
        <f t="shared" si="2"/>
        <v>873920</v>
      </c>
      <c r="F90" s="259">
        <v>345239</v>
      </c>
      <c r="G90" s="259">
        <v>88745</v>
      </c>
      <c r="H90" s="259">
        <v>211850</v>
      </c>
      <c r="I90" s="259">
        <v>5981</v>
      </c>
      <c r="J90" s="259"/>
      <c r="K90" s="259"/>
      <c r="L90" s="259">
        <v>42105</v>
      </c>
      <c r="M90" s="259"/>
      <c r="N90" s="260">
        <v>180000</v>
      </c>
    </row>
    <row r="91" spans="1:14" s="242" customFormat="1" ht="12" customHeight="1">
      <c r="A91" s="250"/>
      <c r="B91" s="255"/>
      <c r="C91" s="247" t="s">
        <v>4</v>
      </c>
      <c r="D91" s="253">
        <v>220461</v>
      </c>
      <c r="E91" s="253">
        <f t="shared" si="2"/>
        <v>704406</v>
      </c>
      <c r="F91" s="259">
        <v>353825</v>
      </c>
      <c r="G91" s="259">
        <v>91130</v>
      </c>
      <c r="H91" s="259">
        <v>228054</v>
      </c>
      <c r="I91" s="259">
        <v>5981</v>
      </c>
      <c r="J91" s="259"/>
      <c r="K91" s="259"/>
      <c r="L91" s="259">
        <v>25416</v>
      </c>
      <c r="M91" s="259"/>
      <c r="N91" s="260"/>
    </row>
    <row r="92" spans="1:14" s="242" customFormat="1" ht="12" customHeight="1">
      <c r="A92" s="250"/>
      <c r="B92" s="255"/>
      <c r="C92" s="247" t="s">
        <v>5</v>
      </c>
      <c r="D92" s="253">
        <v>233425</v>
      </c>
      <c r="E92" s="253">
        <f t="shared" si="2"/>
        <v>659719</v>
      </c>
      <c r="F92" s="259">
        <v>353209</v>
      </c>
      <c r="G92" s="259">
        <v>91193</v>
      </c>
      <c r="H92" s="259">
        <v>204425</v>
      </c>
      <c r="I92" s="259">
        <v>5981</v>
      </c>
      <c r="J92" s="259">
        <v>55</v>
      </c>
      <c r="K92" s="259"/>
      <c r="L92" s="259">
        <v>4856</v>
      </c>
      <c r="M92" s="259"/>
      <c r="N92" s="260"/>
    </row>
    <row r="93" spans="1:14" s="242" customFormat="1" ht="12" customHeight="1">
      <c r="A93" s="250">
        <v>841126</v>
      </c>
      <c r="B93" s="255" t="s">
        <v>262</v>
      </c>
      <c r="C93" s="252" t="s">
        <v>7</v>
      </c>
      <c r="D93" s="253">
        <v>1850000</v>
      </c>
      <c r="E93" s="253">
        <f t="shared" si="2"/>
        <v>0</v>
      </c>
      <c r="F93" s="259"/>
      <c r="G93" s="259"/>
      <c r="H93" s="259"/>
      <c r="I93" s="259"/>
      <c r="J93" s="259"/>
      <c r="K93" s="259"/>
      <c r="L93" s="259"/>
      <c r="M93" s="259"/>
      <c r="N93" s="260"/>
    </row>
    <row r="94" spans="1:14" s="242" customFormat="1" ht="12" customHeight="1">
      <c r="A94" s="250"/>
      <c r="B94" s="255"/>
      <c r="C94" s="247" t="s">
        <v>4</v>
      </c>
      <c r="D94" s="253">
        <v>2432944</v>
      </c>
      <c r="E94" s="253">
        <f t="shared" si="2"/>
        <v>0</v>
      </c>
      <c r="F94" s="259"/>
      <c r="G94" s="259"/>
      <c r="H94" s="259"/>
      <c r="I94" s="259"/>
      <c r="J94" s="259"/>
      <c r="K94" s="259"/>
      <c r="L94" s="259"/>
      <c r="M94" s="259"/>
      <c r="N94" s="260"/>
    </row>
    <row r="95" spans="1:14" s="242" customFormat="1" ht="12" customHeight="1">
      <c r="A95" s="250"/>
      <c r="B95" s="255"/>
      <c r="C95" s="247" t="s">
        <v>5</v>
      </c>
      <c r="D95" s="253">
        <v>2445845</v>
      </c>
      <c r="E95" s="253">
        <f t="shared" si="2"/>
        <v>0</v>
      </c>
      <c r="F95" s="259"/>
      <c r="G95" s="259"/>
      <c r="H95" s="259"/>
      <c r="I95" s="259"/>
      <c r="J95" s="259"/>
      <c r="K95" s="259"/>
      <c r="L95" s="259"/>
      <c r="M95" s="259"/>
      <c r="N95" s="260"/>
    </row>
    <row r="96" spans="1:14" s="242" customFormat="1" ht="12" customHeight="1">
      <c r="A96" s="250">
        <v>841126</v>
      </c>
      <c r="B96" s="255" t="s">
        <v>263</v>
      </c>
      <c r="C96" s="252" t="s">
        <v>7</v>
      </c>
      <c r="D96" s="253"/>
      <c r="E96" s="253">
        <f t="shared" si="2"/>
        <v>0</v>
      </c>
      <c r="F96" s="259"/>
      <c r="G96" s="259"/>
      <c r="H96" s="259"/>
      <c r="I96" s="259"/>
      <c r="J96" s="259"/>
      <c r="K96" s="259"/>
      <c r="L96" s="259"/>
      <c r="M96" s="259"/>
      <c r="N96" s="260"/>
    </row>
    <row r="97" spans="1:14" s="242" customFormat="1" ht="12" customHeight="1">
      <c r="A97" s="250"/>
      <c r="B97" s="255"/>
      <c r="C97" s="247" t="s">
        <v>4</v>
      </c>
      <c r="D97" s="253"/>
      <c r="E97" s="253">
        <f t="shared" si="2"/>
        <v>313</v>
      </c>
      <c r="F97" s="259"/>
      <c r="G97" s="259"/>
      <c r="H97" s="259"/>
      <c r="I97" s="259"/>
      <c r="J97" s="259"/>
      <c r="K97" s="259"/>
      <c r="L97" s="259"/>
      <c r="M97" s="259"/>
      <c r="N97" s="260">
        <v>313</v>
      </c>
    </row>
    <row r="98" spans="1:14" s="242" customFormat="1" ht="12" customHeight="1">
      <c r="A98" s="250"/>
      <c r="B98" s="255"/>
      <c r="C98" s="247" t="s">
        <v>5</v>
      </c>
      <c r="D98" s="253"/>
      <c r="E98" s="253">
        <f aca="true" t="shared" si="3" ref="E98:E125">SUM(F98:N98)</f>
        <v>0</v>
      </c>
      <c r="F98" s="259"/>
      <c r="G98" s="259"/>
      <c r="H98" s="259"/>
      <c r="I98" s="259"/>
      <c r="J98" s="259"/>
      <c r="K98" s="259"/>
      <c r="L98" s="259"/>
      <c r="M98" s="259"/>
      <c r="N98" s="260"/>
    </row>
    <row r="99" spans="1:14" s="242" customFormat="1" ht="12" customHeight="1">
      <c r="A99" s="250">
        <v>841126</v>
      </c>
      <c r="B99" s="255" t="s">
        <v>264</v>
      </c>
      <c r="C99" s="252" t="s">
        <v>7</v>
      </c>
      <c r="D99" s="253"/>
      <c r="E99" s="253">
        <f t="shared" si="3"/>
        <v>0</v>
      </c>
      <c r="F99" s="259"/>
      <c r="G99" s="259"/>
      <c r="H99" s="259"/>
      <c r="I99" s="259"/>
      <c r="J99" s="259"/>
      <c r="K99" s="259"/>
      <c r="L99" s="259"/>
      <c r="M99" s="259"/>
      <c r="N99" s="260"/>
    </row>
    <row r="100" spans="1:14" s="242" customFormat="1" ht="12" customHeight="1">
      <c r="A100" s="250"/>
      <c r="B100" s="255"/>
      <c r="C100" s="247" t="s">
        <v>4</v>
      </c>
      <c r="D100" s="253"/>
      <c r="E100" s="253">
        <f t="shared" si="3"/>
        <v>22194</v>
      </c>
      <c r="F100" s="259"/>
      <c r="G100" s="259"/>
      <c r="H100" s="259"/>
      <c r="I100" s="259"/>
      <c r="J100" s="259"/>
      <c r="K100" s="259"/>
      <c r="L100" s="259"/>
      <c r="M100" s="259"/>
      <c r="N100" s="260">
        <v>22194</v>
      </c>
    </row>
    <row r="101" spans="1:14" s="242" customFormat="1" ht="12" customHeight="1">
      <c r="A101" s="250"/>
      <c r="B101" s="255"/>
      <c r="C101" s="247" t="s">
        <v>5</v>
      </c>
      <c r="D101" s="253"/>
      <c r="E101" s="253">
        <f t="shared" si="3"/>
        <v>0</v>
      </c>
      <c r="F101" s="259"/>
      <c r="G101" s="259"/>
      <c r="H101" s="259"/>
      <c r="I101" s="259"/>
      <c r="J101" s="259"/>
      <c r="K101" s="259"/>
      <c r="L101" s="259"/>
      <c r="M101" s="259"/>
      <c r="N101" s="260"/>
    </row>
    <row r="102" spans="1:14" s="242" customFormat="1" ht="12" customHeight="1">
      <c r="A102" s="250">
        <v>841126</v>
      </c>
      <c r="B102" s="255" t="s">
        <v>265</v>
      </c>
      <c r="C102" s="252" t="s">
        <v>7</v>
      </c>
      <c r="D102" s="253"/>
      <c r="E102" s="253">
        <f t="shared" si="3"/>
        <v>0</v>
      </c>
      <c r="F102" s="259"/>
      <c r="G102" s="259"/>
      <c r="H102" s="259"/>
      <c r="I102" s="259"/>
      <c r="J102" s="259"/>
      <c r="K102" s="259"/>
      <c r="L102" s="259"/>
      <c r="M102" s="259"/>
      <c r="N102" s="260"/>
    </row>
    <row r="103" spans="1:14" s="242" customFormat="1" ht="12" customHeight="1">
      <c r="A103" s="273"/>
      <c r="B103" s="246"/>
      <c r="C103" s="247" t="s">
        <v>4</v>
      </c>
      <c r="D103" s="248"/>
      <c r="E103" s="253">
        <f t="shared" si="3"/>
        <v>18</v>
      </c>
      <c r="F103" s="274"/>
      <c r="G103" s="274"/>
      <c r="H103" s="274"/>
      <c r="I103" s="274"/>
      <c r="J103" s="274"/>
      <c r="K103" s="274"/>
      <c r="L103" s="274"/>
      <c r="M103" s="274"/>
      <c r="N103" s="275">
        <v>18</v>
      </c>
    </row>
    <row r="104" spans="1:14" s="242" customFormat="1" ht="12" customHeight="1">
      <c r="A104" s="273"/>
      <c r="B104" s="246"/>
      <c r="C104" s="247" t="s">
        <v>5</v>
      </c>
      <c r="D104" s="248"/>
      <c r="E104" s="253">
        <f t="shared" si="3"/>
        <v>0</v>
      </c>
      <c r="F104" s="274"/>
      <c r="G104" s="274"/>
      <c r="H104" s="274"/>
      <c r="I104" s="274"/>
      <c r="J104" s="274"/>
      <c r="K104" s="274"/>
      <c r="L104" s="274"/>
      <c r="M104" s="274"/>
      <c r="N104" s="275"/>
    </row>
    <row r="105" spans="1:14" s="242" customFormat="1" ht="12" customHeight="1">
      <c r="A105" s="273">
        <v>841126</v>
      </c>
      <c r="B105" s="246" t="s">
        <v>266</v>
      </c>
      <c r="C105" s="247" t="s">
        <v>7</v>
      </c>
      <c r="D105" s="248"/>
      <c r="E105" s="248">
        <f t="shared" si="3"/>
        <v>0</v>
      </c>
      <c r="F105" s="274"/>
      <c r="G105" s="274"/>
      <c r="H105" s="274"/>
      <c r="I105" s="274"/>
      <c r="J105" s="274"/>
      <c r="K105" s="274"/>
      <c r="L105" s="274"/>
      <c r="M105" s="274"/>
      <c r="N105" s="275"/>
    </row>
    <row r="106" spans="1:14" s="242" customFormat="1" ht="12" customHeight="1">
      <c r="A106" s="250"/>
      <c r="B106" s="255"/>
      <c r="C106" s="247" t="s">
        <v>4</v>
      </c>
      <c r="D106" s="253"/>
      <c r="E106" s="253">
        <f t="shared" si="3"/>
        <v>30771</v>
      </c>
      <c r="F106" s="259"/>
      <c r="G106" s="259"/>
      <c r="H106" s="259"/>
      <c r="I106" s="259"/>
      <c r="J106" s="259"/>
      <c r="K106" s="259"/>
      <c r="L106" s="259"/>
      <c r="M106" s="259"/>
      <c r="N106" s="260">
        <v>30771</v>
      </c>
    </row>
    <row r="107" spans="1:14" s="242" customFormat="1" ht="12" customHeight="1">
      <c r="A107" s="250"/>
      <c r="B107" s="255"/>
      <c r="C107" s="247" t="s">
        <v>5</v>
      </c>
      <c r="D107" s="253"/>
      <c r="E107" s="253">
        <f t="shared" si="3"/>
        <v>0</v>
      </c>
      <c r="F107" s="259"/>
      <c r="G107" s="259"/>
      <c r="H107" s="259"/>
      <c r="I107" s="259"/>
      <c r="J107" s="259"/>
      <c r="K107" s="259"/>
      <c r="L107" s="259"/>
      <c r="M107" s="259"/>
      <c r="N107" s="260"/>
    </row>
    <row r="108" spans="1:14" s="242" customFormat="1" ht="12" customHeight="1">
      <c r="A108" s="250">
        <v>841191</v>
      </c>
      <c r="B108" s="255" t="s">
        <v>267</v>
      </c>
      <c r="C108" s="252" t="s">
        <v>7</v>
      </c>
      <c r="D108" s="253"/>
      <c r="E108" s="253">
        <f t="shared" si="3"/>
        <v>2800</v>
      </c>
      <c r="F108" s="259"/>
      <c r="G108" s="259"/>
      <c r="H108" s="259">
        <v>2800</v>
      </c>
      <c r="I108" s="259"/>
      <c r="J108" s="259"/>
      <c r="K108" s="259"/>
      <c r="L108" s="259"/>
      <c r="M108" s="259"/>
      <c r="N108" s="260"/>
    </row>
    <row r="109" spans="1:14" s="242" customFormat="1" ht="12" customHeight="1">
      <c r="A109" s="250"/>
      <c r="B109" s="255"/>
      <c r="C109" s="247" t="s">
        <v>4</v>
      </c>
      <c r="D109" s="253"/>
      <c r="E109" s="253">
        <f t="shared" si="3"/>
        <v>2900</v>
      </c>
      <c r="F109" s="259"/>
      <c r="G109" s="259"/>
      <c r="H109" s="259">
        <v>2800</v>
      </c>
      <c r="I109" s="259">
        <v>100</v>
      </c>
      <c r="J109" s="259"/>
      <c r="K109" s="259"/>
      <c r="L109" s="259"/>
      <c r="M109" s="259"/>
      <c r="N109" s="260"/>
    </row>
    <row r="110" spans="1:14" s="242" customFormat="1" ht="12" customHeight="1">
      <c r="A110" s="250"/>
      <c r="B110" s="255"/>
      <c r="C110" s="247" t="s">
        <v>5</v>
      </c>
      <c r="D110" s="253"/>
      <c r="E110" s="253">
        <f t="shared" si="3"/>
        <v>2442</v>
      </c>
      <c r="F110" s="259"/>
      <c r="G110" s="259"/>
      <c r="H110" s="259">
        <v>2342</v>
      </c>
      <c r="I110" s="259">
        <v>100</v>
      </c>
      <c r="J110" s="259"/>
      <c r="K110" s="259"/>
      <c r="L110" s="259"/>
      <c r="M110" s="259"/>
      <c r="N110" s="260"/>
    </row>
    <row r="111" spans="1:14" s="242" customFormat="1" ht="12" customHeight="1">
      <c r="A111" s="250">
        <v>841192</v>
      </c>
      <c r="B111" s="255" t="s">
        <v>268</v>
      </c>
      <c r="C111" s="252" t="s">
        <v>7</v>
      </c>
      <c r="D111" s="253">
        <v>1500</v>
      </c>
      <c r="E111" s="253">
        <f t="shared" si="3"/>
        <v>1000</v>
      </c>
      <c r="F111" s="259"/>
      <c r="G111" s="259"/>
      <c r="H111" s="259"/>
      <c r="I111" s="259">
        <v>1000</v>
      </c>
      <c r="J111" s="259"/>
      <c r="K111" s="259"/>
      <c r="L111" s="259"/>
      <c r="M111" s="276"/>
      <c r="N111" s="260"/>
    </row>
    <row r="112" spans="1:14" s="242" customFormat="1" ht="12" customHeight="1">
      <c r="A112" s="250"/>
      <c r="B112" s="255"/>
      <c r="C112" s="247" t="s">
        <v>4</v>
      </c>
      <c r="D112" s="253">
        <v>1500</v>
      </c>
      <c r="E112" s="253">
        <f t="shared" si="3"/>
        <v>3900</v>
      </c>
      <c r="F112" s="259"/>
      <c r="G112" s="259"/>
      <c r="H112" s="259">
        <v>3900</v>
      </c>
      <c r="I112" s="259"/>
      <c r="J112" s="259"/>
      <c r="K112" s="259"/>
      <c r="L112" s="259"/>
      <c r="M112" s="276"/>
      <c r="N112" s="260"/>
    </row>
    <row r="113" spans="1:14" s="242" customFormat="1" ht="12" customHeight="1">
      <c r="A113" s="250"/>
      <c r="B113" s="255"/>
      <c r="C113" s="247" t="s">
        <v>5</v>
      </c>
      <c r="D113" s="253">
        <v>1088</v>
      </c>
      <c r="E113" s="253">
        <f t="shared" si="3"/>
        <v>4350</v>
      </c>
      <c r="F113" s="259"/>
      <c r="G113" s="259"/>
      <c r="H113" s="259">
        <v>4350</v>
      </c>
      <c r="I113" s="259"/>
      <c r="J113" s="259"/>
      <c r="K113" s="259"/>
      <c r="L113" s="259"/>
      <c r="M113" s="276"/>
      <c r="N113" s="260"/>
    </row>
    <row r="114" spans="1:14" s="242" customFormat="1" ht="12" customHeight="1">
      <c r="A114" s="250">
        <v>841192</v>
      </c>
      <c r="B114" s="255" t="s">
        <v>269</v>
      </c>
      <c r="C114" s="252" t="s">
        <v>7</v>
      </c>
      <c r="D114" s="253"/>
      <c r="E114" s="253">
        <f t="shared" si="3"/>
        <v>5080</v>
      </c>
      <c r="F114" s="259">
        <v>4000</v>
      </c>
      <c r="G114" s="259">
        <v>1080</v>
      </c>
      <c r="H114" s="259"/>
      <c r="I114" s="259"/>
      <c r="J114" s="259"/>
      <c r="K114" s="259"/>
      <c r="L114" s="259"/>
      <c r="M114" s="276"/>
      <c r="N114" s="260"/>
    </row>
    <row r="115" spans="1:14" s="242" customFormat="1" ht="12" customHeight="1">
      <c r="A115" s="273"/>
      <c r="B115" s="246"/>
      <c r="C115" s="247" t="s">
        <v>4</v>
      </c>
      <c r="D115" s="248"/>
      <c r="E115" s="253">
        <f t="shared" si="3"/>
        <v>5080</v>
      </c>
      <c r="F115" s="274">
        <v>3807</v>
      </c>
      <c r="G115" s="274">
        <v>1080</v>
      </c>
      <c r="H115" s="274"/>
      <c r="I115" s="274">
        <v>193</v>
      </c>
      <c r="J115" s="274"/>
      <c r="K115" s="274"/>
      <c r="L115" s="274"/>
      <c r="M115" s="277"/>
      <c r="N115" s="275"/>
    </row>
    <row r="116" spans="1:14" s="242" customFormat="1" ht="12" customHeight="1">
      <c r="A116" s="273"/>
      <c r="B116" s="246"/>
      <c r="C116" s="247" t="s">
        <v>5</v>
      </c>
      <c r="D116" s="248"/>
      <c r="E116" s="253">
        <f t="shared" si="3"/>
        <v>1142</v>
      </c>
      <c r="F116" s="274">
        <v>749</v>
      </c>
      <c r="G116" s="274">
        <v>200</v>
      </c>
      <c r="H116" s="274"/>
      <c r="I116" s="274">
        <v>193</v>
      </c>
      <c r="J116" s="274"/>
      <c r="K116" s="274"/>
      <c r="L116" s="274"/>
      <c r="M116" s="277"/>
      <c r="N116" s="275"/>
    </row>
    <row r="117" spans="1:14" s="242" customFormat="1" ht="12" customHeight="1">
      <c r="A117" s="273">
        <v>841192</v>
      </c>
      <c r="B117" s="246" t="s">
        <v>270</v>
      </c>
      <c r="C117" s="247" t="s">
        <v>7</v>
      </c>
      <c r="D117" s="248"/>
      <c r="E117" s="248">
        <f t="shared" si="3"/>
        <v>15950</v>
      </c>
      <c r="F117" s="274"/>
      <c r="G117" s="274"/>
      <c r="H117" s="274">
        <v>12950</v>
      </c>
      <c r="I117" s="274"/>
      <c r="J117" s="274"/>
      <c r="K117" s="274"/>
      <c r="L117" s="274">
        <v>3000</v>
      </c>
      <c r="M117" s="274"/>
      <c r="N117" s="275"/>
    </row>
    <row r="118" spans="1:14" s="242" customFormat="1" ht="12" customHeight="1">
      <c r="A118" s="250"/>
      <c r="B118" s="255"/>
      <c r="C118" s="247" t="s">
        <v>4</v>
      </c>
      <c r="D118" s="253"/>
      <c r="E118" s="253">
        <f t="shared" si="3"/>
        <v>18450</v>
      </c>
      <c r="F118" s="259"/>
      <c r="G118" s="259"/>
      <c r="H118" s="259">
        <v>12950</v>
      </c>
      <c r="I118" s="259"/>
      <c r="J118" s="259"/>
      <c r="K118" s="259"/>
      <c r="L118" s="259">
        <v>5500</v>
      </c>
      <c r="M118" s="259"/>
      <c r="N118" s="260"/>
    </row>
    <row r="119" spans="1:14" s="242" customFormat="1" ht="12" customHeight="1">
      <c r="A119" s="250"/>
      <c r="B119" s="255"/>
      <c r="C119" s="247" t="s">
        <v>5</v>
      </c>
      <c r="D119" s="253"/>
      <c r="E119" s="253">
        <f t="shared" si="3"/>
        <v>17513</v>
      </c>
      <c r="F119" s="259"/>
      <c r="G119" s="259"/>
      <c r="H119" s="259">
        <v>12539</v>
      </c>
      <c r="I119" s="259"/>
      <c r="J119" s="259"/>
      <c r="K119" s="259"/>
      <c r="L119" s="259">
        <v>4974</v>
      </c>
      <c r="M119" s="259"/>
      <c r="N119" s="260"/>
    </row>
    <row r="120" spans="1:14" s="242" customFormat="1" ht="12" customHeight="1">
      <c r="A120" s="250">
        <v>841401</v>
      </c>
      <c r="B120" s="255" t="s">
        <v>271</v>
      </c>
      <c r="C120" s="252" t="s">
        <v>7</v>
      </c>
      <c r="D120" s="253"/>
      <c r="E120" s="253">
        <f t="shared" si="3"/>
        <v>37514</v>
      </c>
      <c r="F120" s="253"/>
      <c r="G120" s="253"/>
      <c r="H120" s="253">
        <v>14014</v>
      </c>
      <c r="I120" s="253"/>
      <c r="J120" s="253"/>
      <c r="K120" s="253"/>
      <c r="L120" s="253">
        <v>23500</v>
      </c>
      <c r="M120" s="253"/>
      <c r="N120" s="254"/>
    </row>
    <row r="121" spans="1:14" s="242" customFormat="1" ht="12" customHeight="1">
      <c r="A121" s="250"/>
      <c r="B121" s="255"/>
      <c r="C121" s="247" t="s">
        <v>4</v>
      </c>
      <c r="D121" s="253"/>
      <c r="E121" s="253">
        <f t="shared" si="3"/>
        <v>14793</v>
      </c>
      <c r="F121" s="253"/>
      <c r="G121" s="253"/>
      <c r="H121" s="253">
        <v>14014</v>
      </c>
      <c r="I121" s="253"/>
      <c r="J121" s="253"/>
      <c r="K121" s="253"/>
      <c r="L121" s="253">
        <v>779</v>
      </c>
      <c r="M121" s="253"/>
      <c r="N121" s="254"/>
    </row>
    <row r="122" spans="1:14" s="242" customFormat="1" ht="12" customHeight="1">
      <c r="A122" s="250"/>
      <c r="B122" s="255"/>
      <c r="C122" s="247" t="s">
        <v>5</v>
      </c>
      <c r="D122" s="253">
        <v>341</v>
      </c>
      <c r="E122" s="253">
        <f t="shared" si="3"/>
        <v>12808</v>
      </c>
      <c r="F122" s="253"/>
      <c r="G122" s="253"/>
      <c r="H122" s="253">
        <v>12808</v>
      </c>
      <c r="I122" s="253"/>
      <c r="J122" s="253"/>
      <c r="K122" s="253"/>
      <c r="L122" s="253"/>
      <c r="M122" s="253"/>
      <c r="N122" s="254"/>
    </row>
    <row r="123" spans="1:14" s="242" customFormat="1" ht="12" customHeight="1">
      <c r="A123" s="250">
        <v>841402</v>
      </c>
      <c r="B123" s="255" t="s">
        <v>272</v>
      </c>
      <c r="C123" s="252" t="s">
        <v>7</v>
      </c>
      <c r="D123" s="253"/>
      <c r="E123" s="253">
        <f t="shared" si="3"/>
        <v>75009</v>
      </c>
      <c r="F123" s="253"/>
      <c r="G123" s="253"/>
      <c r="H123" s="253">
        <v>69214</v>
      </c>
      <c r="I123" s="253"/>
      <c r="J123" s="253"/>
      <c r="K123" s="253"/>
      <c r="L123" s="253">
        <v>5795</v>
      </c>
      <c r="M123" s="253"/>
      <c r="N123" s="254"/>
    </row>
    <row r="124" spans="1:14" s="242" customFormat="1" ht="12" customHeight="1">
      <c r="A124" s="261"/>
      <c r="B124" s="262"/>
      <c r="C124" s="263" t="s">
        <v>4</v>
      </c>
      <c r="D124" s="264"/>
      <c r="E124" s="264">
        <f t="shared" si="3"/>
        <v>91327</v>
      </c>
      <c r="F124" s="264"/>
      <c r="G124" s="264"/>
      <c r="H124" s="264">
        <v>62214</v>
      </c>
      <c r="I124" s="264"/>
      <c r="J124" s="264"/>
      <c r="K124" s="264"/>
      <c r="L124" s="264">
        <v>29113</v>
      </c>
      <c r="M124" s="264"/>
      <c r="N124" s="278"/>
    </row>
    <row r="125" spans="1:14" s="242" customFormat="1" ht="12" customHeight="1">
      <c r="A125" s="267"/>
      <c r="B125" s="268"/>
      <c r="C125" s="269" t="s">
        <v>5</v>
      </c>
      <c r="D125" s="270">
        <v>267</v>
      </c>
      <c r="E125" s="270">
        <f t="shared" si="3"/>
        <v>62932</v>
      </c>
      <c r="F125" s="270"/>
      <c r="G125" s="270"/>
      <c r="H125" s="270">
        <v>37507</v>
      </c>
      <c r="I125" s="270"/>
      <c r="J125" s="270"/>
      <c r="K125" s="270"/>
      <c r="L125" s="270">
        <v>25425</v>
      </c>
      <c r="M125" s="270"/>
      <c r="N125" s="279"/>
    </row>
    <row r="126" spans="1:14" s="242" customFormat="1" ht="12" customHeight="1">
      <c r="A126" s="236" t="s">
        <v>224</v>
      </c>
      <c r="B126" s="236"/>
      <c r="C126" s="236"/>
      <c r="D126" s="237" t="s">
        <v>225</v>
      </c>
      <c r="E126" s="238" t="s">
        <v>226</v>
      </c>
      <c r="F126" s="239" t="s">
        <v>227</v>
      </c>
      <c r="G126" s="239"/>
      <c r="H126" s="239"/>
      <c r="I126" s="239"/>
      <c r="J126" s="239"/>
      <c r="K126" s="239" t="s">
        <v>228</v>
      </c>
      <c r="L126" s="239"/>
      <c r="M126" s="240" t="s">
        <v>229</v>
      </c>
      <c r="N126" s="241" t="s">
        <v>53</v>
      </c>
    </row>
    <row r="127" spans="1:14" s="242" customFormat="1" ht="12" customHeight="1">
      <c r="A127" s="236"/>
      <c r="B127" s="236"/>
      <c r="C127" s="236"/>
      <c r="D127" s="237"/>
      <c r="E127" s="238"/>
      <c r="F127" s="243" t="s">
        <v>230</v>
      </c>
      <c r="G127" s="243" t="s">
        <v>231</v>
      </c>
      <c r="H127" s="243" t="s">
        <v>232</v>
      </c>
      <c r="I127" s="243" t="s">
        <v>233</v>
      </c>
      <c r="J127" s="243" t="s">
        <v>234</v>
      </c>
      <c r="K127" s="244" t="s">
        <v>40</v>
      </c>
      <c r="L127" s="244" t="s">
        <v>35</v>
      </c>
      <c r="M127" s="240"/>
      <c r="N127" s="241"/>
    </row>
    <row r="128" spans="1:14" s="242" customFormat="1" ht="39" customHeight="1">
      <c r="A128" s="236"/>
      <c r="B128" s="236"/>
      <c r="C128" s="236"/>
      <c r="D128" s="237"/>
      <c r="E128" s="238"/>
      <c r="F128" s="243"/>
      <c r="G128" s="243"/>
      <c r="H128" s="243"/>
      <c r="I128" s="243"/>
      <c r="J128" s="243"/>
      <c r="K128" s="244"/>
      <c r="L128" s="244"/>
      <c r="M128" s="240"/>
      <c r="N128" s="241"/>
    </row>
    <row r="129" spans="1:14" s="242" customFormat="1" ht="11.25" customHeight="1">
      <c r="A129" s="250">
        <v>841403</v>
      </c>
      <c r="B129" s="255" t="s">
        <v>273</v>
      </c>
      <c r="C129" s="252" t="s">
        <v>7</v>
      </c>
      <c r="D129" s="253">
        <v>5000</v>
      </c>
      <c r="E129" s="253">
        <f aca="true" t="shared" si="4" ref="E129:E160">SUM(F129:N129)</f>
        <v>64600</v>
      </c>
      <c r="F129" s="253"/>
      <c r="G129" s="253"/>
      <c r="H129" s="253">
        <v>6000</v>
      </c>
      <c r="I129" s="253">
        <v>58600</v>
      </c>
      <c r="J129" s="253"/>
      <c r="K129" s="253"/>
      <c r="L129" s="253"/>
      <c r="M129" s="253"/>
      <c r="N129" s="254"/>
    </row>
    <row r="130" spans="1:14" s="242" customFormat="1" ht="11.25" customHeight="1">
      <c r="A130" s="250"/>
      <c r="B130" s="255"/>
      <c r="C130" s="247" t="s">
        <v>4</v>
      </c>
      <c r="D130" s="253">
        <v>7000</v>
      </c>
      <c r="E130" s="253">
        <f t="shared" si="4"/>
        <v>150766</v>
      </c>
      <c r="F130" s="253"/>
      <c r="G130" s="253"/>
      <c r="H130" s="253">
        <v>6000</v>
      </c>
      <c r="I130" s="253">
        <v>117600</v>
      </c>
      <c r="J130" s="253"/>
      <c r="K130" s="253"/>
      <c r="L130" s="253"/>
      <c r="M130" s="253">
        <v>27166</v>
      </c>
      <c r="N130" s="254"/>
    </row>
    <row r="131" spans="1:14" s="242" customFormat="1" ht="11.25" customHeight="1">
      <c r="A131" s="250"/>
      <c r="B131" s="255"/>
      <c r="C131" s="247" t="s">
        <v>5</v>
      </c>
      <c r="D131" s="253">
        <v>1627</v>
      </c>
      <c r="E131" s="253">
        <f t="shared" si="4"/>
        <v>140406</v>
      </c>
      <c r="F131" s="253">
        <v>1044</v>
      </c>
      <c r="G131" s="253">
        <v>280</v>
      </c>
      <c r="H131" s="253">
        <v>14532</v>
      </c>
      <c r="I131" s="253">
        <v>117600</v>
      </c>
      <c r="J131" s="253">
        <v>37</v>
      </c>
      <c r="K131" s="253"/>
      <c r="L131" s="253"/>
      <c r="M131" s="253">
        <v>6913</v>
      </c>
      <c r="N131" s="254"/>
    </row>
    <row r="132" spans="1:14" s="242" customFormat="1" ht="12" customHeight="1">
      <c r="A132" s="250">
        <v>841403</v>
      </c>
      <c r="B132" s="255" t="s">
        <v>274</v>
      </c>
      <c r="C132" s="252" t="s">
        <v>7</v>
      </c>
      <c r="D132" s="253">
        <v>500</v>
      </c>
      <c r="E132" s="253">
        <f t="shared" si="4"/>
        <v>20040</v>
      </c>
      <c r="F132" s="253"/>
      <c r="G132" s="253"/>
      <c r="H132" s="253">
        <v>7540</v>
      </c>
      <c r="I132" s="253">
        <v>11300</v>
      </c>
      <c r="J132" s="253"/>
      <c r="K132" s="253">
        <v>800</v>
      </c>
      <c r="L132" s="253">
        <v>400</v>
      </c>
      <c r="M132" s="253"/>
      <c r="N132" s="254"/>
    </row>
    <row r="133" spans="1:14" s="242" customFormat="1" ht="12" customHeight="1">
      <c r="A133" s="250"/>
      <c r="B133" s="255"/>
      <c r="C133" s="247" t="s">
        <v>4</v>
      </c>
      <c r="D133" s="253">
        <v>500</v>
      </c>
      <c r="E133" s="253">
        <f t="shared" si="4"/>
        <v>21541</v>
      </c>
      <c r="F133" s="253">
        <v>50</v>
      </c>
      <c r="G133" s="253"/>
      <c r="H133" s="253">
        <v>10015</v>
      </c>
      <c r="I133" s="253">
        <v>10600</v>
      </c>
      <c r="J133" s="253"/>
      <c r="K133" s="253">
        <v>476</v>
      </c>
      <c r="L133" s="253">
        <v>400</v>
      </c>
      <c r="M133" s="253"/>
      <c r="N133" s="254"/>
    </row>
    <row r="134" spans="1:14" s="242" customFormat="1" ht="12" customHeight="1">
      <c r="A134" s="250"/>
      <c r="B134" s="255"/>
      <c r="C134" s="247" t="s">
        <v>5</v>
      </c>
      <c r="D134" s="253">
        <v>407</v>
      </c>
      <c r="E134" s="253">
        <f t="shared" si="4"/>
        <v>22176</v>
      </c>
      <c r="F134" s="253">
        <v>50</v>
      </c>
      <c r="G134" s="253"/>
      <c r="H134" s="253">
        <v>11526</v>
      </c>
      <c r="I134" s="253">
        <v>10600</v>
      </c>
      <c r="J134" s="253"/>
      <c r="K134" s="253"/>
      <c r="L134" s="253"/>
      <c r="M134" s="253"/>
      <c r="N134" s="254"/>
    </row>
    <row r="135" spans="1:14" s="242" customFormat="1" ht="12" customHeight="1">
      <c r="A135" s="250">
        <v>841403</v>
      </c>
      <c r="B135" s="255" t="s">
        <v>275</v>
      </c>
      <c r="C135" s="252" t="s">
        <v>7</v>
      </c>
      <c r="D135" s="253"/>
      <c r="E135" s="253">
        <f t="shared" si="4"/>
        <v>45000</v>
      </c>
      <c r="F135" s="259"/>
      <c r="G135" s="259"/>
      <c r="H135" s="259"/>
      <c r="I135" s="259">
        <v>45000</v>
      </c>
      <c r="J135" s="259"/>
      <c r="K135" s="259"/>
      <c r="L135" s="259"/>
      <c r="M135" s="259"/>
      <c r="N135" s="260"/>
    </row>
    <row r="136" spans="1:14" s="242" customFormat="1" ht="12" customHeight="1">
      <c r="A136" s="273"/>
      <c r="B136" s="246"/>
      <c r="C136" s="247" t="s">
        <v>4</v>
      </c>
      <c r="D136" s="248"/>
      <c r="E136" s="253">
        <f t="shared" si="4"/>
        <v>45000</v>
      </c>
      <c r="F136" s="274"/>
      <c r="G136" s="274"/>
      <c r="H136" s="274"/>
      <c r="I136" s="274">
        <v>45000</v>
      </c>
      <c r="J136" s="274"/>
      <c r="K136" s="274"/>
      <c r="L136" s="274"/>
      <c r="M136" s="274"/>
      <c r="N136" s="275"/>
    </row>
    <row r="137" spans="1:14" s="242" customFormat="1" ht="12" customHeight="1">
      <c r="A137" s="273"/>
      <c r="B137" s="246"/>
      <c r="C137" s="247" t="s">
        <v>5</v>
      </c>
      <c r="D137" s="248"/>
      <c r="E137" s="253">
        <f t="shared" si="4"/>
        <v>16723</v>
      </c>
      <c r="F137" s="274"/>
      <c r="G137" s="274"/>
      <c r="H137" s="274"/>
      <c r="I137" s="274">
        <v>16723</v>
      </c>
      <c r="J137" s="274"/>
      <c r="K137" s="274"/>
      <c r="L137" s="274"/>
      <c r="M137" s="274"/>
      <c r="N137" s="275"/>
    </row>
    <row r="138" spans="1:14" s="242" customFormat="1" ht="12" customHeight="1">
      <c r="A138" s="273">
        <v>841403</v>
      </c>
      <c r="B138" s="246" t="s">
        <v>276</v>
      </c>
      <c r="C138" s="247" t="s">
        <v>7</v>
      </c>
      <c r="D138" s="248"/>
      <c r="E138" s="248">
        <f t="shared" si="4"/>
        <v>15300</v>
      </c>
      <c r="F138" s="274">
        <v>1000</v>
      </c>
      <c r="G138" s="274">
        <v>300</v>
      </c>
      <c r="H138" s="274">
        <v>6500</v>
      </c>
      <c r="I138" s="274">
        <v>6000</v>
      </c>
      <c r="J138" s="274"/>
      <c r="K138" s="274"/>
      <c r="L138" s="274">
        <v>1500</v>
      </c>
      <c r="M138" s="274"/>
      <c r="N138" s="275"/>
    </row>
    <row r="139" spans="1:14" s="242" customFormat="1" ht="12" customHeight="1">
      <c r="A139" s="250"/>
      <c r="B139" s="255"/>
      <c r="C139" s="247" t="s">
        <v>4</v>
      </c>
      <c r="D139" s="253"/>
      <c r="E139" s="253">
        <f t="shared" si="4"/>
        <v>15400</v>
      </c>
      <c r="F139" s="259">
        <v>1000</v>
      </c>
      <c r="G139" s="259">
        <v>300</v>
      </c>
      <c r="H139" s="259">
        <v>6500</v>
      </c>
      <c r="I139" s="259">
        <v>6000</v>
      </c>
      <c r="J139" s="259"/>
      <c r="K139" s="259"/>
      <c r="L139" s="259">
        <v>1600</v>
      </c>
      <c r="M139" s="259"/>
      <c r="N139" s="260"/>
    </row>
    <row r="140" spans="1:14" s="242" customFormat="1" ht="12" customHeight="1">
      <c r="A140" s="250"/>
      <c r="B140" s="255"/>
      <c r="C140" s="247" t="s">
        <v>5</v>
      </c>
      <c r="D140" s="253">
        <v>156</v>
      </c>
      <c r="E140" s="253">
        <f t="shared" si="4"/>
        <v>6955</v>
      </c>
      <c r="F140" s="259"/>
      <c r="G140" s="259"/>
      <c r="H140" s="259">
        <v>2455</v>
      </c>
      <c r="I140" s="259">
        <v>4500</v>
      </c>
      <c r="J140" s="259"/>
      <c r="K140" s="259"/>
      <c r="L140" s="259"/>
      <c r="M140" s="259"/>
      <c r="N140" s="260"/>
    </row>
    <row r="141" spans="1:14" s="242" customFormat="1" ht="12" customHeight="1">
      <c r="A141" s="250">
        <v>841901</v>
      </c>
      <c r="B141" s="255" t="s">
        <v>277</v>
      </c>
      <c r="C141" s="252" t="s">
        <v>7</v>
      </c>
      <c r="D141" s="253">
        <v>1383000</v>
      </c>
      <c r="E141" s="253">
        <f t="shared" si="4"/>
        <v>0</v>
      </c>
      <c r="F141" s="259"/>
      <c r="G141" s="259"/>
      <c r="H141" s="259"/>
      <c r="I141" s="259"/>
      <c r="J141" s="259"/>
      <c r="K141" s="259"/>
      <c r="L141" s="259"/>
      <c r="M141" s="276"/>
      <c r="N141" s="260"/>
    </row>
    <row r="142" spans="1:14" s="242" customFormat="1" ht="12" customHeight="1">
      <c r="A142" s="250"/>
      <c r="B142" s="255"/>
      <c r="C142" s="247" t="s">
        <v>4</v>
      </c>
      <c r="D142" s="253">
        <v>1398096</v>
      </c>
      <c r="E142" s="253">
        <f t="shared" si="4"/>
        <v>24853</v>
      </c>
      <c r="F142" s="259">
        <v>761</v>
      </c>
      <c r="G142" s="259">
        <v>186</v>
      </c>
      <c r="H142" s="259">
        <v>23906</v>
      </c>
      <c r="I142" s="259"/>
      <c r="J142" s="259"/>
      <c r="K142" s="259"/>
      <c r="L142" s="259"/>
      <c r="M142" s="276"/>
      <c r="N142" s="260"/>
    </row>
    <row r="143" spans="1:14" s="242" customFormat="1" ht="12" customHeight="1">
      <c r="A143" s="250"/>
      <c r="B143" s="255"/>
      <c r="C143" s="247" t="s">
        <v>5</v>
      </c>
      <c r="D143" s="253">
        <v>1499253</v>
      </c>
      <c r="E143" s="253">
        <f t="shared" si="4"/>
        <v>20346</v>
      </c>
      <c r="F143" s="259">
        <v>761</v>
      </c>
      <c r="G143" s="259">
        <v>186</v>
      </c>
      <c r="H143" s="259">
        <v>19399</v>
      </c>
      <c r="I143" s="259"/>
      <c r="J143" s="259"/>
      <c r="K143" s="259"/>
      <c r="L143" s="259"/>
      <c r="M143" s="276"/>
      <c r="N143" s="260"/>
    </row>
    <row r="144" spans="1:14" s="242" customFormat="1" ht="12" customHeight="1">
      <c r="A144" s="250">
        <v>841901</v>
      </c>
      <c r="B144" s="255" t="s">
        <v>278</v>
      </c>
      <c r="C144" s="252" t="s">
        <v>7</v>
      </c>
      <c r="D144" s="253">
        <v>1289530</v>
      </c>
      <c r="E144" s="253">
        <f t="shared" si="4"/>
        <v>0</v>
      </c>
      <c r="F144" s="259"/>
      <c r="G144" s="259"/>
      <c r="H144" s="259"/>
      <c r="I144" s="259"/>
      <c r="J144" s="259"/>
      <c r="K144" s="259"/>
      <c r="L144" s="259"/>
      <c r="M144" s="276"/>
      <c r="N144" s="260"/>
    </row>
    <row r="145" spans="1:14" s="242" customFormat="1" ht="12" customHeight="1">
      <c r="A145" s="250"/>
      <c r="B145" s="255"/>
      <c r="C145" s="247" t="s">
        <v>4</v>
      </c>
      <c r="D145" s="253">
        <v>1343993</v>
      </c>
      <c r="E145" s="253">
        <f t="shared" si="4"/>
        <v>0</v>
      </c>
      <c r="F145" s="259"/>
      <c r="G145" s="259"/>
      <c r="H145" s="259"/>
      <c r="I145" s="259"/>
      <c r="J145" s="259"/>
      <c r="K145" s="259"/>
      <c r="L145" s="259"/>
      <c r="M145" s="276"/>
      <c r="N145" s="260"/>
    </row>
    <row r="146" spans="1:14" s="242" customFormat="1" ht="12" customHeight="1">
      <c r="A146" s="250"/>
      <c r="B146" s="255"/>
      <c r="C146" s="247" t="s">
        <v>5</v>
      </c>
      <c r="D146" s="253">
        <v>1360257</v>
      </c>
      <c r="E146" s="253">
        <f t="shared" si="4"/>
        <v>0</v>
      </c>
      <c r="F146" s="259"/>
      <c r="G146" s="259"/>
      <c r="H146" s="259"/>
      <c r="I146" s="259"/>
      <c r="J146" s="259"/>
      <c r="K146" s="259"/>
      <c r="L146" s="259"/>
      <c r="M146" s="276"/>
      <c r="N146" s="260"/>
    </row>
    <row r="147" spans="1:14" s="242" customFormat="1" ht="12" customHeight="1">
      <c r="A147" s="250">
        <v>841901</v>
      </c>
      <c r="B147" s="255" t="s">
        <v>279</v>
      </c>
      <c r="C147" s="252" t="s">
        <v>7</v>
      </c>
      <c r="D147" s="253">
        <v>1500</v>
      </c>
      <c r="E147" s="253">
        <f t="shared" si="4"/>
        <v>0</v>
      </c>
      <c r="F147" s="259"/>
      <c r="G147" s="259"/>
      <c r="H147" s="259"/>
      <c r="I147" s="259"/>
      <c r="J147" s="259"/>
      <c r="K147" s="259"/>
      <c r="L147" s="259"/>
      <c r="M147" s="259"/>
      <c r="N147" s="260"/>
    </row>
    <row r="148" spans="1:14" s="242" customFormat="1" ht="12" customHeight="1">
      <c r="A148" s="250"/>
      <c r="B148" s="255"/>
      <c r="C148" s="247" t="s">
        <v>4</v>
      </c>
      <c r="D148" s="253">
        <v>1500</v>
      </c>
      <c r="E148" s="253">
        <f t="shared" si="4"/>
        <v>0</v>
      </c>
      <c r="F148" s="259"/>
      <c r="G148" s="259"/>
      <c r="H148" s="259"/>
      <c r="I148" s="259"/>
      <c r="J148" s="259"/>
      <c r="K148" s="259"/>
      <c r="L148" s="259"/>
      <c r="M148" s="259"/>
      <c r="N148" s="260"/>
    </row>
    <row r="149" spans="1:14" s="242" customFormat="1" ht="12" customHeight="1">
      <c r="A149" s="250"/>
      <c r="B149" s="255"/>
      <c r="C149" s="247" t="s">
        <v>5</v>
      </c>
      <c r="D149" s="253">
        <v>382</v>
      </c>
      <c r="E149" s="253">
        <f t="shared" si="4"/>
        <v>0</v>
      </c>
      <c r="F149" s="259"/>
      <c r="G149" s="259"/>
      <c r="H149" s="259"/>
      <c r="I149" s="259"/>
      <c r="J149" s="259"/>
      <c r="K149" s="259"/>
      <c r="L149" s="259"/>
      <c r="M149" s="259"/>
      <c r="N149" s="260"/>
    </row>
    <row r="150" spans="1:14" s="242" customFormat="1" ht="12" customHeight="1">
      <c r="A150" s="250">
        <v>841906</v>
      </c>
      <c r="B150" s="255" t="s">
        <v>280</v>
      </c>
      <c r="C150" s="252" t="s">
        <v>7</v>
      </c>
      <c r="D150" s="253"/>
      <c r="E150" s="253">
        <f t="shared" si="4"/>
        <v>150980</v>
      </c>
      <c r="F150" s="259"/>
      <c r="G150" s="259"/>
      <c r="H150" s="259">
        <v>131528</v>
      </c>
      <c r="I150" s="259">
        <v>5879</v>
      </c>
      <c r="J150" s="259"/>
      <c r="K150" s="259"/>
      <c r="L150" s="259"/>
      <c r="M150" s="259">
        <v>13573</v>
      </c>
      <c r="N150" s="260"/>
    </row>
    <row r="151" spans="1:14" s="242" customFormat="1" ht="12" customHeight="1">
      <c r="A151" s="250"/>
      <c r="B151" s="255"/>
      <c r="C151" s="247" t="s">
        <v>4</v>
      </c>
      <c r="D151" s="253"/>
      <c r="E151" s="253">
        <f t="shared" si="4"/>
        <v>68066</v>
      </c>
      <c r="F151" s="259"/>
      <c r="G151" s="259"/>
      <c r="H151" s="259">
        <v>48614</v>
      </c>
      <c r="I151" s="259">
        <v>5879</v>
      </c>
      <c r="J151" s="259"/>
      <c r="K151" s="259"/>
      <c r="L151" s="259"/>
      <c r="M151" s="259">
        <v>13573</v>
      </c>
      <c r="N151" s="260"/>
    </row>
    <row r="152" spans="1:14" s="242" customFormat="1" ht="12" customHeight="1">
      <c r="A152" s="250"/>
      <c r="B152" s="255"/>
      <c r="C152" s="247" t="s">
        <v>5</v>
      </c>
      <c r="D152" s="253"/>
      <c r="E152" s="253">
        <f t="shared" si="4"/>
        <v>62060</v>
      </c>
      <c r="F152" s="259"/>
      <c r="G152" s="259"/>
      <c r="H152" s="259">
        <v>46796</v>
      </c>
      <c r="I152" s="259">
        <v>3488</v>
      </c>
      <c r="J152" s="259"/>
      <c r="K152" s="259"/>
      <c r="L152" s="259"/>
      <c r="M152" s="259">
        <v>11776</v>
      </c>
      <c r="N152" s="260"/>
    </row>
    <row r="153" spans="1:14" s="242" customFormat="1" ht="12" customHeight="1">
      <c r="A153" s="250">
        <v>841907</v>
      </c>
      <c r="B153" s="255" t="s">
        <v>281</v>
      </c>
      <c r="C153" s="252" t="s">
        <v>7</v>
      </c>
      <c r="D153" s="253"/>
      <c r="E153" s="253">
        <f t="shared" si="4"/>
        <v>0</v>
      </c>
      <c r="F153" s="259"/>
      <c r="G153" s="259"/>
      <c r="H153" s="259"/>
      <c r="I153" s="259"/>
      <c r="J153" s="259"/>
      <c r="K153" s="259"/>
      <c r="L153" s="259"/>
      <c r="M153" s="259"/>
      <c r="N153" s="260"/>
    </row>
    <row r="154" spans="1:14" s="242" customFormat="1" ht="12" customHeight="1">
      <c r="A154" s="250"/>
      <c r="B154" s="255"/>
      <c r="C154" s="247" t="s">
        <v>4</v>
      </c>
      <c r="D154" s="253"/>
      <c r="E154" s="253">
        <f t="shared" si="4"/>
        <v>4433</v>
      </c>
      <c r="F154" s="259"/>
      <c r="G154" s="259"/>
      <c r="H154" s="259"/>
      <c r="I154" s="259"/>
      <c r="J154" s="259"/>
      <c r="K154" s="259"/>
      <c r="L154" s="259"/>
      <c r="M154" s="259">
        <v>4433</v>
      </c>
      <c r="N154" s="260"/>
    </row>
    <row r="155" spans="1:14" s="242" customFormat="1" ht="12" customHeight="1">
      <c r="A155" s="250"/>
      <c r="B155" s="255"/>
      <c r="C155" s="247" t="s">
        <v>5</v>
      </c>
      <c r="D155" s="253"/>
      <c r="E155" s="253">
        <f t="shared" si="4"/>
        <v>11816</v>
      </c>
      <c r="F155" s="259"/>
      <c r="G155" s="259"/>
      <c r="H155" s="259"/>
      <c r="I155" s="259">
        <v>7383</v>
      </c>
      <c r="J155" s="259"/>
      <c r="K155" s="259"/>
      <c r="L155" s="259"/>
      <c r="M155" s="259">
        <v>4433</v>
      </c>
      <c r="N155" s="260"/>
    </row>
    <row r="156" spans="1:14" s="242" customFormat="1" ht="12" customHeight="1">
      <c r="A156" s="250">
        <v>842155</v>
      </c>
      <c r="B156" s="255" t="s">
        <v>282</v>
      </c>
      <c r="C156" s="252" t="s">
        <v>7</v>
      </c>
      <c r="D156" s="253">
        <v>2700</v>
      </c>
      <c r="E156" s="253">
        <f t="shared" si="4"/>
        <v>12725</v>
      </c>
      <c r="F156" s="259"/>
      <c r="G156" s="259"/>
      <c r="H156" s="259">
        <v>12725</v>
      </c>
      <c r="I156" s="259"/>
      <c r="J156" s="259"/>
      <c r="K156" s="259"/>
      <c r="L156" s="259"/>
      <c r="M156" s="259"/>
      <c r="N156" s="260"/>
    </row>
    <row r="157" spans="1:14" s="242" customFormat="1" ht="12" customHeight="1">
      <c r="A157" s="250"/>
      <c r="B157" s="255"/>
      <c r="C157" s="247" t="s">
        <v>4</v>
      </c>
      <c r="D157" s="253">
        <v>2700</v>
      </c>
      <c r="E157" s="253">
        <f t="shared" si="4"/>
        <v>12306</v>
      </c>
      <c r="F157" s="259">
        <v>1500</v>
      </c>
      <c r="G157" s="259">
        <v>300</v>
      </c>
      <c r="H157" s="259">
        <v>10256</v>
      </c>
      <c r="I157" s="259">
        <v>250</v>
      </c>
      <c r="J157" s="259"/>
      <c r="K157" s="259"/>
      <c r="L157" s="259"/>
      <c r="M157" s="259"/>
      <c r="N157" s="260"/>
    </row>
    <row r="158" spans="1:14" s="242" customFormat="1" ht="12" customHeight="1">
      <c r="A158" s="250"/>
      <c r="B158" s="255"/>
      <c r="C158" s="247" t="s">
        <v>5</v>
      </c>
      <c r="D158" s="253">
        <v>4106</v>
      </c>
      <c r="E158" s="253">
        <f t="shared" si="4"/>
        <v>12191</v>
      </c>
      <c r="F158" s="259">
        <v>1374</v>
      </c>
      <c r="G158" s="259">
        <v>309</v>
      </c>
      <c r="H158" s="259">
        <v>10258</v>
      </c>
      <c r="I158" s="259">
        <v>250</v>
      </c>
      <c r="J158" s="259"/>
      <c r="K158" s="259"/>
      <c r="L158" s="259"/>
      <c r="M158" s="259"/>
      <c r="N158" s="260"/>
    </row>
    <row r="159" spans="1:14" s="242" customFormat="1" ht="12" customHeight="1">
      <c r="A159" s="250">
        <v>842155</v>
      </c>
      <c r="B159" s="255" t="s">
        <v>283</v>
      </c>
      <c r="C159" s="252" t="s">
        <v>7</v>
      </c>
      <c r="D159" s="253"/>
      <c r="E159" s="253">
        <f t="shared" si="4"/>
        <v>0</v>
      </c>
      <c r="F159" s="259"/>
      <c r="G159" s="259"/>
      <c r="H159" s="259"/>
      <c r="I159" s="259"/>
      <c r="J159" s="259"/>
      <c r="K159" s="259"/>
      <c r="L159" s="259"/>
      <c r="M159" s="259"/>
      <c r="N159" s="260"/>
    </row>
    <row r="160" spans="1:14" s="242" customFormat="1" ht="12" customHeight="1">
      <c r="A160" s="250"/>
      <c r="B160" s="255"/>
      <c r="C160" s="247" t="s">
        <v>4</v>
      </c>
      <c r="D160" s="253">
        <v>9350</v>
      </c>
      <c r="E160" s="253">
        <f t="shared" si="4"/>
        <v>9889</v>
      </c>
      <c r="F160" s="259">
        <v>453</v>
      </c>
      <c r="G160" s="259">
        <v>113</v>
      </c>
      <c r="H160" s="259">
        <v>9323</v>
      </c>
      <c r="I160" s="259"/>
      <c r="J160" s="259"/>
      <c r="K160" s="259"/>
      <c r="L160" s="259"/>
      <c r="M160" s="259"/>
      <c r="N160" s="260"/>
    </row>
    <row r="161" spans="1:14" s="242" customFormat="1" ht="12" customHeight="1">
      <c r="A161" s="250"/>
      <c r="B161" s="255"/>
      <c r="C161" s="247" t="s">
        <v>5</v>
      </c>
      <c r="D161" s="253"/>
      <c r="E161" s="253">
        <f aca="true" t="shared" si="5" ref="E161:E188">SUM(F161:N161)</f>
        <v>9150</v>
      </c>
      <c r="F161" s="259"/>
      <c r="G161" s="259"/>
      <c r="H161" s="259">
        <v>9150</v>
      </c>
      <c r="I161" s="259"/>
      <c r="J161" s="259"/>
      <c r="K161" s="259"/>
      <c r="L161" s="259"/>
      <c r="M161" s="259"/>
      <c r="N161" s="260"/>
    </row>
    <row r="162" spans="1:14" s="242" customFormat="1" ht="12" customHeight="1">
      <c r="A162" s="257">
        <v>842421</v>
      </c>
      <c r="B162" s="258" t="s">
        <v>284</v>
      </c>
      <c r="C162" s="252" t="s">
        <v>7</v>
      </c>
      <c r="D162" s="253"/>
      <c r="E162" s="253">
        <f t="shared" si="5"/>
        <v>350</v>
      </c>
      <c r="F162" s="276"/>
      <c r="G162" s="276"/>
      <c r="H162" s="259"/>
      <c r="I162" s="276">
        <v>350</v>
      </c>
      <c r="J162" s="276"/>
      <c r="K162" s="276"/>
      <c r="L162" s="276"/>
      <c r="M162" s="276"/>
      <c r="N162" s="260"/>
    </row>
    <row r="163" spans="1:14" s="242" customFormat="1" ht="12" customHeight="1">
      <c r="A163" s="257"/>
      <c r="B163" s="258"/>
      <c r="C163" s="247" t="s">
        <v>4</v>
      </c>
      <c r="D163" s="253"/>
      <c r="E163" s="253">
        <f t="shared" si="5"/>
        <v>2850</v>
      </c>
      <c r="F163" s="276"/>
      <c r="G163" s="276"/>
      <c r="H163" s="259"/>
      <c r="I163" s="276">
        <v>2850</v>
      </c>
      <c r="J163" s="276"/>
      <c r="K163" s="276"/>
      <c r="L163" s="276"/>
      <c r="M163" s="276"/>
      <c r="N163" s="260"/>
    </row>
    <row r="164" spans="1:14" s="242" customFormat="1" ht="12" customHeight="1">
      <c r="A164" s="257"/>
      <c r="B164" s="258"/>
      <c r="C164" s="247" t="s">
        <v>5</v>
      </c>
      <c r="D164" s="253"/>
      <c r="E164" s="253">
        <f t="shared" si="5"/>
        <v>2850</v>
      </c>
      <c r="F164" s="276"/>
      <c r="G164" s="276"/>
      <c r="H164" s="259"/>
      <c r="I164" s="276">
        <v>2850</v>
      </c>
      <c r="J164" s="276"/>
      <c r="K164" s="276"/>
      <c r="L164" s="276"/>
      <c r="M164" s="276"/>
      <c r="N164" s="260"/>
    </row>
    <row r="165" spans="1:14" s="280" customFormat="1" ht="12" customHeight="1">
      <c r="A165" s="250">
        <v>842521</v>
      </c>
      <c r="B165" s="255" t="s">
        <v>285</v>
      </c>
      <c r="C165" s="252" t="s">
        <v>7</v>
      </c>
      <c r="D165" s="253"/>
      <c r="E165" s="253">
        <f t="shared" si="5"/>
        <v>250</v>
      </c>
      <c r="F165" s="253"/>
      <c r="G165" s="253"/>
      <c r="H165" s="253">
        <v>250</v>
      </c>
      <c r="I165" s="253"/>
      <c r="J165" s="253"/>
      <c r="K165" s="253"/>
      <c r="L165" s="253"/>
      <c r="M165" s="253"/>
      <c r="N165" s="254"/>
    </row>
    <row r="166" spans="1:14" s="280" customFormat="1" ht="12" customHeight="1">
      <c r="A166" s="250"/>
      <c r="B166" s="255"/>
      <c r="C166" s="247" t="s">
        <v>4</v>
      </c>
      <c r="D166" s="253"/>
      <c r="E166" s="253">
        <f t="shared" si="5"/>
        <v>800</v>
      </c>
      <c r="F166" s="253"/>
      <c r="G166" s="253"/>
      <c r="H166" s="253">
        <v>800</v>
      </c>
      <c r="I166" s="253"/>
      <c r="J166" s="253"/>
      <c r="K166" s="253"/>
      <c r="L166" s="253"/>
      <c r="M166" s="253"/>
      <c r="N166" s="254"/>
    </row>
    <row r="167" spans="1:14" s="280" customFormat="1" ht="12" customHeight="1">
      <c r="A167" s="250"/>
      <c r="B167" s="255"/>
      <c r="C167" s="247" t="s">
        <v>5</v>
      </c>
      <c r="D167" s="253"/>
      <c r="E167" s="253">
        <f t="shared" si="5"/>
        <v>802</v>
      </c>
      <c r="F167" s="253"/>
      <c r="G167" s="253"/>
      <c r="H167" s="253">
        <v>802</v>
      </c>
      <c r="I167" s="253"/>
      <c r="J167" s="253"/>
      <c r="K167" s="253"/>
      <c r="L167" s="253"/>
      <c r="M167" s="253"/>
      <c r="N167" s="254"/>
    </row>
    <row r="168" spans="1:14" s="242" customFormat="1" ht="12" customHeight="1">
      <c r="A168" s="250">
        <v>842521</v>
      </c>
      <c r="B168" s="255" t="s">
        <v>286</v>
      </c>
      <c r="C168" s="252" t="s">
        <v>7</v>
      </c>
      <c r="D168" s="253"/>
      <c r="E168" s="253">
        <f t="shared" si="5"/>
        <v>0</v>
      </c>
      <c r="F168" s="253"/>
      <c r="G168" s="253"/>
      <c r="H168" s="253"/>
      <c r="I168" s="253">
        <v>0</v>
      </c>
      <c r="J168" s="253"/>
      <c r="K168" s="253"/>
      <c r="L168" s="253"/>
      <c r="M168" s="253"/>
      <c r="N168" s="254"/>
    </row>
    <row r="169" spans="1:14" s="242" customFormat="1" ht="12" customHeight="1">
      <c r="A169" s="250"/>
      <c r="B169" s="255"/>
      <c r="C169" s="247" t="s">
        <v>4</v>
      </c>
      <c r="D169" s="253"/>
      <c r="E169" s="253">
        <f t="shared" si="5"/>
        <v>4500</v>
      </c>
      <c r="F169" s="253"/>
      <c r="G169" s="253"/>
      <c r="H169" s="253"/>
      <c r="I169" s="253">
        <v>2500</v>
      </c>
      <c r="J169" s="253">
        <v>2000</v>
      </c>
      <c r="K169" s="253"/>
      <c r="L169" s="253"/>
      <c r="M169" s="253"/>
      <c r="N169" s="254"/>
    </row>
    <row r="170" spans="1:14" s="242" customFormat="1" ht="12" customHeight="1">
      <c r="A170" s="250"/>
      <c r="B170" s="255"/>
      <c r="C170" s="247" t="s">
        <v>5</v>
      </c>
      <c r="D170" s="253"/>
      <c r="E170" s="253">
        <f t="shared" si="5"/>
        <v>4500</v>
      </c>
      <c r="F170" s="253"/>
      <c r="G170" s="253"/>
      <c r="H170" s="253"/>
      <c r="I170" s="253">
        <v>2500</v>
      </c>
      <c r="J170" s="253">
        <v>2000</v>
      </c>
      <c r="K170" s="253"/>
      <c r="L170" s="253"/>
      <c r="M170" s="253"/>
      <c r="N170" s="254"/>
    </row>
    <row r="171" spans="1:14" s="242" customFormat="1" ht="12" customHeight="1">
      <c r="A171" s="250">
        <v>842541</v>
      </c>
      <c r="B171" s="255" t="s">
        <v>287</v>
      </c>
      <c r="C171" s="252" t="s">
        <v>7</v>
      </c>
      <c r="D171" s="253"/>
      <c r="E171" s="253">
        <f t="shared" si="5"/>
        <v>0</v>
      </c>
      <c r="F171" s="253"/>
      <c r="G171" s="253"/>
      <c r="H171" s="253"/>
      <c r="I171" s="253"/>
      <c r="J171" s="253"/>
      <c r="K171" s="253"/>
      <c r="L171" s="253"/>
      <c r="M171" s="253"/>
      <c r="N171" s="254"/>
    </row>
    <row r="172" spans="1:14" s="242" customFormat="1" ht="12" customHeight="1">
      <c r="A172" s="250"/>
      <c r="B172" s="255"/>
      <c r="C172" s="247" t="s">
        <v>4</v>
      </c>
      <c r="D172" s="253">
        <v>1200</v>
      </c>
      <c r="E172" s="253">
        <f t="shared" si="5"/>
        <v>5863</v>
      </c>
      <c r="F172" s="253"/>
      <c r="G172" s="253"/>
      <c r="H172" s="253">
        <v>3163</v>
      </c>
      <c r="I172" s="253">
        <v>1500</v>
      </c>
      <c r="J172" s="253">
        <v>1200</v>
      </c>
      <c r="K172" s="253"/>
      <c r="L172" s="253"/>
      <c r="M172" s="253"/>
      <c r="N172" s="254"/>
    </row>
    <row r="173" spans="1:14" s="242" customFormat="1" ht="12" customHeight="1">
      <c r="A173" s="250"/>
      <c r="B173" s="255"/>
      <c r="C173" s="247" t="s">
        <v>5</v>
      </c>
      <c r="D173" s="253">
        <v>1200</v>
      </c>
      <c r="E173" s="253">
        <f t="shared" si="5"/>
        <v>5970</v>
      </c>
      <c r="F173" s="253"/>
      <c r="G173" s="253"/>
      <c r="H173" s="253">
        <v>3270</v>
      </c>
      <c r="I173" s="253">
        <v>1500</v>
      </c>
      <c r="J173" s="253">
        <v>1200</v>
      </c>
      <c r="K173" s="253"/>
      <c r="L173" s="253"/>
      <c r="M173" s="253"/>
      <c r="N173" s="254"/>
    </row>
    <row r="174" spans="1:14" s="242" customFormat="1" ht="12" customHeight="1">
      <c r="A174" s="250">
        <v>851011</v>
      </c>
      <c r="B174" s="255" t="s">
        <v>288</v>
      </c>
      <c r="C174" s="252" t="s">
        <v>7</v>
      </c>
      <c r="D174" s="253"/>
      <c r="E174" s="253">
        <f t="shared" si="5"/>
        <v>6000</v>
      </c>
      <c r="F174" s="259"/>
      <c r="G174" s="259"/>
      <c r="H174" s="259"/>
      <c r="I174" s="259">
        <v>6000</v>
      </c>
      <c r="J174" s="259"/>
      <c r="K174" s="259"/>
      <c r="L174" s="259"/>
      <c r="M174" s="276"/>
      <c r="N174" s="260"/>
    </row>
    <row r="175" spans="1:14" s="242" customFormat="1" ht="12" customHeight="1">
      <c r="A175" s="250"/>
      <c r="B175" s="255"/>
      <c r="C175" s="247" t="s">
        <v>4</v>
      </c>
      <c r="D175" s="253"/>
      <c r="E175" s="253">
        <f t="shared" si="5"/>
        <v>11956</v>
      </c>
      <c r="F175" s="259"/>
      <c r="G175" s="259"/>
      <c r="H175" s="259"/>
      <c r="I175" s="259">
        <v>8800</v>
      </c>
      <c r="J175" s="259"/>
      <c r="K175" s="259"/>
      <c r="L175" s="259">
        <v>3156</v>
      </c>
      <c r="M175" s="276"/>
      <c r="N175" s="260"/>
    </row>
    <row r="176" spans="1:14" s="242" customFormat="1" ht="12" customHeight="1">
      <c r="A176" s="250"/>
      <c r="B176" s="255"/>
      <c r="C176" s="247" t="s">
        <v>5</v>
      </c>
      <c r="D176" s="253"/>
      <c r="E176" s="253">
        <f t="shared" si="5"/>
        <v>12000</v>
      </c>
      <c r="F176" s="259"/>
      <c r="G176" s="259"/>
      <c r="H176" s="259">
        <v>44</v>
      </c>
      <c r="I176" s="259">
        <v>8800</v>
      </c>
      <c r="J176" s="259"/>
      <c r="K176" s="259"/>
      <c r="L176" s="259">
        <v>3156</v>
      </c>
      <c r="M176" s="276"/>
      <c r="N176" s="260"/>
    </row>
    <row r="177" spans="1:14" s="242" customFormat="1" ht="12" customHeight="1">
      <c r="A177" s="250">
        <v>852000</v>
      </c>
      <c r="B177" s="255" t="s">
        <v>289</v>
      </c>
      <c r="C177" s="252" t="s">
        <v>7</v>
      </c>
      <c r="D177" s="253">
        <v>30366</v>
      </c>
      <c r="E177" s="253">
        <f t="shared" si="5"/>
        <v>2000</v>
      </c>
      <c r="F177" s="259"/>
      <c r="G177" s="259"/>
      <c r="H177" s="259"/>
      <c r="I177" s="259">
        <v>2000</v>
      </c>
      <c r="J177" s="259"/>
      <c r="K177" s="259"/>
      <c r="L177" s="259"/>
      <c r="M177" s="276"/>
      <c r="N177" s="260"/>
    </row>
    <row r="178" spans="1:14" s="242" customFormat="1" ht="12" customHeight="1">
      <c r="A178" s="250"/>
      <c r="B178" s="255"/>
      <c r="C178" s="247" t="s">
        <v>4</v>
      </c>
      <c r="D178" s="253">
        <v>32466</v>
      </c>
      <c r="E178" s="253">
        <f t="shared" si="5"/>
        <v>3030</v>
      </c>
      <c r="F178" s="259"/>
      <c r="G178" s="259"/>
      <c r="H178" s="259">
        <v>2100</v>
      </c>
      <c r="I178" s="259">
        <v>930</v>
      </c>
      <c r="J178" s="259"/>
      <c r="K178" s="259"/>
      <c r="L178" s="259"/>
      <c r="M178" s="276"/>
      <c r="N178" s="260"/>
    </row>
    <row r="179" spans="1:14" s="242" customFormat="1" ht="12" customHeight="1">
      <c r="A179" s="250"/>
      <c r="B179" s="255"/>
      <c r="C179" s="247" t="s">
        <v>5</v>
      </c>
      <c r="D179" s="253">
        <v>25326</v>
      </c>
      <c r="E179" s="253">
        <f t="shared" si="5"/>
        <v>1007</v>
      </c>
      <c r="F179" s="259"/>
      <c r="G179" s="259"/>
      <c r="H179" s="259">
        <v>77</v>
      </c>
      <c r="I179" s="259">
        <v>930</v>
      </c>
      <c r="J179" s="259"/>
      <c r="K179" s="259"/>
      <c r="L179" s="259"/>
      <c r="M179" s="276"/>
      <c r="N179" s="260"/>
    </row>
    <row r="180" spans="1:14" s="242" customFormat="1" ht="12" customHeight="1">
      <c r="A180" s="250">
        <v>852000</v>
      </c>
      <c r="B180" s="255" t="s">
        <v>290</v>
      </c>
      <c r="C180" s="252" t="s">
        <v>7</v>
      </c>
      <c r="D180" s="253"/>
      <c r="E180" s="253">
        <f t="shared" si="5"/>
        <v>1000</v>
      </c>
      <c r="F180" s="259"/>
      <c r="G180" s="259"/>
      <c r="H180" s="259"/>
      <c r="I180" s="259">
        <v>1000</v>
      </c>
      <c r="J180" s="259"/>
      <c r="K180" s="259"/>
      <c r="L180" s="259"/>
      <c r="M180" s="276"/>
      <c r="N180" s="260"/>
    </row>
    <row r="181" spans="1:14" s="242" customFormat="1" ht="12" customHeight="1">
      <c r="A181" s="250"/>
      <c r="B181" s="255"/>
      <c r="C181" s="247" t="s">
        <v>4</v>
      </c>
      <c r="D181" s="253"/>
      <c r="E181" s="253">
        <f t="shared" si="5"/>
        <v>1000</v>
      </c>
      <c r="F181" s="259"/>
      <c r="G181" s="259"/>
      <c r="H181" s="259"/>
      <c r="I181" s="259">
        <v>1000</v>
      </c>
      <c r="J181" s="259"/>
      <c r="K181" s="259"/>
      <c r="L181" s="259"/>
      <c r="M181" s="276"/>
      <c r="N181" s="260"/>
    </row>
    <row r="182" spans="1:14" s="242" customFormat="1" ht="12" customHeight="1">
      <c r="A182" s="250"/>
      <c r="B182" s="255"/>
      <c r="C182" s="247" t="s">
        <v>5</v>
      </c>
      <c r="D182" s="253"/>
      <c r="E182" s="253">
        <f t="shared" si="5"/>
        <v>1000</v>
      </c>
      <c r="F182" s="259"/>
      <c r="G182" s="259"/>
      <c r="H182" s="259"/>
      <c r="I182" s="259">
        <v>1000</v>
      </c>
      <c r="J182" s="259"/>
      <c r="K182" s="259"/>
      <c r="L182" s="259"/>
      <c r="M182" s="276"/>
      <c r="N182" s="260"/>
    </row>
    <row r="183" spans="1:14" s="242" customFormat="1" ht="12" customHeight="1">
      <c r="A183" s="250">
        <v>852000</v>
      </c>
      <c r="B183" s="255" t="s">
        <v>291</v>
      </c>
      <c r="C183" s="252" t="s">
        <v>7</v>
      </c>
      <c r="D183" s="253">
        <v>134994</v>
      </c>
      <c r="E183" s="253">
        <f t="shared" si="5"/>
        <v>149993</v>
      </c>
      <c r="F183" s="259"/>
      <c r="G183" s="259"/>
      <c r="H183" s="259"/>
      <c r="I183" s="259"/>
      <c r="J183" s="259"/>
      <c r="K183" s="259"/>
      <c r="L183" s="259">
        <v>149993</v>
      </c>
      <c r="M183" s="259"/>
      <c r="N183" s="260"/>
    </row>
    <row r="184" spans="1:14" s="242" customFormat="1" ht="12" customHeight="1">
      <c r="A184" s="250"/>
      <c r="B184" s="255"/>
      <c r="C184" s="247" t="s">
        <v>4</v>
      </c>
      <c r="D184" s="253">
        <v>134994</v>
      </c>
      <c r="E184" s="253">
        <f t="shared" si="5"/>
        <v>155759</v>
      </c>
      <c r="F184" s="259"/>
      <c r="G184" s="259"/>
      <c r="H184" s="259"/>
      <c r="I184" s="259"/>
      <c r="J184" s="259"/>
      <c r="K184" s="259"/>
      <c r="L184" s="259">
        <v>155759</v>
      </c>
      <c r="M184" s="259"/>
      <c r="N184" s="260"/>
    </row>
    <row r="185" spans="1:14" s="242" customFormat="1" ht="12" customHeight="1">
      <c r="A185" s="250"/>
      <c r="B185" s="255"/>
      <c r="C185" s="247" t="s">
        <v>5</v>
      </c>
      <c r="D185" s="253">
        <v>6604</v>
      </c>
      <c r="E185" s="253">
        <f t="shared" si="5"/>
        <v>9415</v>
      </c>
      <c r="F185" s="259"/>
      <c r="G185" s="259"/>
      <c r="H185" s="259"/>
      <c r="I185" s="259"/>
      <c r="J185" s="259"/>
      <c r="K185" s="259"/>
      <c r="L185" s="259">
        <v>9415</v>
      </c>
      <c r="M185" s="259"/>
      <c r="N185" s="260"/>
    </row>
    <row r="186" spans="1:14" s="242" customFormat="1" ht="12" customHeight="1">
      <c r="A186" s="250">
        <v>854233</v>
      </c>
      <c r="B186" s="255" t="s">
        <v>292</v>
      </c>
      <c r="C186" s="252" t="s">
        <v>7</v>
      </c>
      <c r="D186" s="253"/>
      <c r="E186" s="253">
        <f t="shared" si="5"/>
        <v>400</v>
      </c>
      <c r="F186" s="259"/>
      <c r="G186" s="259"/>
      <c r="H186" s="259"/>
      <c r="I186" s="259">
        <v>400</v>
      </c>
      <c r="J186" s="259"/>
      <c r="K186" s="259"/>
      <c r="L186" s="259"/>
      <c r="M186" s="276"/>
      <c r="N186" s="260"/>
    </row>
    <row r="187" spans="1:14" s="242" customFormat="1" ht="12" customHeight="1">
      <c r="A187" s="261"/>
      <c r="B187" s="262"/>
      <c r="C187" s="263" t="s">
        <v>4</v>
      </c>
      <c r="D187" s="264"/>
      <c r="E187" s="264">
        <f t="shared" si="5"/>
        <v>400</v>
      </c>
      <c r="F187" s="265"/>
      <c r="G187" s="265"/>
      <c r="H187" s="265"/>
      <c r="I187" s="265">
        <v>400</v>
      </c>
      <c r="J187" s="265"/>
      <c r="K187" s="265"/>
      <c r="L187" s="265"/>
      <c r="M187" s="281"/>
      <c r="N187" s="266"/>
    </row>
    <row r="188" spans="1:14" s="242" customFormat="1" ht="12" customHeight="1">
      <c r="A188" s="267"/>
      <c r="B188" s="268"/>
      <c r="C188" s="269" t="s">
        <v>5</v>
      </c>
      <c r="D188" s="270"/>
      <c r="E188" s="270">
        <f t="shared" si="5"/>
        <v>396</v>
      </c>
      <c r="F188" s="271"/>
      <c r="G188" s="271"/>
      <c r="H188" s="271"/>
      <c r="I188" s="271">
        <v>396</v>
      </c>
      <c r="J188" s="271"/>
      <c r="K188" s="271"/>
      <c r="L188" s="271"/>
      <c r="M188" s="282"/>
      <c r="N188" s="272"/>
    </row>
    <row r="189" spans="1:14" s="242" customFormat="1" ht="12" customHeight="1">
      <c r="A189" s="236" t="s">
        <v>224</v>
      </c>
      <c r="B189" s="236"/>
      <c r="C189" s="236"/>
      <c r="D189" s="237" t="s">
        <v>225</v>
      </c>
      <c r="E189" s="238" t="s">
        <v>226</v>
      </c>
      <c r="F189" s="239" t="s">
        <v>227</v>
      </c>
      <c r="G189" s="239"/>
      <c r="H189" s="239"/>
      <c r="I189" s="239"/>
      <c r="J189" s="239"/>
      <c r="K189" s="239" t="s">
        <v>228</v>
      </c>
      <c r="L189" s="239"/>
      <c r="M189" s="240" t="s">
        <v>229</v>
      </c>
      <c r="N189" s="241" t="s">
        <v>53</v>
      </c>
    </row>
    <row r="190" spans="1:14" s="242" customFormat="1" ht="12" customHeight="1">
      <c r="A190" s="236"/>
      <c r="B190" s="236"/>
      <c r="C190" s="236"/>
      <c r="D190" s="237"/>
      <c r="E190" s="238"/>
      <c r="F190" s="243" t="s">
        <v>230</v>
      </c>
      <c r="G190" s="243" t="s">
        <v>231</v>
      </c>
      <c r="H190" s="243" t="s">
        <v>232</v>
      </c>
      <c r="I190" s="243" t="s">
        <v>233</v>
      </c>
      <c r="J190" s="243" t="s">
        <v>234</v>
      </c>
      <c r="K190" s="244" t="s">
        <v>40</v>
      </c>
      <c r="L190" s="244" t="s">
        <v>35</v>
      </c>
      <c r="M190" s="240"/>
      <c r="N190" s="241"/>
    </row>
    <row r="191" spans="1:14" s="242" customFormat="1" ht="39" customHeight="1">
      <c r="A191" s="236"/>
      <c r="B191" s="236"/>
      <c r="C191" s="236"/>
      <c r="D191" s="237"/>
      <c r="E191" s="238"/>
      <c r="F191" s="243"/>
      <c r="G191" s="243"/>
      <c r="H191" s="243"/>
      <c r="I191" s="243"/>
      <c r="J191" s="243"/>
      <c r="K191" s="244"/>
      <c r="L191" s="244"/>
      <c r="M191" s="240"/>
      <c r="N191" s="241"/>
    </row>
    <row r="192" spans="1:14" s="242" customFormat="1" ht="12" customHeight="1">
      <c r="A192" s="250">
        <v>854234</v>
      </c>
      <c r="B192" s="255" t="s">
        <v>293</v>
      </c>
      <c r="C192" s="252" t="s">
        <v>7</v>
      </c>
      <c r="D192" s="253"/>
      <c r="E192" s="253">
        <f aca="true" t="shared" si="6" ref="E192:E222">SUM(F192:N192)</f>
        <v>5000</v>
      </c>
      <c r="F192" s="259"/>
      <c r="G192" s="259"/>
      <c r="H192" s="259"/>
      <c r="I192" s="259">
        <v>5000</v>
      </c>
      <c r="J192" s="259"/>
      <c r="K192" s="259"/>
      <c r="L192" s="259"/>
      <c r="M192" s="276"/>
      <c r="N192" s="260"/>
    </row>
    <row r="193" spans="1:14" s="242" customFormat="1" ht="12" customHeight="1">
      <c r="A193" s="273"/>
      <c r="B193" s="246"/>
      <c r="C193" s="247" t="s">
        <v>4</v>
      </c>
      <c r="D193" s="248"/>
      <c r="E193" s="248">
        <f t="shared" si="6"/>
        <v>5000</v>
      </c>
      <c r="F193" s="274"/>
      <c r="G193" s="274"/>
      <c r="H193" s="274"/>
      <c r="I193" s="274">
        <v>5000</v>
      </c>
      <c r="J193" s="274"/>
      <c r="K193" s="274"/>
      <c r="L193" s="274"/>
      <c r="M193" s="277"/>
      <c r="N193" s="275"/>
    </row>
    <row r="194" spans="1:14" s="242" customFormat="1" ht="12" customHeight="1">
      <c r="A194" s="273"/>
      <c r="B194" s="246"/>
      <c r="C194" s="247" t="s">
        <v>5</v>
      </c>
      <c r="D194" s="248"/>
      <c r="E194" s="248">
        <f t="shared" si="6"/>
        <v>3945</v>
      </c>
      <c r="F194" s="274"/>
      <c r="G194" s="274"/>
      <c r="H194" s="274"/>
      <c r="I194" s="274">
        <v>3945</v>
      </c>
      <c r="J194" s="274"/>
      <c r="K194" s="274"/>
      <c r="L194" s="274"/>
      <c r="M194" s="277"/>
      <c r="N194" s="275"/>
    </row>
    <row r="195" spans="1:14" s="242" customFormat="1" ht="12" customHeight="1">
      <c r="A195" s="273">
        <v>855100</v>
      </c>
      <c r="B195" s="246" t="s">
        <v>294</v>
      </c>
      <c r="C195" s="247" t="s">
        <v>7</v>
      </c>
      <c r="D195" s="248">
        <v>5000</v>
      </c>
      <c r="E195" s="248">
        <f t="shared" si="6"/>
        <v>39000</v>
      </c>
      <c r="F195" s="274"/>
      <c r="G195" s="274"/>
      <c r="H195" s="274">
        <v>39000</v>
      </c>
      <c r="I195" s="274"/>
      <c r="J195" s="274"/>
      <c r="K195" s="274"/>
      <c r="L195" s="274"/>
      <c r="M195" s="274"/>
      <c r="N195" s="275"/>
    </row>
    <row r="196" spans="1:14" s="242" customFormat="1" ht="12" customHeight="1">
      <c r="A196" s="250"/>
      <c r="B196" s="255"/>
      <c r="C196" s="247" t="s">
        <v>4</v>
      </c>
      <c r="D196" s="253">
        <v>5000</v>
      </c>
      <c r="E196" s="253">
        <f t="shared" si="6"/>
        <v>39000</v>
      </c>
      <c r="F196" s="259"/>
      <c r="G196" s="259"/>
      <c r="H196" s="259">
        <v>39000</v>
      </c>
      <c r="I196" s="259"/>
      <c r="J196" s="259"/>
      <c r="K196" s="259"/>
      <c r="L196" s="259"/>
      <c r="M196" s="259"/>
      <c r="N196" s="260"/>
    </row>
    <row r="197" spans="1:14" s="242" customFormat="1" ht="12" customHeight="1">
      <c r="A197" s="250"/>
      <c r="B197" s="255"/>
      <c r="C197" s="247" t="s">
        <v>5</v>
      </c>
      <c r="D197" s="253">
        <v>1927</v>
      </c>
      <c r="E197" s="253">
        <f t="shared" si="6"/>
        <v>39250</v>
      </c>
      <c r="F197" s="259"/>
      <c r="G197" s="259"/>
      <c r="H197" s="259">
        <v>39250</v>
      </c>
      <c r="I197" s="259"/>
      <c r="J197" s="259"/>
      <c r="K197" s="259"/>
      <c r="L197" s="259"/>
      <c r="M197" s="259"/>
      <c r="N197" s="260"/>
    </row>
    <row r="198" spans="1:14" s="242" customFormat="1" ht="12" customHeight="1">
      <c r="A198" s="250">
        <v>856000</v>
      </c>
      <c r="B198" s="255" t="s">
        <v>295</v>
      </c>
      <c r="C198" s="252" t="s">
        <v>7</v>
      </c>
      <c r="D198" s="253"/>
      <c r="E198" s="253">
        <f t="shared" si="6"/>
        <v>1500</v>
      </c>
      <c r="F198" s="259"/>
      <c r="G198" s="259"/>
      <c r="H198" s="259">
        <v>1500</v>
      </c>
      <c r="I198" s="259"/>
      <c r="J198" s="259"/>
      <c r="K198" s="259"/>
      <c r="L198" s="259"/>
      <c r="M198" s="259"/>
      <c r="N198" s="260"/>
    </row>
    <row r="199" spans="1:14" s="242" customFormat="1" ht="12" customHeight="1">
      <c r="A199" s="250"/>
      <c r="B199" s="255"/>
      <c r="C199" s="247" t="s">
        <v>4</v>
      </c>
      <c r="D199" s="253"/>
      <c r="E199" s="253">
        <f t="shared" si="6"/>
        <v>10700</v>
      </c>
      <c r="F199" s="259"/>
      <c r="G199" s="259"/>
      <c r="H199" s="259">
        <v>5700</v>
      </c>
      <c r="I199" s="259">
        <v>5000</v>
      </c>
      <c r="J199" s="259"/>
      <c r="K199" s="259"/>
      <c r="L199" s="259"/>
      <c r="M199" s="259"/>
      <c r="N199" s="260"/>
    </row>
    <row r="200" spans="1:14" s="242" customFormat="1" ht="12" customHeight="1">
      <c r="A200" s="250"/>
      <c r="B200" s="255"/>
      <c r="C200" s="247" t="s">
        <v>5</v>
      </c>
      <c r="D200" s="253"/>
      <c r="E200" s="253">
        <f t="shared" si="6"/>
        <v>10332</v>
      </c>
      <c r="F200" s="259"/>
      <c r="G200" s="259"/>
      <c r="H200" s="259">
        <v>5332</v>
      </c>
      <c r="I200" s="259">
        <v>5000</v>
      </c>
      <c r="J200" s="259"/>
      <c r="K200" s="259"/>
      <c r="L200" s="259"/>
      <c r="M200" s="259"/>
      <c r="N200" s="260"/>
    </row>
    <row r="201" spans="1:14" s="242" customFormat="1" ht="12" customHeight="1">
      <c r="A201" s="250">
        <v>862000</v>
      </c>
      <c r="B201" s="255" t="s">
        <v>296</v>
      </c>
      <c r="C201" s="252" t="s">
        <v>7</v>
      </c>
      <c r="D201" s="253"/>
      <c r="E201" s="253">
        <f t="shared" si="6"/>
        <v>5550</v>
      </c>
      <c r="F201" s="259"/>
      <c r="G201" s="259"/>
      <c r="H201" s="259"/>
      <c r="I201" s="259">
        <v>5550</v>
      </c>
      <c r="J201" s="259"/>
      <c r="K201" s="259"/>
      <c r="L201" s="259"/>
      <c r="M201" s="259"/>
      <c r="N201" s="260"/>
    </row>
    <row r="202" spans="1:14" s="242" customFormat="1" ht="12" customHeight="1">
      <c r="A202" s="273"/>
      <c r="B202" s="246"/>
      <c r="C202" s="247" t="s">
        <v>4</v>
      </c>
      <c r="D202" s="248"/>
      <c r="E202" s="253">
        <f t="shared" si="6"/>
        <v>10976</v>
      </c>
      <c r="F202" s="274"/>
      <c r="G202" s="274"/>
      <c r="H202" s="274"/>
      <c r="I202" s="274">
        <v>5550</v>
      </c>
      <c r="J202" s="274">
        <v>5426</v>
      </c>
      <c r="K202" s="274"/>
      <c r="L202" s="274"/>
      <c r="M202" s="274"/>
      <c r="N202" s="275"/>
    </row>
    <row r="203" spans="1:14" s="242" customFormat="1" ht="12" customHeight="1">
      <c r="A203" s="273"/>
      <c r="B203" s="246"/>
      <c r="C203" s="247" t="s">
        <v>5</v>
      </c>
      <c r="D203" s="248"/>
      <c r="E203" s="253">
        <f t="shared" si="6"/>
        <v>7088</v>
      </c>
      <c r="F203" s="274"/>
      <c r="G203" s="274"/>
      <c r="H203" s="274"/>
      <c r="I203" s="274">
        <v>5550</v>
      </c>
      <c r="J203" s="274">
        <v>1538</v>
      </c>
      <c r="K203" s="274"/>
      <c r="L203" s="274"/>
      <c r="M203" s="274"/>
      <c r="N203" s="275"/>
    </row>
    <row r="204" spans="1:14" s="242" customFormat="1" ht="12" customHeight="1">
      <c r="A204" s="273">
        <v>869045</v>
      </c>
      <c r="B204" s="246" t="s">
        <v>297</v>
      </c>
      <c r="C204" s="247" t="s">
        <v>7</v>
      </c>
      <c r="D204" s="248"/>
      <c r="E204" s="248">
        <f t="shared" si="6"/>
        <v>0</v>
      </c>
      <c r="F204" s="274"/>
      <c r="G204" s="274"/>
      <c r="H204" s="274"/>
      <c r="I204" s="274"/>
      <c r="J204" s="274"/>
      <c r="K204" s="274"/>
      <c r="L204" s="274"/>
      <c r="M204" s="274"/>
      <c r="N204" s="275"/>
    </row>
    <row r="205" spans="1:14" s="242" customFormat="1" ht="12" customHeight="1">
      <c r="A205" s="273"/>
      <c r="B205" s="246"/>
      <c r="C205" s="247" t="s">
        <v>4</v>
      </c>
      <c r="D205" s="248">
        <v>1250</v>
      </c>
      <c r="E205" s="253">
        <f t="shared" si="6"/>
        <v>1300</v>
      </c>
      <c r="F205" s="274"/>
      <c r="G205" s="274"/>
      <c r="H205" s="274">
        <v>1300</v>
      </c>
      <c r="I205" s="274"/>
      <c r="J205" s="274"/>
      <c r="K205" s="274"/>
      <c r="L205" s="274"/>
      <c r="M205" s="274"/>
      <c r="N205" s="275"/>
    </row>
    <row r="206" spans="1:14" s="242" customFormat="1" ht="12" customHeight="1">
      <c r="A206" s="273"/>
      <c r="B206" s="246"/>
      <c r="C206" s="247" t="s">
        <v>5</v>
      </c>
      <c r="D206" s="248">
        <v>450</v>
      </c>
      <c r="E206" s="253">
        <f t="shared" si="6"/>
        <v>1191</v>
      </c>
      <c r="F206" s="274">
        <v>444</v>
      </c>
      <c r="G206" s="274">
        <v>107</v>
      </c>
      <c r="H206" s="274">
        <v>640</v>
      </c>
      <c r="I206" s="274"/>
      <c r="J206" s="274"/>
      <c r="K206" s="274"/>
      <c r="L206" s="274"/>
      <c r="M206" s="274"/>
      <c r="N206" s="275"/>
    </row>
    <row r="207" spans="1:14" s="242" customFormat="1" ht="12" customHeight="1">
      <c r="A207" s="273">
        <v>879012</v>
      </c>
      <c r="B207" s="246" t="s">
        <v>298</v>
      </c>
      <c r="C207" s="247" t="s">
        <v>7</v>
      </c>
      <c r="D207" s="248"/>
      <c r="E207" s="253">
        <f t="shared" si="6"/>
        <v>0</v>
      </c>
      <c r="F207" s="274"/>
      <c r="G207" s="274"/>
      <c r="H207" s="274"/>
      <c r="I207" s="274"/>
      <c r="J207" s="274"/>
      <c r="K207" s="274"/>
      <c r="L207" s="274"/>
      <c r="M207" s="274"/>
      <c r="N207" s="275"/>
    </row>
    <row r="208" spans="1:14" s="242" customFormat="1" ht="12" customHeight="1">
      <c r="A208" s="273"/>
      <c r="B208" s="246"/>
      <c r="C208" s="247" t="s">
        <v>4</v>
      </c>
      <c r="D208" s="248">
        <v>272</v>
      </c>
      <c r="E208" s="253">
        <f t="shared" si="6"/>
        <v>272</v>
      </c>
      <c r="F208" s="274"/>
      <c r="G208" s="274"/>
      <c r="H208" s="274">
        <v>272</v>
      </c>
      <c r="I208" s="274"/>
      <c r="J208" s="274"/>
      <c r="K208" s="274"/>
      <c r="L208" s="274"/>
      <c r="M208" s="274"/>
      <c r="N208" s="275"/>
    </row>
    <row r="209" spans="1:14" s="242" customFormat="1" ht="12" customHeight="1">
      <c r="A209" s="273"/>
      <c r="B209" s="246"/>
      <c r="C209" s="247" t="s">
        <v>5</v>
      </c>
      <c r="D209" s="248">
        <v>786</v>
      </c>
      <c r="E209" s="253">
        <f t="shared" si="6"/>
        <v>765</v>
      </c>
      <c r="F209" s="274"/>
      <c r="G209" s="274"/>
      <c r="H209" s="274">
        <v>765</v>
      </c>
      <c r="I209" s="274"/>
      <c r="J209" s="274"/>
      <c r="K209" s="274"/>
      <c r="L209" s="274"/>
      <c r="M209" s="274"/>
      <c r="N209" s="275"/>
    </row>
    <row r="210" spans="1:14" s="242" customFormat="1" ht="12" customHeight="1">
      <c r="A210" s="273">
        <v>882000</v>
      </c>
      <c r="B210" s="246" t="s">
        <v>299</v>
      </c>
      <c r="C210" s="247" t="s">
        <v>7</v>
      </c>
      <c r="D210" s="248"/>
      <c r="E210" s="248">
        <f t="shared" si="6"/>
        <v>6500</v>
      </c>
      <c r="F210" s="274"/>
      <c r="G210" s="274"/>
      <c r="H210" s="274"/>
      <c r="I210" s="274">
        <v>6500</v>
      </c>
      <c r="J210" s="274"/>
      <c r="K210" s="274"/>
      <c r="L210" s="274"/>
      <c r="M210" s="274"/>
      <c r="N210" s="275"/>
    </row>
    <row r="211" spans="1:14" s="242" customFormat="1" ht="12" customHeight="1">
      <c r="A211" s="250"/>
      <c r="B211" s="255"/>
      <c r="C211" s="247" t="s">
        <v>4</v>
      </c>
      <c r="D211" s="253"/>
      <c r="E211" s="253">
        <f t="shared" si="6"/>
        <v>8380</v>
      </c>
      <c r="F211" s="259"/>
      <c r="G211" s="259"/>
      <c r="H211" s="259"/>
      <c r="I211" s="259">
        <v>8380</v>
      </c>
      <c r="J211" s="259"/>
      <c r="K211" s="259"/>
      <c r="L211" s="259"/>
      <c r="M211" s="259"/>
      <c r="N211" s="260"/>
    </row>
    <row r="212" spans="1:14" s="242" customFormat="1" ht="12" customHeight="1">
      <c r="A212" s="250"/>
      <c r="B212" s="255"/>
      <c r="C212" s="247" t="s">
        <v>5</v>
      </c>
      <c r="D212" s="253"/>
      <c r="E212" s="253">
        <f t="shared" si="6"/>
        <v>8380</v>
      </c>
      <c r="F212" s="259"/>
      <c r="G212" s="259"/>
      <c r="H212" s="259"/>
      <c r="I212" s="259">
        <v>8380</v>
      </c>
      <c r="J212" s="259"/>
      <c r="K212" s="259"/>
      <c r="L212" s="259"/>
      <c r="M212" s="259"/>
      <c r="N212" s="260"/>
    </row>
    <row r="213" spans="1:14" s="242" customFormat="1" ht="12" customHeight="1">
      <c r="A213" s="250">
        <v>882111</v>
      </c>
      <c r="B213" s="255" t="s">
        <v>300</v>
      </c>
      <c r="C213" s="252" t="s">
        <v>7</v>
      </c>
      <c r="D213" s="253">
        <v>67186</v>
      </c>
      <c r="E213" s="253">
        <f t="shared" si="6"/>
        <v>82251</v>
      </c>
      <c r="F213" s="259"/>
      <c r="G213" s="259"/>
      <c r="H213" s="259"/>
      <c r="I213" s="259"/>
      <c r="J213" s="259">
        <v>82251</v>
      </c>
      <c r="K213" s="259"/>
      <c r="L213" s="259"/>
      <c r="M213" s="259"/>
      <c r="N213" s="260"/>
    </row>
    <row r="214" spans="1:14" s="242" customFormat="1" ht="12" customHeight="1">
      <c r="A214" s="261"/>
      <c r="B214" s="262"/>
      <c r="C214" s="247" t="s">
        <v>4</v>
      </c>
      <c r="D214" s="264">
        <v>35533</v>
      </c>
      <c r="E214" s="253">
        <f t="shared" si="6"/>
        <v>50598</v>
      </c>
      <c r="F214" s="265"/>
      <c r="G214" s="265"/>
      <c r="H214" s="265">
        <v>123</v>
      </c>
      <c r="I214" s="265"/>
      <c r="J214" s="265">
        <v>50475</v>
      </c>
      <c r="K214" s="265"/>
      <c r="L214" s="265"/>
      <c r="M214" s="265"/>
      <c r="N214" s="266"/>
    </row>
    <row r="215" spans="1:14" s="242" customFormat="1" ht="12" customHeight="1">
      <c r="A215" s="261"/>
      <c r="B215" s="262"/>
      <c r="C215" s="247" t="s">
        <v>5</v>
      </c>
      <c r="D215" s="264">
        <v>35577</v>
      </c>
      <c r="E215" s="253">
        <f t="shared" si="6"/>
        <v>43652</v>
      </c>
      <c r="F215" s="265"/>
      <c r="G215" s="265"/>
      <c r="H215" s="265">
        <v>80</v>
      </c>
      <c r="I215" s="265"/>
      <c r="J215" s="265">
        <v>43572</v>
      </c>
      <c r="K215" s="265"/>
      <c r="L215" s="265"/>
      <c r="M215" s="265"/>
      <c r="N215" s="266"/>
    </row>
    <row r="216" spans="1:14" s="242" customFormat="1" ht="12" customHeight="1">
      <c r="A216" s="250">
        <v>882112</v>
      </c>
      <c r="B216" s="255" t="s">
        <v>301</v>
      </c>
      <c r="C216" s="252" t="s">
        <v>7</v>
      </c>
      <c r="D216" s="253">
        <v>1170</v>
      </c>
      <c r="E216" s="253">
        <f t="shared" si="6"/>
        <v>1300</v>
      </c>
      <c r="F216" s="253"/>
      <c r="G216" s="253"/>
      <c r="H216" s="253"/>
      <c r="I216" s="253"/>
      <c r="J216" s="253">
        <v>1300</v>
      </c>
      <c r="K216" s="253"/>
      <c r="L216" s="253"/>
      <c r="M216" s="253"/>
      <c r="N216" s="254"/>
    </row>
    <row r="217" spans="1:14" s="242" customFormat="1" ht="12" customHeight="1">
      <c r="A217" s="250"/>
      <c r="B217" s="255"/>
      <c r="C217" s="247" t="s">
        <v>4</v>
      </c>
      <c r="D217" s="253">
        <v>682</v>
      </c>
      <c r="E217" s="253">
        <f t="shared" si="6"/>
        <v>812</v>
      </c>
      <c r="F217" s="253"/>
      <c r="G217" s="253"/>
      <c r="H217" s="253"/>
      <c r="I217" s="253"/>
      <c r="J217" s="253">
        <v>812</v>
      </c>
      <c r="K217" s="253"/>
      <c r="L217" s="253"/>
      <c r="M217" s="253"/>
      <c r="N217" s="254"/>
    </row>
    <row r="218" spans="1:14" s="242" customFormat="1" ht="12" customHeight="1">
      <c r="A218" s="283"/>
      <c r="B218" s="284"/>
      <c r="C218" s="247" t="s">
        <v>5</v>
      </c>
      <c r="D218" s="253">
        <v>682</v>
      </c>
      <c r="E218" s="253">
        <f t="shared" si="6"/>
        <v>813</v>
      </c>
      <c r="F218" s="253"/>
      <c r="G218" s="253"/>
      <c r="H218" s="253">
        <v>1</v>
      </c>
      <c r="I218" s="253"/>
      <c r="J218" s="253">
        <v>812</v>
      </c>
      <c r="K218" s="285"/>
      <c r="L218" s="285"/>
      <c r="M218" s="285"/>
      <c r="N218" s="286"/>
    </row>
    <row r="219" spans="1:14" s="242" customFormat="1" ht="12" customHeight="1">
      <c r="A219" s="250">
        <v>882113</v>
      </c>
      <c r="B219" s="255" t="s">
        <v>302</v>
      </c>
      <c r="C219" s="252" t="s">
        <v>7</v>
      </c>
      <c r="D219" s="253">
        <v>10800</v>
      </c>
      <c r="E219" s="253">
        <f t="shared" si="6"/>
        <v>12000</v>
      </c>
      <c r="F219" s="253"/>
      <c r="G219" s="253"/>
      <c r="H219" s="253"/>
      <c r="I219" s="253"/>
      <c r="J219" s="253">
        <v>12000</v>
      </c>
      <c r="K219" s="253"/>
      <c r="L219" s="253"/>
      <c r="M219" s="253"/>
      <c r="N219" s="254"/>
    </row>
    <row r="220" spans="1:14" s="242" customFormat="1" ht="12" customHeight="1">
      <c r="A220" s="250"/>
      <c r="B220" s="255"/>
      <c r="C220" s="247" t="s">
        <v>4</v>
      </c>
      <c r="D220" s="253">
        <v>9121</v>
      </c>
      <c r="E220" s="253">
        <f t="shared" si="6"/>
        <v>10321</v>
      </c>
      <c r="F220" s="253"/>
      <c r="G220" s="253"/>
      <c r="H220" s="253"/>
      <c r="I220" s="253"/>
      <c r="J220" s="253">
        <v>10321</v>
      </c>
      <c r="K220" s="253"/>
      <c r="L220" s="253"/>
      <c r="M220" s="253"/>
      <c r="N220" s="254"/>
    </row>
    <row r="221" spans="1:14" s="242" customFormat="1" ht="12" customHeight="1">
      <c r="A221" s="250"/>
      <c r="B221" s="255"/>
      <c r="C221" s="247" t="s">
        <v>5</v>
      </c>
      <c r="D221" s="253">
        <v>9121</v>
      </c>
      <c r="E221" s="253">
        <f t="shared" si="6"/>
        <v>10290</v>
      </c>
      <c r="F221" s="253"/>
      <c r="G221" s="253"/>
      <c r="H221" s="253"/>
      <c r="I221" s="253"/>
      <c r="J221" s="253">
        <v>10290</v>
      </c>
      <c r="K221" s="253"/>
      <c r="L221" s="253"/>
      <c r="M221" s="253"/>
      <c r="N221" s="254"/>
    </row>
    <row r="222" spans="1:14" s="242" customFormat="1" ht="12" customHeight="1">
      <c r="A222" s="250">
        <v>882114</v>
      </c>
      <c r="B222" s="255" t="s">
        <v>303</v>
      </c>
      <c r="C222" s="252" t="s">
        <v>7</v>
      </c>
      <c r="D222" s="253"/>
      <c r="E222" s="253">
        <f t="shared" si="6"/>
        <v>15000</v>
      </c>
      <c r="F222" s="259"/>
      <c r="G222" s="259"/>
      <c r="H222" s="259"/>
      <c r="I222" s="259"/>
      <c r="J222" s="259">
        <v>15000</v>
      </c>
      <c r="K222" s="259"/>
      <c r="L222" s="259"/>
      <c r="M222" s="259"/>
      <c r="N222" s="260"/>
    </row>
    <row r="223" spans="1:14" s="242" customFormat="1" ht="12" customHeight="1">
      <c r="A223" s="273"/>
      <c r="B223" s="246"/>
      <c r="C223" s="247" t="s">
        <v>4</v>
      </c>
      <c r="D223" s="248"/>
      <c r="E223" s="253">
        <f aca="true" t="shared" si="7" ref="E223:E230">SUM(F223:N223)</f>
        <v>14000</v>
      </c>
      <c r="F223" s="274"/>
      <c r="G223" s="274"/>
      <c r="H223" s="274"/>
      <c r="I223" s="274"/>
      <c r="J223" s="274">
        <v>14000</v>
      </c>
      <c r="K223" s="274"/>
      <c r="L223" s="274"/>
      <c r="M223" s="274"/>
      <c r="N223" s="275"/>
    </row>
    <row r="224" spans="1:14" s="242" customFormat="1" ht="12" customHeight="1">
      <c r="A224" s="273"/>
      <c r="B224" s="246"/>
      <c r="C224" s="247" t="s">
        <v>5</v>
      </c>
      <c r="D224" s="248"/>
      <c r="E224" s="253">
        <f t="shared" si="7"/>
        <v>9082</v>
      </c>
      <c r="F224" s="274"/>
      <c r="G224" s="274"/>
      <c r="H224" s="274"/>
      <c r="I224" s="274"/>
      <c r="J224" s="274">
        <v>9082</v>
      </c>
      <c r="K224" s="274"/>
      <c r="L224" s="274"/>
      <c r="M224" s="274"/>
      <c r="N224" s="275"/>
    </row>
    <row r="225" spans="1:14" s="242" customFormat="1" ht="12" customHeight="1">
      <c r="A225" s="273">
        <v>882115</v>
      </c>
      <c r="B225" s="246" t="s">
        <v>304</v>
      </c>
      <c r="C225" s="247" t="s">
        <v>7</v>
      </c>
      <c r="D225" s="248">
        <v>21469</v>
      </c>
      <c r="E225" s="248">
        <f t="shared" si="7"/>
        <v>31088</v>
      </c>
      <c r="F225" s="274"/>
      <c r="G225" s="274">
        <v>8003</v>
      </c>
      <c r="H225" s="274"/>
      <c r="I225" s="274"/>
      <c r="J225" s="274">
        <v>23085</v>
      </c>
      <c r="K225" s="274"/>
      <c r="L225" s="274"/>
      <c r="M225" s="274"/>
      <c r="N225" s="275"/>
    </row>
    <row r="226" spans="1:14" s="242" customFormat="1" ht="12" customHeight="1">
      <c r="A226" s="273"/>
      <c r="B226" s="246"/>
      <c r="C226" s="247" t="s">
        <v>4</v>
      </c>
      <c r="D226" s="248">
        <v>19994</v>
      </c>
      <c r="E226" s="253">
        <f t="shared" si="7"/>
        <v>27150</v>
      </c>
      <c r="F226" s="274"/>
      <c r="G226" s="274">
        <v>5255</v>
      </c>
      <c r="H226" s="274"/>
      <c r="I226" s="274"/>
      <c r="J226" s="274">
        <v>21895</v>
      </c>
      <c r="K226" s="274"/>
      <c r="L226" s="274"/>
      <c r="M226" s="274"/>
      <c r="N226" s="275"/>
    </row>
    <row r="227" spans="1:14" s="242" customFormat="1" ht="12" customHeight="1">
      <c r="A227" s="273"/>
      <c r="B227" s="246"/>
      <c r="C227" s="247" t="s">
        <v>5</v>
      </c>
      <c r="D227" s="248">
        <v>19994</v>
      </c>
      <c r="E227" s="253">
        <f t="shared" si="7"/>
        <v>26634</v>
      </c>
      <c r="F227" s="274"/>
      <c r="G227" s="274">
        <v>5150</v>
      </c>
      <c r="H227" s="274">
        <v>24</v>
      </c>
      <c r="I227" s="274"/>
      <c r="J227" s="274">
        <v>21460</v>
      </c>
      <c r="K227" s="274"/>
      <c r="L227" s="274"/>
      <c r="M227" s="274"/>
      <c r="N227" s="275"/>
    </row>
    <row r="228" spans="1:14" s="242" customFormat="1" ht="12" customHeight="1">
      <c r="A228" s="273">
        <v>882116</v>
      </c>
      <c r="B228" s="246" t="s">
        <v>305</v>
      </c>
      <c r="C228" s="247" t="s">
        <v>7</v>
      </c>
      <c r="D228" s="248"/>
      <c r="E228" s="248">
        <f t="shared" si="7"/>
        <v>10260</v>
      </c>
      <c r="F228" s="274"/>
      <c r="G228" s="274"/>
      <c r="H228" s="274"/>
      <c r="I228" s="274"/>
      <c r="J228" s="274">
        <v>10260</v>
      </c>
      <c r="K228" s="274"/>
      <c r="L228" s="274"/>
      <c r="M228" s="274"/>
      <c r="N228" s="275"/>
    </row>
    <row r="229" spans="1:14" s="242" customFormat="1" ht="12" customHeight="1">
      <c r="A229" s="250"/>
      <c r="B229" s="255"/>
      <c r="C229" s="247" t="s">
        <v>4</v>
      </c>
      <c r="D229" s="253"/>
      <c r="E229" s="253">
        <f t="shared" si="7"/>
        <v>8223</v>
      </c>
      <c r="F229" s="259"/>
      <c r="G229" s="259">
        <v>2463</v>
      </c>
      <c r="H229" s="259"/>
      <c r="I229" s="259"/>
      <c r="J229" s="259">
        <v>5760</v>
      </c>
      <c r="K229" s="259"/>
      <c r="L229" s="259"/>
      <c r="M229" s="259"/>
      <c r="N229" s="260"/>
    </row>
    <row r="230" spans="1:14" s="242" customFormat="1" ht="12" customHeight="1">
      <c r="A230" s="250"/>
      <c r="B230" s="255"/>
      <c r="C230" s="247" t="s">
        <v>5</v>
      </c>
      <c r="D230" s="253"/>
      <c r="E230" s="253">
        <f t="shared" si="7"/>
        <v>5732</v>
      </c>
      <c r="F230" s="259"/>
      <c r="G230" s="259">
        <v>1039</v>
      </c>
      <c r="H230" s="259">
        <v>363</v>
      </c>
      <c r="I230" s="259"/>
      <c r="J230" s="259">
        <v>4330</v>
      </c>
      <c r="K230" s="259"/>
      <c r="L230" s="259"/>
      <c r="M230" s="259"/>
      <c r="N230" s="260"/>
    </row>
    <row r="231" spans="1:14" s="242" customFormat="1" ht="12" customHeight="1">
      <c r="A231" s="250">
        <v>882117</v>
      </c>
      <c r="B231" s="255" t="s">
        <v>306</v>
      </c>
      <c r="C231" s="252" t="s">
        <v>7</v>
      </c>
      <c r="D231" s="253">
        <v>6600</v>
      </c>
      <c r="E231" s="253">
        <f aca="true" t="shared" si="8" ref="E231:E251">SUM(F231:N231)</f>
        <v>6600</v>
      </c>
      <c r="F231" s="259"/>
      <c r="G231" s="259"/>
      <c r="H231" s="259"/>
      <c r="I231" s="259"/>
      <c r="J231" s="259">
        <v>6600</v>
      </c>
      <c r="K231" s="259"/>
      <c r="L231" s="259"/>
      <c r="M231" s="259"/>
      <c r="N231" s="260"/>
    </row>
    <row r="232" spans="1:14" s="242" customFormat="1" ht="12" customHeight="1">
      <c r="A232" s="250"/>
      <c r="B232" s="255"/>
      <c r="C232" s="247" t="s">
        <v>4</v>
      </c>
      <c r="D232" s="253">
        <v>7842</v>
      </c>
      <c r="E232" s="253">
        <f t="shared" si="8"/>
        <v>7842</v>
      </c>
      <c r="F232" s="259"/>
      <c r="G232" s="259"/>
      <c r="H232" s="259"/>
      <c r="I232" s="259"/>
      <c r="J232" s="259">
        <v>7842</v>
      </c>
      <c r="K232" s="259"/>
      <c r="L232" s="259"/>
      <c r="M232" s="259"/>
      <c r="N232" s="260"/>
    </row>
    <row r="233" spans="1:14" s="242" customFormat="1" ht="12" customHeight="1">
      <c r="A233" s="250"/>
      <c r="B233" s="255"/>
      <c r="C233" s="247" t="s">
        <v>5</v>
      </c>
      <c r="D233" s="253">
        <v>7842</v>
      </c>
      <c r="E233" s="253">
        <f t="shared" si="8"/>
        <v>7863</v>
      </c>
      <c r="F233" s="259"/>
      <c r="G233" s="259"/>
      <c r="H233" s="259">
        <v>21</v>
      </c>
      <c r="I233" s="259"/>
      <c r="J233" s="259">
        <v>7842</v>
      </c>
      <c r="K233" s="259"/>
      <c r="L233" s="259"/>
      <c r="M233" s="259"/>
      <c r="N233" s="260"/>
    </row>
    <row r="234" spans="1:14" s="242" customFormat="1" ht="12" customHeight="1">
      <c r="A234" s="250">
        <v>882119</v>
      </c>
      <c r="B234" s="255" t="s">
        <v>307</v>
      </c>
      <c r="C234" s="252" t="s">
        <v>7</v>
      </c>
      <c r="D234" s="253"/>
      <c r="E234" s="253">
        <f t="shared" si="8"/>
        <v>0</v>
      </c>
      <c r="F234" s="259"/>
      <c r="G234" s="259"/>
      <c r="H234" s="259"/>
      <c r="I234" s="259"/>
      <c r="J234" s="259"/>
      <c r="K234" s="259"/>
      <c r="L234" s="259"/>
      <c r="M234" s="259"/>
      <c r="N234" s="260"/>
    </row>
    <row r="235" spans="1:14" s="242" customFormat="1" ht="12" customHeight="1">
      <c r="A235" s="250"/>
      <c r="B235" s="255"/>
      <c r="C235" s="247" t="s">
        <v>4</v>
      </c>
      <c r="D235" s="253">
        <v>30</v>
      </c>
      <c r="E235" s="253">
        <f t="shared" si="8"/>
        <v>30</v>
      </c>
      <c r="F235" s="259"/>
      <c r="G235" s="259"/>
      <c r="H235" s="259"/>
      <c r="I235" s="259"/>
      <c r="J235" s="259">
        <v>30</v>
      </c>
      <c r="K235" s="259"/>
      <c r="L235" s="259"/>
      <c r="M235" s="259"/>
      <c r="N235" s="260"/>
    </row>
    <row r="236" spans="1:14" s="242" customFormat="1" ht="12" customHeight="1">
      <c r="A236" s="250"/>
      <c r="B236" s="255"/>
      <c r="C236" s="247" t="s">
        <v>5</v>
      </c>
      <c r="D236" s="253">
        <v>30</v>
      </c>
      <c r="E236" s="253">
        <f t="shared" si="8"/>
        <v>31</v>
      </c>
      <c r="F236" s="259"/>
      <c r="G236" s="259"/>
      <c r="H236" s="259">
        <v>1</v>
      </c>
      <c r="I236" s="259"/>
      <c r="J236" s="259">
        <v>30</v>
      </c>
      <c r="K236" s="259"/>
      <c r="L236" s="259"/>
      <c r="M236" s="259"/>
      <c r="N236" s="260"/>
    </row>
    <row r="237" spans="1:14" s="242" customFormat="1" ht="12" customHeight="1">
      <c r="A237" s="250">
        <v>882122</v>
      </c>
      <c r="B237" s="255" t="s">
        <v>308</v>
      </c>
      <c r="C237" s="252" t="s">
        <v>7</v>
      </c>
      <c r="D237" s="253"/>
      <c r="E237" s="253">
        <f t="shared" si="8"/>
        <v>20000</v>
      </c>
      <c r="F237" s="259"/>
      <c r="G237" s="259"/>
      <c r="H237" s="259"/>
      <c r="I237" s="259"/>
      <c r="J237" s="259">
        <v>20000</v>
      </c>
      <c r="K237" s="259"/>
      <c r="L237" s="259"/>
      <c r="M237" s="259"/>
      <c r="N237" s="260"/>
    </row>
    <row r="238" spans="1:14" s="242" customFormat="1" ht="12" customHeight="1">
      <c r="A238" s="250"/>
      <c r="B238" s="255"/>
      <c r="C238" s="247" t="s">
        <v>4</v>
      </c>
      <c r="D238" s="253"/>
      <c r="E238" s="253">
        <f t="shared" si="8"/>
        <v>24474</v>
      </c>
      <c r="F238" s="259"/>
      <c r="G238" s="259"/>
      <c r="H238" s="259"/>
      <c r="I238" s="259"/>
      <c r="J238" s="259">
        <v>24474</v>
      </c>
      <c r="K238" s="259"/>
      <c r="L238" s="259"/>
      <c r="M238" s="259"/>
      <c r="N238" s="260"/>
    </row>
    <row r="239" spans="1:14" s="242" customFormat="1" ht="12" customHeight="1">
      <c r="A239" s="250"/>
      <c r="B239" s="255"/>
      <c r="C239" s="247" t="s">
        <v>5</v>
      </c>
      <c r="D239" s="253"/>
      <c r="E239" s="253">
        <f t="shared" si="8"/>
        <v>25662</v>
      </c>
      <c r="F239" s="259"/>
      <c r="G239" s="259"/>
      <c r="H239" s="259">
        <v>2</v>
      </c>
      <c r="I239" s="259"/>
      <c r="J239" s="259">
        <v>25660</v>
      </c>
      <c r="K239" s="259"/>
      <c r="L239" s="259"/>
      <c r="M239" s="259"/>
      <c r="N239" s="260"/>
    </row>
    <row r="240" spans="1:14" s="242" customFormat="1" ht="12" customHeight="1">
      <c r="A240" s="250">
        <v>882123</v>
      </c>
      <c r="B240" s="255" t="s">
        <v>309</v>
      </c>
      <c r="C240" s="252" t="s">
        <v>7</v>
      </c>
      <c r="D240" s="253"/>
      <c r="E240" s="253">
        <f t="shared" si="8"/>
        <v>6500</v>
      </c>
      <c r="F240" s="259"/>
      <c r="G240" s="259"/>
      <c r="H240" s="259"/>
      <c r="I240" s="259"/>
      <c r="J240" s="259">
        <v>6500</v>
      </c>
      <c r="K240" s="259"/>
      <c r="L240" s="259"/>
      <c r="M240" s="259"/>
      <c r="N240" s="260"/>
    </row>
    <row r="241" spans="1:14" s="242" customFormat="1" ht="12" customHeight="1">
      <c r="A241" s="250"/>
      <c r="B241" s="255"/>
      <c r="C241" s="247" t="s">
        <v>4</v>
      </c>
      <c r="D241" s="253"/>
      <c r="E241" s="253">
        <f t="shared" si="8"/>
        <v>5199</v>
      </c>
      <c r="F241" s="259"/>
      <c r="G241" s="259"/>
      <c r="H241" s="259"/>
      <c r="I241" s="259"/>
      <c r="J241" s="259">
        <v>5199</v>
      </c>
      <c r="K241" s="259"/>
      <c r="L241" s="259"/>
      <c r="M241" s="259"/>
      <c r="N241" s="260"/>
    </row>
    <row r="242" spans="1:14" s="242" customFormat="1" ht="12" customHeight="1">
      <c r="A242" s="250"/>
      <c r="B242" s="255"/>
      <c r="C242" s="247" t="s">
        <v>5</v>
      </c>
      <c r="D242" s="253"/>
      <c r="E242" s="253">
        <f t="shared" si="8"/>
        <v>4988</v>
      </c>
      <c r="F242" s="259"/>
      <c r="G242" s="259"/>
      <c r="H242" s="259"/>
      <c r="I242" s="259"/>
      <c r="J242" s="259">
        <v>4988</v>
      </c>
      <c r="K242" s="259"/>
      <c r="L242" s="259"/>
      <c r="M242" s="259"/>
      <c r="N242" s="260"/>
    </row>
    <row r="243" spans="1:14" s="242" customFormat="1" ht="12" customHeight="1">
      <c r="A243" s="250">
        <v>882124</v>
      </c>
      <c r="B243" s="255" t="s">
        <v>310</v>
      </c>
      <c r="C243" s="252" t="s">
        <v>7</v>
      </c>
      <c r="D243" s="253"/>
      <c r="E243" s="253">
        <f t="shared" si="8"/>
        <v>32000</v>
      </c>
      <c r="F243" s="259"/>
      <c r="G243" s="259"/>
      <c r="H243" s="259"/>
      <c r="I243" s="259"/>
      <c r="J243" s="259">
        <v>32000</v>
      </c>
      <c r="K243" s="259"/>
      <c r="L243" s="259"/>
      <c r="M243" s="259"/>
      <c r="N243" s="260"/>
    </row>
    <row r="244" spans="1:14" s="242" customFormat="1" ht="12" customHeight="1">
      <c r="A244" s="250"/>
      <c r="B244" s="255"/>
      <c r="C244" s="247" t="s">
        <v>4</v>
      </c>
      <c r="D244" s="253"/>
      <c r="E244" s="253">
        <f t="shared" si="8"/>
        <v>36054</v>
      </c>
      <c r="F244" s="259"/>
      <c r="G244" s="259"/>
      <c r="H244" s="259"/>
      <c r="I244" s="259"/>
      <c r="J244" s="259">
        <v>36054</v>
      </c>
      <c r="K244" s="259"/>
      <c r="L244" s="259"/>
      <c r="M244" s="259"/>
      <c r="N244" s="260"/>
    </row>
    <row r="245" spans="1:14" s="242" customFormat="1" ht="12" customHeight="1">
      <c r="A245" s="250"/>
      <c r="B245" s="255"/>
      <c r="C245" s="247" t="s">
        <v>5</v>
      </c>
      <c r="D245" s="253"/>
      <c r="E245" s="253">
        <f t="shared" si="8"/>
        <v>35383</v>
      </c>
      <c r="F245" s="259"/>
      <c r="G245" s="259"/>
      <c r="H245" s="259"/>
      <c r="I245" s="259"/>
      <c r="J245" s="259">
        <v>35383</v>
      </c>
      <c r="K245" s="259"/>
      <c r="L245" s="259"/>
      <c r="M245" s="259"/>
      <c r="N245" s="260"/>
    </row>
    <row r="246" spans="1:14" s="242" customFormat="1" ht="12" customHeight="1">
      <c r="A246" s="250">
        <v>882125</v>
      </c>
      <c r="B246" s="255" t="s">
        <v>311</v>
      </c>
      <c r="C246" s="252" t="s">
        <v>7</v>
      </c>
      <c r="D246" s="253">
        <v>1500</v>
      </c>
      <c r="E246" s="253">
        <f t="shared" si="8"/>
        <v>1500</v>
      </c>
      <c r="F246" s="259"/>
      <c r="G246" s="259"/>
      <c r="H246" s="259"/>
      <c r="I246" s="259"/>
      <c r="J246" s="259">
        <v>1500</v>
      </c>
      <c r="K246" s="259"/>
      <c r="L246" s="259"/>
      <c r="M246" s="259"/>
      <c r="N246" s="260"/>
    </row>
    <row r="247" spans="1:14" s="242" customFormat="1" ht="12" customHeight="1">
      <c r="A247" s="250"/>
      <c r="B247" s="255"/>
      <c r="C247" s="247" t="s">
        <v>4</v>
      </c>
      <c r="D247" s="253">
        <v>1500</v>
      </c>
      <c r="E247" s="253">
        <f t="shared" si="8"/>
        <v>1500</v>
      </c>
      <c r="F247" s="259"/>
      <c r="G247" s="259"/>
      <c r="H247" s="259"/>
      <c r="I247" s="259"/>
      <c r="J247" s="259">
        <v>1500</v>
      </c>
      <c r="K247" s="259"/>
      <c r="L247" s="259"/>
      <c r="M247" s="259"/>
      <c r="N247" s="260"/>
    </row>
    <row r="248" spans="1:14" s="242" customFormat="1" ht="12" customHeight="1">
      <c r="A248" s="250"/>
      <c r="B248" s="255"/>
      <c r="C248" s="247" t="s">
        <v>5</v>
      </c>
      <c r="D248" s="253">
        <v>763</v>
      </c>
      <c r="E248" s="253">
        <f t="shared" si="8"/>
        <v>773</v>
      </c>
      <c r="F248" s="259"/>
      <c r="G248" s="259"/>
      <c r="H248" s="259">
        <v>10</v>
      </c>
      <c r="I248" s="259"/>
      <c r="J248" s="259">
        <v>763</v>
      </c>
      <c r="K248" s="259"/>
      <c r="L248" s="259"/>
      <c r="M248" s="259"/>
      <c r="N248" s="260"/>
    </row>
    <row r="249" spans="1:14" s="242" customFormat="1" ht="12" customHeight="1">
      <c r="A249" s="250">
        <v>882129</v>
      </c>
      <c r="B249" s="255" t="s">
        <v>312</v>
      </c>
      <c r="C249" s="252" t="s">
        <v>7</v>
      </c>
      <c r="D249" s="253"/>
      <c r="E249" s="253">
        <f t="shared" si="8"/>
        <v>5296</v>
      </c>
      <c r="F249" s="259">
        <v>3696</v>
      </c>
      <c r="G249" s="259">
        <v>1020</v>
      </c>
      <c r="H249" s="259">
        <v>580</v>
      </c>
      <c r="I249" s="259"/>
      <c r="J249" s="259"/>
      <c r="K249" s="259"/>
      <c r="L249" s="259"/>
      <c r="M249" s="276"/>
      <c r="N249" s="260"/>
    </row>
    <row r="250" spans="1:14" s="242" customFormat="1" ht="12" customHeight="1">
      <c r="A250" s="261"/>
      <c r="B250" s="262"/>
      <c r="C250" s="263" t="s">
        <v>4</v>
      </c>
      <c r="D250" s="264"/>
      <c r="E250" s="264">
        <f t="shared" si="8"/>
        <v>5296</v>
      </c>
      <c r="F250" s="265">
        <v>3696</v>
      </c>
      <c r="G250" s="265">
        <v>1020</v>
      </c>
      <c r="H250" s="265">
        <v>580</v>
      </c>
      <c r="I250" s="265"/>
      <c r="J250" s="265"/>
      <c r="K250" s="265"/>
      <c r="L250" s="265"/>
      <c r="M250" s="281"/>
      <c r="N250" s="266"/>
    </row>
    <row r="251" spans="1:14" s="242" customFormat="1" ht="12" customHeight="1">
      <c r="A251" s="267"/>
      <c r="B251" s="268"/>
      <c r="C251" s="269" t="s">
        <v>5</v>
      </c>
      <c r="D251" s="270"/>
      <c r="E251" s="270">
        <f t="shared" si="8"/>
        <v>4982</v>
      </c>
      <c r="F251" s="271">
        <v>3763</v>
      </c>
      <c r="G251" s="271">
        <v>754</v>
      </c>
      <c r="H251" s="271">
        <v>465</v>
      </c>
      <c r="I251" s="271"/>
      <c r="J251" s="271"/>
      <c r="K251" s="271"/>
      <c r="L251" s="271"/>
      <c r="M251" s="282"/>
      <c r="N251" s="272"/>
    </row>
    <row r="252" spans="1:14" s="242" customFormat="1" ht="12" customHeight="1">
      <c r="A252" s="236" t="s">
        <v>224</v>
      </c>
      <c r="B252" s="236"/>
      <c r="C252" s="236"/>
      <c r="D252" s="237" t="s">
        <v>225</v>
      </c>
      <c r="E252" s="238" t="s">
        <v>226</v>
      </c>
      <c r="F252" s="239" t="s">
        <v>227</v>
      </c>
      <c r="G252" s="239"/>
      <c r="H252" s="239"/>
      <c r="I252" s="239"/>
      <c r="J252" s="239"/>
      <c r="K252" s="239" t="s">
        <v>228</v>
      </c>
      <c r="L252" s="239"/>
      <c r="M252" s="240" t="s">
        <v>229</v>
      </c>
      <c r="N252" s="241" t="s">
        <v>53</v>
      </c>
    </row>
    <row r="253" spans="1:14" s="242" customFormat="1" ht="12" customHeight="1">
      <c r="A253" s="236"/>
      <c r="B253" s="236"/>
      <c r="C253" s="236"/>
      <c r="D253" s="237"/>
      <c r="E253" s="238"/>
      <c r="F253" s="243" t="s">
        <v>230</v>
      </c>
      <c r="G253" s="243" t="s">
        <v>231</v>
      </c>
      <c r="H253" s="243" t="s">
        <v>232</v>
      </c>
      <c r="I253" s="243" t="s">
        <v>233</v>
      </c>
      <c r="J253" s="243" t="s">
        <v>234</v>
      </c>
      <c r="K253" s="244" t="s">
        <v>40</v>
      </c>
      <c r="L253" s="244" t="s">
        <v>35</v>
      </c>
      <c r="M253" s="240"/>
      <c r="N253" s="241"/>
    </row>
    <row r="254" spans="1:14" s="242" customFormat="1" ht="40.5" customHeight="1">
      <c r="A254" s="236"/>
      <c r="B254" s="236"/>
      <c r="C254" s="236"/>
      <c r="D254" s="237"/>
      <c r="E254" s="238"/>
      <c r="F254" s="243"/>
      <c r="G254" s="243"/>
      <c r="H254" s="243"/>
      <c r="I254" s="243"/>
      <c r="J254" s="243"/>
      <c r="K254" s="244"/>
      <c r="L254" s="244"/>
      <c r="M254" s="240"/>
      <c r="N254" s="241"/>
    </row>
    <row r="255" spans="1:14" s="242" customFormat="1" ht="12" customHeight="1">
      <c r="A255" s="250">
        <v>882129</v>
      </c>
      <c r="B255" s="255" t="s">
        <v>313</v>
      </c>
      <c r="C255" s="252" t="s">
        <v>7</v>
      </c>
      <c r="D255" s="253"/>
      <c r="E255" s="253">
        <f aca="true" t="shared" si="9" ref="E255:E286">SUM(F255:N255)</f>
        <v>200</v>
      </c>
      <c r="F255" s="259"/>
      <c r="G255" s="259"/>
      <c r="H255" s="259"/>
      <c r="I255" s="259"/>
      <c r="J255" s="259">
        <v>200</v>
      </c>
      <c r="K255" s="259"/>
      <c r="L255" s="259"/>
      <c r="M255" s="259"/>
      <c r="N255" s="260"/>
    </row>
    <row r="256" spans="1:14" s="242" customFormat="1" ht="12" customHeight="1">
      <c r="A256" s="250"/>
      <c r="B256" s="255"/>
      <c r="C256" s="247" t="s">
        <v>4</v>
      </c>
      <c r="D256" s="253"/>
      <c r="E256" s="253">
        <f t="shared" si="9"/>
        <v>200</v>
      </c>
      <c r="F256" s="259"/>
      <c r="G256" s="259"/>
      <c r="H256" s="259"/>
      <c r="I256" s="259"/>
      <c r="J256" s="259">
        <v>200</v>
      </c>
      <c r="K256" s="259"/>
      <c r="L256" s="259"/>
      <c r="M256" s="259"/>
      <c r="N256" s="260"/>
    </row>
    <row r="257" spans="1:14" s="242" customFormat="1" ht="12" customHeight="1">
      <c r="A257" s="250"/>
      <c r="B257" s="255"/>
      <c r="C257" s="247" t="s">
        <v>5</v>
      </c>
      <c r="D257" s="253"/>
      <c r="E257" s="253">
        <f t="shared" si="9"/>
        <v>80</v>
      </c>
      <c r="F257" s="259"/>
      <c r="G257" s="259"/>
      <c r="H257" s="259"/>
      <c r="I257" s="259"/>
      <c r="J257" s="259">
        <v>80</v>
      </c>
      <c r="K257" s="259"/>
      <c r="L257" s="259"/>
      <c r="M257" s="259"/>
      <c r="N257" s="260"/>
    </row>
    <row r="258" spans="1:14" s="242" customFormat="1" ht="12" customHeight="1">
      <c r="A258" s="250">
        <v>882201</v>
      </c>
      <c r="B258" s="255" t="s">
        <v>314</v>
      </c>
      <c r="C258" s="252" t="s">
        <v>7</v>
      </c>
      <c r="D258" s="253">
        <v>4500</v>
      </c>
      <c r="E258" s="253">
        <f t="shared" si="9"/>
        <v>5000</v>
      </c>
      <c r="F258" s="259"/>
      <c r="G258" s="259"/>
      <c r="H258" s="259"/>
      <c r="I258" s="259"/>
      <c r="J258" s="259">
        <v>5000</v>
      </c>
      <c r="K258" s="259"/>
      <c r="L258" s="259"/>
      <c r="M258" s="259"/>
      <c r="N258" s="260"/>
    </row>
    <row r="259" spans="1:14" s="242" customFormat="1" ht="12" customHeight="1">
      <c r="A259" s="273"/>
      <c r="B259" s="246"/>
      <c r="C259" s="247" t="s">
        <v>4</v>
      </c>
      <c r="D259" s="248">
        <v>5180</v>
      </c>
      <c r="E259" s="253">
        <f t="shared" si="9"/>
        <v>6007</v>
      </c>
      <c r="F259" s="274"/>
      <c r="G259" s="274"/>
      <c r="H259" s="274"/>
      <c r="I259" s="274"/>
      <c r="J259" s="274">
        <v>6007</v>
      </c>
      <c r="K259" s="274"/>
      <c r="L259" s="274"/>
      <c r="M259" s="274"/>
      <c r="N259" s="275"/>
    </row>
    <row r="260" spans="1:14" s="242" customFormat="1" ht="12" customHeight="1">
      <c r="A260" s="273"/>
      <c r="B260" s="246"/>
      <c r="C260" s="247" t="s">
        <v>5</v>
      </c>
      <c r="D260" s="248">
        <v>5180</v>
      </c>
      <c r="E260" s="253">
        <f t="shared" si="9"/>
        <v>6007</v>
      </c>
      <c r="F260" s="274"/>
      <c r="G260" s="274"/>
      <c r="H260" s="274"/>
      <c r="I260" s="274"/>
      <c r="J260" s="274">
        <v>6007</v>
      </c>
      <c r="K260" s="274"/>
      <c r="L260" s="274"/>
      <c r="M260" s="274"/>
      <c r="N260" s="275"/>
    </row>
    <row r="261" spans="1:14" s="242" customFormat="1" ht="12" customHeight="1">
      <c r="A261" s="273">
        <v>882202</v>
      </c>
      <c r="B261" s="246" t="s">
        <v>315</v>
      </c>
      <c r="C261" s="247" t="s">
        <v>7</v>
      </c>
      <c r="D261" s="248"/>
      <c r="E261" s="248">
        <f t="shared" si="9"/>
        <v>2000</v>
      </c>
      <c r="F261" s="274"/>
      <c r="G261" s="274"/>
      <c r="H261" s="274"/>
      <c r="I261" s="274"/>
      <c r="J261" s="274">
        <v>2000</v>
      </c>
      <c r="K261" s="274"/>
      <c r="L261" s="274"/>
      <c r="M261" s="274"/>
      <c r="N261" s="275"/>
    </row>
    <row r="262" spans="1:14" s="242" customFormat="1" ht="12" customHeight="1">
      <c r="A262" s="250"/>
      <c r="B262" s="255"/>
      <c r="C262" s="247" t="s">
        <v>4</v>
      </c>
      <c r="D262" s="253"/>
      <c r="E262" s="253">
        <f t="shared" si="9"/>
        <v>2000</v>
      </c>
      <c r="F262" s="259"/>
      <c r="G262" s="259"/>
      <c r="H262" s="259"/>
      <c r="I262" s="259"/>
      <c r="J262" s="259">
        <v>2000</v>
      </c>
      <c r="K262" s="259"/>
      <c r="L262" s="259"/>
      <c r="M262" s="259"/>
      <c r="N262" s="260"/>
    </row>
    <row r="263" spans="1:14" s="242" customFormat="1" ht="12" customHeight="1">
      <c r="A263" s="250"/>
      <c r="B263" s="255"/>
      <c r="C263" s="247" t="s">
        <v>5</v>
      </c>
      <c r="D263" s="253"/>
      <c r="E263" s="253">
        <f t="shared" si="9"/>
        <v>876</v>
      </c>
      <c r="F263" s="259"/>
      <c r="G263" s="259"/>
      <c r="H263" s="259"/>
      <c r="I263" s="259"/>
      <c r="J263" s="259">
        <v>876</v>
      </c>
      <c r="K263" s="259"/>
      <c r="L263" s="259"/>
      <c r="M263" s="259"/>
      <c r="N263" s="260"/>
    </row>
    <row r="264" spans="1:14" s="242" customFormat="1" ht="12" customHeight="1">
      <c r="A264" s="250">
        <v>882203</v>
      </c>
      <c r="B264" s="255" t="s">
        <v>316</v>
      </c>
      <c r="C264" s="252" t="s">
        <v>7</v>
      </c>
      <c r="D264" s="253"/>
      <c r="E264" s="253">
        <f t="shared" si="9"/>
        <v>1500</v>
      </c>
      <c r="F264" s="259"/>
      <c r="G264" s="259"/>
      <c r="H264" s="259"/>
      <c r="I264" s="259"/>
      <c r="J264" s="259">
        <v>1500</v>
      </c>
      <c r="K264" s="259"/>
      <c r="L264" s="259"/>
      <c r="M264" s="259"/>
      <c r="N264" s="260"/>
    </row>
    <row r="265" spans="1:14" s="242" customFormat="1" ht="12" customHeight="1">
      <c r="A265" s="250"/>
      <c r="B265" s="255"/>
      <c r="C265" s="247" t="s">
        <v>4</v>
      </c>
      <c r="D265" s="253"/>
      <c r="E265" s="253">
        <f t="shared" si="9"/>
        <v>1500</v>
      </c>
      <c r="F265" s="259"/>
      <c r="G265" s="259"/>
      <c r="H265" s="259"/>
      <c r="I265" s="259"/>
      <c r="J265" s="259">
        <v>1500</v>
      </c>
      <c r="K265" s="259"/>
      <c r="L265" s="259"/>
      <c r="M265" s="259"/>
      <c r="N265" s="260"/>
    </row>
    <row r="266" spans="1:14" s="242" customFormat="1" ht="12" customHeight="1">
      <c r="A266" s="250"/>
      <c r="B266" s="255"/>
      <c r="C266" s="247" t="s">
        <v>5</v>
      </c>
      <c r="D266" s="253">
        <v>139</v>
      </c>
      <c r="E266" s="253">
        <f t="shared" si="9"/>
        <v>926</v>
      </c>
      <c r="F266" s="259"/>
      <c r="G266" s="259"/>
      <c r="H266" s="259"/>
      <c r="I266" s="259"/>
      <c r="J266" s="259">
        <v>926</v>
      </c>
      <c r="K266" s="259"/>
      <c r="L266" s="259"/>
      <c r="M266" s="259"/>
      <c r="N266" s="260"/>
    </row>
    <row r="267" spans="1:14" s="242" customFormat="1" ht="12" customHeight="1">
      <c r="A267" s="250">
        <v>889101</v>
      </c>
      <c r="B267" s="255" t="s">
        <v>317</v>
      </c>
      <c r="C267" s="252" t="s">
        <v>7</v>
      </c>
      <c r="D267" s="253"/>
      <c r="E267" s="253">
        <f t="shared" si="9"/>
        <v>5000</v>
      </c>
      <c r="F267" s="259"/>
      <c r="G267" s="259"/>
      <c r="H267" s="259"/>
      <c r="I267" s="259">
        <v>5000</v>
      </c>
      <c r="J267" s="259"/>
      <c r="K267" s="259"/>
      <c r="L267" s="259"/>
      <c r="M267" s="259"/>
      <c r="N267" s="260"/>
    </row>
    <row r="268" spans="1:14" s="242" customFormat="1" ht="12" customHeight="1">
      <c r="A268" s="250"/>
      <c r="B268" s="255"/>
      <c r="C268" s="247" t="s">
        <v>4</v>
      </c>
      <c r="D268" s="253"/>
      <c r="E268" s="253">
        <f t="shared" si="9"/>
        <v>7000</v>
      </c>
      <c r="F268" s="259"/>
      <c r="G268" s="259"/>
      <c r="H268" s="259"/>
      <c r="I268" s="259">
        <v>7000</v>
      </c>
      <c r="J268" s="259"/>
      <c r="K268" s="259"/>
      <c r="L268" s="259"/>
      <c r="M268" s="259"/>
      <c r="N268" s="260"/>
    </row>
    <row r="269" spans="1:14" s="242" customFormat="1" ht="12" customHeight="1">
      <c r="A269" s="250"/>
      <c r="B269" s="255"/>
      <c r="C269" s="247" t="s">
        <v>5</v>
      </c>
      <c r="D269" s="253"/>
      <c r="E269" s="253">
        <f t="shared" si="9"/>
        <v>7021</v>
      </c>
      <c r="F269" s="259"/>
      <c r="G269" s="259"/>
      <c r="H269" s="259">
        <v>21</v>
      </c>
      <c r="I269" s="259">
        <v>7000</v>
      </c>
      <c r="J269" s="259"/>
      <c r="K269" s="259"/>
      <c r="L269" s="259"/>
      <c r="M269" s="259"/>
      <c r="N269" s="260"/>
    </row>
    <row r="270" spans="1:14" s="242" customFormat="1" ht="12" customHeight="1">
      <c r="A270" s="250">
        <v>889102</v>
      </c>
      <c r="B270" s="255" t="s">
        <v>318</v>
      </c>
      <c r="C270" s="252" t="s">
        <v>7</v>
      </c>
      <c r="D270" s="253"/>
      <c r="E270" s="253">
        <f t="shared" si="9"/>
        <v>0</v>
      </c>
      <c r="F270" s="259"/>
      <c r="G270" s="259"/>
      <c r="H270" s="259"/>
      <c r="I270" s="259"/>
      <c r="J270" s="259"/>
      <c r="K270" s="259"/>
      <c r="L270" s="259"/>
      <c r="M270" s="259"/>
      <c r="N270" s="260"/>
    </row>
    <row r="271" spans="1:14" s="242" customFormat="1" ht="12" customHeight="1">
      <c r="A271" s="250"/>
      <c r="B271" s="255"/>
      <c r="C271" s="247" t="s">
        <v>4</v>
      </c>
      <c r="D271" s="253"/>
      <c r="E271" s="253">
        <f t="shared" si="9"/>
        <v>1200</v>
      </c>
      <c r="F271" s="259"/>
      <c r="G271" s="259"/>
      <c r="H271" s="259"/>
      <c r="I271" s="259">
        <v>1200</v>
      </c>
      <c r="J271" s="259"/>
      <c r="K271" s="259"/>
      <c r="L271" s="259"/>
      <c r="M271" s="259"/>
      <c r="N271" s="260"/>
    </row>
    <row r="272" spans="1:14" s="242" customFormat="1" ht="12" customHeight="1">
      <c r="A272" s="250"/>
      <c r="B272" s="255"/>
      <c r="C272" s="247" t="s">
        <v>5</v>
      </c>
      <c r="D272" s="253"/>
      <c r="E272" s="253">
        <f t="shared" si="9"/>
        <v>1200</v>
      </c>
      <c r="F272" s="259"/>
      <c r="G272" s="259"/>
      <c r="H272" s="259"/>
      <c r="I272" s="259">
        <v>1200</v>
      </c>
      <c r="J272" s="259"/>
      <c r="K272" s="259"/>
      <c r="L272" s="259"/>
      <c r="M272" s="259"/>
      <c r="N272" s="260"/>
    </row>
    <row r="273" spans="1:14" s="242" customFormat="1" ht="12" customHeight="1">
      <c r="A273" s="250">
        <v>889109</v>
      </c>
      <c r="B273" s="255" t="s">
        <v>319</v>
      </c>
      <c r="C273" s="252" t="s">
        <v>7</v>
      </c>
      <c r="D273" s="253"/>
      <c r="E273" s="253">
        <f t="shared" si="9"/>
        <v>0</v>
      </c>
      <c r="F273" s="259"/>
      <c r="G273" s="259"/>
      <c r="H273" s="259"/>
      <c r="I273" s="259"/>
      <c r="J273" s="259"/>
      <c r="K273" s="259"/>
      <c r="L273" s="259"/>
      <c r="M273" s="259"/>
      <c r="N273" s="260"/>
    </row>
    <row r="274" spans="1:14" s="242" customFormat="1" ht="12" customHeight="1">
      <c r="A274" s="250"/>
      <c r="B274" s="255"/>
      <c r="C274" s="247" t="s">
        <v>4</v>
      </c>
      <c r="D274" s="253">
        <v>244</v>
      </c>
      <c r="E274" s="253">
        <f t="shared" si="9"/>
        <v>244</v>
      </c>
      <c r="F274" s="259"/>
      <c r="G274" s="259"/>
      <c r="H274" s="259"/>
      <c r="I274" s="259"/>
      <c r="J274" s="259">
        <v>244</v>
      </c>
      <c r="K274" s="259"/>
      <c r="L274" s="259"/>
      <c r="M274" s="259"/>
      <c r="N274" s="260"/>
    </row>
    <row r="275" spans="1:14" s="242" customFormat="1" ht="12" customHeight="1">
      <c r="A275" s="250"/>
      <c r="B275" s="255"/>
      <c r="C275" s="247" t="s">
        <v>5</v>
      </c>
      <c r="D275" s="253">
        <v>244</v>
      </c>
      <c r="E275" s="253">
        <f t="shared" si="9"/>
        <v>244</v>
      </c>
      <c r="F275" s="259"/>
      <c r="G275" s="259"/>
      <c r="H275" s="259"/>
      <c r="I275" s="259"/>
      <c r="J275" s="259">
        <v>244</v>
      </c>
      <c r="K275" s="259"/>
      <c r="L275" s="259"/>
      <c r="M275" s="259"/>
      <c r="N275" s="260"/>
    </row>
    <row r="276" spans="1:14" s="242" customFormat="1" ht="12" customHeight="1">
      <c r="A276" s="250">
        <v>889922</v>
      </c>
      <c r="B276" s="255" t="s">
        <v>320</v>
      </c>
      <c r="C276" s="252" t="s">
        <v>7</v>
      </c>
      <c r="D276" s="253">
        <v>1900</v>
      </c>
      <c r="E276" s="253">
        <f t="shared" si="9"/>
        <v>1900</v>
      </c>
      <c r="F276" s="259"/>
      <c r="G276" s="259"/>
      <c r="H276" s="259"/>
      <c r="I276" s="259"/>
      <c r="J276" s="259"/>
      <c r="K276" s="259"/>
      <c r="L276" s="259"/>
      <c r="M276" s="259"/>
      <c r="N276" s="260">
        <v>1900</v>
      </c>
    </row>
    <row r="277" spans="1:14" s="242" customFormat="1" ht="12" customHeight="1">
      <c r="A277" s="273"/>
      <c r="B277" s="246"/>
      <c r="C277" s="247" t="s">
        <v>4</v>
      </c>
      <c r="D277" s="248">
        <v>2950</v>
      </c>
      <c r="E277" s="253">
        <f t="shared" si="9"/>
        <v>0</v>
      </c>
      <c r="F277" s="274"/>
      <c r="G277" s="274"/>
      <c r="H277" s="274"/>
      <c r="I277" s="274"/>
      <c r="J277" s="274"/>
      <c r="K277" s="274"/>
      <c r="L277" s="274"/>
      <c r="M277" s="274"/>
      <c r="N277" s="275"/>
    </row>
    <row r="278" spans="1:14" s="242" customFormat="1" ht="12" customHeight="1">
      <c r="A278" s="273"/>
      <c r="B278" s="246"/>
      <c r="C278" s="247" t="s">
        <v>5</v>
      </c>
      <c r="D278" s="248">
        <v>3064</v>
      </c>
      <c r="E278" s="253">
        <f t="shared" si="9"/>
        <v>0</v>
      </c>
      <c r="F278" s="274"/>
      <c r="G278" s="274"/>
      <c r="H278" s="274"/>
      <c r="I278" s="274"/>
      <c r="J278" s="274"/>
      <c r="K278" s="274"/>
      <c r="L278" s="274"/>
      <c r="M278" s="274"/>
      <c r="N278" s="275"/>
    </row>
    <row r="279" spans="1:14" s="242" customFormat="1" ht="12" customHeight="1">
      <c r="A279" s="273">
        <v>889925</v>
      </c>
      <c r="B279" s="246" t="s">
        <v>321</v>
      </c>
      <c r="C279" s="247" t="s">
        <v>7</v>
      </c>
      <c r="D279" s="248">
        <v>17002</v>
      </c>
      <c r="E279" s="253">
        <f t="shared" si="9"/>
        <v>0</v>
      </c>
      <c r="F279" s="274"/>
      <c r="G279" s="274"/>
      <c r="H279" s="274"/>
      <c r="I279" s="274"/>
      <c r="J279" s="274"/>
      <c r="K279" s="274"/>
      <c r="L279" s="274"/>
      <c r="M279" s="274"/>
      <c r="N279" s="275"/>
    </row>
    <row r="280" spans="1:14" s="242" customFormat="1" ht="12" customHeight="1">
      <c r="A280" s="250"/>
      <c r="B280" s="255"/>
      <c r="C280" s="247" t="s">
        <v>4</v>
      </c>
      <c r="D280" s="253">
        <v>17002</v>
      </c>
      <c r="E280" s="253">
        <f t="shared" si="9"/>
        <v>0</v>
      </c>
      <c r="F280" s="259"/>
      <c r="G280" s="259"/>
      <c r="H280" s="259"/>
      <c r="I280" s="259"/>
      <c r="J280" s="259"/>
      <c r="K280" s="259"/>
      <c r="L280" s="259"/>
      <c r="M280" s="259"/>
      <c r="N280" s="260"/>
    </row>
    <row r="281" spans="1:14" s="242" customFormat="1" ht="12" customHeight="1">
      <c r="A281" s="250"/>
      <c r="B281" s="255"/>
      <c r="C281" s="247" t="s">
        <v>5</v>
      </c>
      <c r="D281" s="253">
        <v>17002</v>
      </c>
      <c r="E281" s="253">
        <f t="shared" si="9"/>
        <v>0</v>
      </c>
      <c r="F281" s="259"/>
      <c r="G281" s="259"/>
      <c r="H281" s="259"/>
      <c r="I281" s="259"/>
      <c r="J281" s="259"/>
      <c r="K281" s="259"/>
      <c r="L281" s="259"/>
      <c r="M281" s="259"/>
      <c r="N281" s="260"/>
    </row>
    <row r="282" spans="1:14" s="242" customFormat="1" ht="12" customHeight="1">
      <c r="A282" s="250">
        <v>889926</v>
      </c>
      <c r="B282" s="255" t="s">
        <v>322</v>
      </c>
      <c r="C282" s="252" t="s">
        <v>7</v>
      </c>
      <c r="D282" s="253">
        <v>8493</v>
      </c>
      <c r="E282" s="253">
        <f t="shared" si="9"/>
        <v>493</v>
      </c>
      <c r="F282" s="259"/>
      <c r="G282" s="259"/>
      <c r="H282" s="259"/>
      <c r="I282" s="259"/>
      <c r="J282" s="259"/>
      <c r="K282" s="259"/>
      <c r="L282" s="259"/>
      <c r="M282" s="259"/>
      <c r="N282" s="260">
        <v>493</v>
      </c>
    </row>
    <row r="283" spans="1:14" s="242" customFormat="1" ht="12" customHeight="1">
      <c r="A283" s="250"/>
      <c r="B283" s="255"/>
      <c r="C283" s="247" t="s">
        <v>4</v>
      </c>
      <c r="D283" s="253">
        <v>8493</v>
      </c>
      <c r="E283" s="253">
        <f t="shared" si="9"/>
        <v>493</v>
      </c>
      <c r="F283" s="259"/>
      <c r="G283" s="259"/>
      <c r="H283" s="259">
        <v>188</v>
      </c>
      <c r="I283" s="259"/>
      <c r="J283" s="259"/>
      <c r="K283" s="259"/>
      <c r="L283" s="259">
        <v>305</v>
      </c>
      <c r="M283" s="259"/>
      <c r="N283" s="260"/>
    </row>
    <row r="284" spans="1:14" s="242" customFormat="1" ht="12" customHeight="1">
      <c r="A284" s="250"/>
      <c r="B284" s="255"/>
      <c r="C284" s="247" t="s">
        <v>5</v>
      </c>
      <c r="D284" s="253">
        <v>8493</v>
      </c>
      <c r="E284" s="253">
        <f t="shared" si="9"/>
        <v>493</v>
      </c>
      <c r="F284" s="259"/>
      <c r="G284" s="259"/>
      <c r="H284" s="259">
        <v>188</v>
      </c>
      <c r="I284" s="259"/>
      <c r="J284" s="259"/>
      <c r="K284" s="259"/>
      <c r="L284" s="259">
        <v>305</v>
      </c>
      <c r="M284" s="259"/>
      <c r="N284" s="260"/>
    </row>
    <row r="285" spans="1:14" s="242" customFormat="1" ht="12" customHeight="1">
      <c r="A285" s="250">
        <v>889935</v>
      </c>
      <c r="B285" s="255" t="s">
        <v>323</v>
      </c>
      <c r="C285" s="252" t="s">
        <v>7</v>
      </c>
      <c r="D285" s="253"/>
      <c r="E285" s="253">
        <f t="shared" si="9"/>
        <v>0</v>
      </c>
      <c r="F285" s="259"/>
      <c r="G285" s="259"/>
      <c r="H285" s="259"/>
      <c r="I285" s="259"/>
      <c r="J285" s="259"/>
      <c r="K285" s="259"/>
      <c r="L285" s="259"/>
      <c r="M285" s="259"/>
      <c r="N285" s="260"/>
    </row>
    <row r="286" spans="1:14" s="242" customFormat="1" ht="12" customHeight="1">
      <c r="A286" s="250"/>
      <c r="B286" s="255"/>
      <c r="C286" s="247" t="s">
        <v>4</v>
      </c>
      <c r="D286" s="253"/>
      <c r="E286" s="253">
        <f t="shared" si="9"/>
        <v>1710</v>
      </c>
      <c r="F286" s="259"/>
      <c r="G286" s="259"/>
      <c r="H286" s="259"/>
      <c r="I286" s="259"/>
      <c r="J286" s="259">
        <v>1710</v>
      </c>
      <c r="K286" s="259"/>
      <c r="L286" s="259"/>
      <c r="M286" s="259"/>
      <c r="N286" s="260"/>
    </row>
    <row r="287" spans="1:14" s="242" customFormat="1" ht="12" customHeight="1">
      <c r="A287" s="250"/>
      <c r="B287" s="255"/>
      <c r="C287" s="247" t="s">
        <v>5</v>
      </c>
      <c r="D287" s="253"/>
      <c r="E287" s="253">
        <f aca="true" t="shared" si="10" ref="E287:E314">SUM(F287:N287)</f>
        <v>1710</v>
      </c>
      <c r="F287" s="259"/>
      <c r="G287" s="259"/>
      <c r="H287" s="259"/>
      <c r="I287" s="259"/>
      <c r="J287" s="259">
        <v>1710</v>
      </c>
      <c r="K287" s="259"/>
      <c r="L287" s="259"/>
      <c r="M287" s="259"/>
      <c r="N287" s="260"/>
    </row>
    <row r="288" spans="1:14" s="242" customFormat="1" ht="12" customHeight="1">
      <c r="A288" s="250">
        <v>889936</v>
      </c>
      <c r="B288" s="255" t="s">
        <v>324</v>
      </c>
      <c r="C288" s="252" t="s">
        <v>7</v>
      </c>
      <c r="D288" s="253">
        <v>4500</v>
      </c>
      <c r="E288" s="253">
        <f t="shared" si="10"/>
        <v>4500</v>
      </c>
      <c r="F288" s="259"/>
      <c r="G288" s="259"/>
      <c r="H288" s="259"/>
      <c r="I288" s="259"/>
      <c r="J288" s="259">
        <v>4500</v>
      </c>
      <c r="K288" s="259"/>
      <c r="L288" s="259"/>
      <c r="M288" s="276"/>
      <c r="N288" s="260"/>
    </row>
    <row r="289" spans="1:14" s="242" customFormat="1" ht="12" customHeight="1">
      <c r="A289" s="250"/>
      <c r="B289" s="255"/>
      <c r="C289" s="247" t="s">
        <v>4</v>
      </c>
      <c r="D289" s="253"/>
      <c r="E289" s="253">
        <f t="shared" si="10"/>
        <v>0</v>
      </c>
      <c r="F289" s="259"/>
      <c r="G289" s="259"/>
      <c r="H289" s="259"/>
      <c r="I289" s="259"/>
      <c r="J289" s="259"/>
      <c r="K289" s="259"/>
      <c r="L289" s="259"/>
      <c r="M289" s="276"/>
      <c r="N289" s="260"/>
    </row>
    <row r="290" spans="1:14" s="242" customFormat="1" ht="12" customHeight="1">
      <c r="A290" s="250"/>
      <c r="B290" s="255"/>
      <c r="C290" s="247" t="s">
        <v>5</v>
      </c>
      <c r="D290" s="253"/>
      <c r="E290" s="253">
        <f t="shared" si="10"/>
        <v>0</v>
      </c>
      <c r="F290" s="259"/>
      <c r="G290" s="259"/>
      <c r="H290" s="259"/>
      <c r="I290" s="259"/>
      <c r="J290" s="259"/>
      <c r="K290" s="259"/>
      <c r="L290" s="259"/>
      <c r="M290" s="276"/>
      <c r="N290" s="260"/>
    </row>
    <row r="291" spans="1:14" s="242" customFormat="1" ht="12" customHeight="1">
      <c r="A291" s="250">
        <v>889942</v>
      </c>
      <c r="B291" s="255" t="s">
        <v>325</v>
      </c>
      <c r="C291" s="252" t="s">
        <v>7</v>
      </c>
      <c r="D291" s="253">
        <v>7400</v>
      </c>
      <c r="E291" s="253">
        <f t="shared" si="10"/>
        <v>8000</v>
      </c>
      <c r="F291" s="253"/>
      <c r="G291" s="253"/>
      <c r="H291" s="253"/>
      <c r="I291" s="253">
        <v>1000</v>
      </c>
      <c r="J291" s="253"/>
      <c r="K291" s="253"/>
      <c r="L291" s="253"/>
      <c r="M291" s="253">
        <v>7000</v>
      </c>
      <c r="N291" s="254"/>
    </row>
    <row r="292" spans="1:14" s="242" customFormat="1" ht="12" customHeight="1">
      <c r="A292" s="250"/>
      <c r="B292" s="255"/>
      <c r="C292" s="247" t="s">
        <v>4</v>
      </c>
      <c r="D292" s="253">
        <v>7400</v>
      </c>
      <c r="E292" s="253">
        <f t="shared" si="10"/>
        <v>8000</v>
      </c>
      <c r="F292" s="253"/>
      <c r="G292" s="253"/>
      <c r="H292" s="253"/>
      <c r="I292" s="253">
        <v>1000</v>
      </c>
      <c r="J292" s="253"/>
      <c r="K292" s="253"/>
      <c r="L292" s="253"/>
      <c r="M292" s="253">
        <v>7000</v>
      </c>
      <c r="N292" s="254"/>
    </row>
    <row r="293" spans="1:14" s="242" customFormat="1" ht="12" customHeight="1">
      <c r="A293" s="250"/>
      <c r="B293" s="255"/>
      <c r="C293" s="247" t="s">
        <v>5</v>
      </c>
      <c r="D293" s="253">
        <v>5725</v>
      </c>
      <c r="E293" s="253">
        <f t="shared" si="10"/>
        <v>4550</v>
      </c>
      <c r="F293" s="253"/>
      <c r="G293" s="253"/>
      <c r="H293" s="253"/>
      <c r="I293" s="253">
        <v>1000</v>
      </c>
      <c r="J293" s="253"/>
      <c r="K293" s="253"/>
      <c r="L293" s="253"/>
      <c r="M293" s="253">
        <v>3550</v>
      </c>
      <c r="N293" s="254"/>
    </row>
    <row r="294" spans="1:14" s="242" customFormat="1" ht="12" customHeight="1">
      <c r="A294" s="250">
        <v>889943</v>
      </c>
      <c r="B294" s="255" t="s">
        <v>326</v>
      </c>
      <c r="C294" s="252" t="s">
        <v>7</v>
      </c>
      <c r="D294" s="253">
        <v>1600</v>
      </c>
      <c r="E294" s="253">
        <f t="shared" si="10"/>
        <v>1500</v>
      </c>
      <c r="F294" s="253"/>
      <c r="G294" s="253"/>
      <c r="H294" s="253"/>
      <c r="I294" s="253"/>
      <c r="J294" s="253"/>
      <c r="K294" s="253"/>
      <c r="L294" s="253"/>
      <c r="M294" s="253">
        <v>1500</v>
      </c>
      <c r="N294" s="254"/>
    </row>
    <row r="295" spans="1:14" s="242" customFormat="1" ht="12" customHeight="1">
      <c r="A295" s="250"/>
      <c r="B295" s="255"/>
      <c r="C295" s="247" t="s">
        <v>4</v>
      </c>
      <c r="D295" s="253">
        <v>1600</v>
      </c>
      <c r="E295" s="253">
        <f t="shared" si="10"/>
        <v>1600</v>
      </c>
      <c r="F295" s="253"/>
      <c r="G295" s="253"/>
      <c r="H295" s="253"/>
      <c r="I295" s="253"/>
      <c r="J295" s="253"/>
      <c r="K295" s="253"/>
      <c r="L295" s="253"/>
      <c r="M295" s="253">
        <v>1600</v>
      </c>
      <c r="N295" s="254"/>
    </row>
    <row r="296" spans="1:14" s="242" customFormat="1" ht="12" customHeight="1">
      <c r="A296" s="250"/>
      <c r="B296" s="255"/>
      <c r="C296" s="247" t="s">
        <v>5</v>
      </c>
      <c r="D296" s="253">
        <v>1580</v>
      </c>
      <c r="E296" s="253">
        <f t="shared" si="10"/>
        <v>1622</v>
      </c>
      <c r="F296" s="253"/>
      <c r="G296" s="253"/>
      <c r="H296" s="253">
        <v>22</v>
      </c>
      <c r="I296" s="253"/>
      <c r="J296" s="253"/>
      <c r="K296" s="253"/>
      <c r="L296" s="253"/>
      <c r="M296" s="253">
        <v>1600</v>
      </c>
      <c r="N296" s="254"/>
    </row>
    <row r="297" spans="1:14" s="242" customFormat="1" ht="12" customHeight="1">
      <c r="A297" s="250">
        <v>890216</v>
      </c>
      <c r="B297" s="255" t="s">
        <v>327</v>
      </c>
      <c r="C297" s="252" t="s">
        <v>7</v>
      </c>
      <c r="D297" s="253"/>
      <c r="E297" s="253">
        <f t="shared" si="10"/>
        <v>4400</v>
      </c>
      <c r="F297" s="259"/>
      <c r="G297" s="259"/>
      <c r="H297" s="259">
        <v>4400</v>
      </c>
      <c r="I297" s="259"/>
      <c r="J297" s="259"/>
      <c r="K297" s="259"/>
      <c r="L297" s="259"/>
      <c r="M297" s="259"/>
      <c r="N297" s="260"/>
    </row>
    <row r="298" spans="1:14" s="242" customFormat="1" ht="12" customHeight="1">
      <c r="A298" s="250"/>
      <c r="B298" s="255"/>
      <c r="C298" s="247" t="s">
        <v>4</v>
      </c>
      <c r="D298" s="253"/>
      <c r="E298" s="253">
        <f t="shared" si="10"/>
        <v>4200</v>
      </c>
      <c r="F298" s="259"/>
      <c r="G298" s="259"/>
      <c r="H298" s="259">
        <v>4000</v>
      </c>
      <c r="I298" s="259">
        <v>200</v>
      </c>
      <c r="J298" s="259"/>
      <c r="K298" s="259"/>
      <c r="L298" s="259"/>
      <c r="M298" s="259"/>
      <c r="N298" s="260"/>
    </row>
    <row r="299" spans="1:14" s="242" customFormat="1" ht="12" customHeight="1">
      <c r="A299" s="250"/>
      <c r="B299" s="255"/>
      <c r="C299" s="247" t="s">
        <v>5</v>
      </c>
      <c r="D299" s="253"/>
      <c r="E299" s="253">
        <f t="shared" si="10"/>
        <v>4195</v>
      </c>
      <c r="F299" s="259"/>
      <c r="G299" s="259"/>
      <c r="H299" s="259">
        <v>3995</v>
      </c>
      <c r="I299" s="259">
        <v>200</v>
      </c>
      <c r="J299" s="259"/>
      <c r="K299" s="259"/>
      <c r="L299" s="259"/>
      <c r="M299" s="259"/>
      <c r="N299" s="260"/>
    </row>
    <row r="300" spans="1:14" s="242" customFormat="1" ht="12" customHeight="1">
      <c r="A300" s="250">
        <v>890441</v>
      </c>
      <c r="B300" s="255" t="s">
        <v>328</v>
      </c>
      <c r="C300" s="252" t="s">
        <v>7</v>
      </c>
      <c r="D300" s="253">
        <v>74000</v>
      </c>
      <c r="E300" s="253">
        <f t="shared" si="10"/>
        <v>81740</v>
      </c>
      <c r="F300" s="259">
        <v>61740</v>
      </c>
      <c r="G300" s="259">
        <v>17000</v>
      </c>
      <c r="H300" s="259">
        <v>3000</v>
      </c>
      <c r="I300" s="259"/>
      <c r="J300" s="259"/>
      <c r="K300" s="259"/>
      <c r="L300" s="259"/>
      <c r="M300" s="259"/>
      <c r="N300" s="260"/>
    </row>
    <row r="301" spans="1:14" s="242" customFormat="1" ht="12" customHeight="1">
      <c r="A301" s="250"/>
      <c r="B301" s="255"/>
      <c r="C301" s="247" t="s">
        <v>4</v>
      </c>
      <c r="D301" s="253">
        <v>96005</v>
      </c>
      <c r="E301" s="253">
        <f t="shared" si="10"/>
        <v>103745</v>
      </c>
      <c r="F301" s="259">
        <v>90745</v>
      </c>
      <c r="G301" s="259">
        <v>12700</v>
      </c>
      <c r="H301" s="259">
        <v>300</v>
      </c>
      <c r="I301" s="259"/>
      <c r="J301" s="259"/>
      <c r="K301" s="259"/>
      <c r="L301" s="259"/>
      <c r="M301" s="259"/>
      <c r="N301" s="260"/>
    </row>
    <row r="302" spans="1:14" s="242" customFormat="1" ht="12" customHeight="1">
      <c r="A302" s="250"/>
      <c r="B302" s="255"/>
      <c r="C302" s="247" t="s">
        <v>5</v>
      </c>
      <c r="D302" s="253">
        <v>96047</v>
      </c>
      <c r="E302" s="253">
        <f t="shared" si="10"/>
        <v>103437</v>
      </c>
      <c r="F302" s="259">
        <v>90631</v>
      </c>
      <c r="G302" s="259">
        <v>12668</v>
      </c>
      <c r="H302" s="259">
        <v>138</v>
      </c>
      <c r="I302" s="259"/>
      <c r="J302" s="259"/>
      <c r="K302" s="259"/>
      <c r="L302" s="259"/>
      <c r="M302" s="259"/>
      <c r="N302" s="260"/>
    </row>
    <row r="303" spans="1:14" s="242" customFormat="1" ht="12" customHeight="1">
      <c r="A303" s="250">
        <v>890442</v>
      </c>
      <c r="B303" s="255" t="s">
        <v>329</v>
      </c>
      <c r="C303" s="252" t="s">
        <v>7</v>
      </c>
      <c r="D303" s="253">
        <v>8000</v>
      </c>
      <c r="E303" s="253">
        <f t="shared" si="10"/>
        <v>17830</v>
      </c>
      <c r="F303" s="259">
        <v>13230</v>
      </c>
      <c r="G303" s="259">
        <v>3600</v>
      </c>
      <c r="H303" s="259">
        <v>1000</v>
      </c>
      <c r="I303" s="259"/>
      <c r="J303" s="259"/>
      <c r="K303" s="259"/>
      <c r="L303" s="259"/>
      <c r="M303" s="276"/>
      <c r="N303" s="260"/>
    </row>
    <row r="304" spans="1:14" s="242" customFormat="1" ht="12" customHeight="1">
      <c r="A304" s="250"/>
      <c r="B304" s="255"/>
      <c r="C304" s="247" t="s">
        <v>4</v>
      </c>
      <c r="D304" s="253">
        <v>8000</v>
      </c>
      <c r="E304" s="253">
        <f t="shared" si="10"/>
        <v>17830</v>
      </c>
      <c r="F304" s="259">
        <v>13230</v>
      </c>
      <c r="G304" s="259">
        <v>3600</v>
      </c>
      <c r="H304" s="259">
        <v>1000</v>
      </c>
      <c r="I304" s="259"/>
      <c r="J304" s="259"/>
      <c r="K304" s="259"/>
      <c r="L304" s="259"/>
      <c r="M304" s="276"/>
      <c r="N304" s="260"/>
    </row>
    <row r="305" spans="1:14" s="242" customFormat="1" ht="12" customHeight="1">
      <c r="A305" s="250"/>
      <c r="B305" s="255"/>
      <c r="C305" s="247" t="s">
        <v>5</v>
      </c>
      <c r="D305" s="253">
        <v>7470</v>
      </c>
      <c r="E305" s="253">
        <f t="shared" si="10"/>
        <v>12441</v>
      </c>
      <c r="F305" s="259">
        <v>8837</v>
      </c>
      <c r="G305" s="259">
        <v>2260</v>
      </c>
      <c r="H305" s="259">
        <v>1344</v>
      </c>
      <c r="I305" s="259"/>
      <c r="J305" s="259"/>
      <c r="K305" s="259"/>
      <c r="L305" s="259"/>
      <c r="M305" s="276"/>
      <c r="N305" s="260"/>
    </row>
    <row r="306" spans="1:14" s="242" customFormat="1" ht="12" customHeight="1">
      <c r="A306" s="250">
        <v>910501</v>
      </c>
      <c r="B306" s="255" t="s">
        <v>330</v>
      </c>
      <c r="C306" s="252" t="s">
        <v>7</v>
      </c>
      <c r="D306" s="253"/>
      <c r="E306" s="253">
        <f t="shared" si="10"/>
        <v>106600</v>
      </c>
      <c r="F306" s="259"/>
      <c r="G306" s="259"/>
      <c r="H306" s="259">
        <v>4000</v>
      </c>
      <c r="I306" s="259">
        <v>102600</v>
      </c>
      <c r="J306" s="259"/>
      <c r="K306" s="259"/>
      <c r="L306" s="259"/>
      <c r="M306" s="259"/>
      <c r="N306" s="260"/>
    </row>
    <row r="307" spans="1:14" s="242" customFormat="1" ht="12" customHeight="1">
      <c r="A307" s="250"/>
      <c r="B307" s="255"/>
      <c r="C307" s="247" t="s">
        <v>4</v>
      </c>
      <c r="D307" s="253">
        <v>2000</v>
      </c>
      <c r="E307" s="253">
        <f t="shared" si="10"/>
        <v>131925</v>
      </c>
      <c r="F307" s="259">
        <v>30</v>
      </c>
      <c r="G307" s="259">
        <v>7</v>
      </c>
      <c r="H307" s="259">
        <v>4867</v>
      </c>
      <c r="I307" s="259">
        <v>123821</v>
      </c>
      <c r="J307" s="259"/>
      <c r="K307" s="259"/>
      <c r="L307" s="259">
        <v>1200</v>
      </c>
      <c r="M307" s="259">
        <v>2000</v>
      </c>
      <c r="N307" s="260"/>
    </row>
    <row r="308" spans="1:14" s="242" customFormat="1" ht="12" customHeight="1">
      <c r="A308" s="250"/>
      <c r="B308" s="255"/>
      <c r="C308" s="247" t="s">
        <v>5</v>
      </c>
      <c r="D308" s="253">
        <v>2000</v>
      </c>
      <c r="E308" s="253">
        <f t="shared" si="10"/>
        <v>132162</v>
      </c>
      <c r="F308" s="259">
        <v>167</v>
      </c>
      <c r="G308" s="259">
        <v>44</v>
      </c>
      <c r="H308" s="259">
        <v>5231</v>
      </c>
      <c r="I308" s="259">
        <v>123520</v>
      </c>
      <c r="J308" s="259"/>
      <c r="K308" s="259"/>
      <c r="L308" s="259">
        <v>1200</v>
      </c>
      <c r="M308" s="259">
        <v>2000</v>
      </c>
      <c r="N308" s="260"/>
    </row>
    <row r="309" spans="1:14" s="242" customFormat="1" ht="12" customHeight="1">
      <c r="A309" s="250">
        <v>931202</v>
      </c>
      <c r="B309" s="255" t="s">
        <v>331</v>
      </c>
      <c r="C309" s="252" t="s">
        <v>7</v>
      </c>
      <c r="D309" s="253"/>
      <c r="E309" s="253">
        <f t="shared" si="10"/>
        <v>800</v>
      </c>
      <c r="F309" s="259"/>
      <c r="G309" s="259"/>
      <c r="H309" s="259"/>
      <c r="I309" s="259">
        <v>800</v>
      </c>
      <c r="J309" s="259"/>
      <c r="K309" s="259"/>
      <c r="L309" s="259"/>
      <c r="M309" s="276"/>
      <c r="N309" s="260"/>
    </row>
    <row r="310" spans="1:14" s="242" customFormat="1" ht="12" customHeight="1">
      <c r="A310" s="273"/>
      <c r="B310" s="246"/>
      <c r="C310" s="247" t="s">
        <v>4</v>
      </c>
      <c r="D310" s="248"/>
      <c r="E310" s="253">
        <f t="shared" si="10"/>
        <v>800</v>
      </c>
      <c r="F310" s="274"/>
      <c r="G310" s="274"/>
      <c r="H310" s="274"/>
      <c r="I310" s="274">
        <v>800</v>
      </c>
      <c r="J310" s="274"/>
      <c r="K310" s="274"/>
      <c r="L310" s="274"/>
      <c r="M310" s="277"/>
      <c r="N310" s="275"/>
    </row>
    <row r="311" spans="1:14" s="242" customFormat="1" ht="12" customHeight="1">
      <c r="A311" s="273"/>
      <c r="B311" s="246"/>
      <c r="C311" s="247" t="s">
        <v>5</v>
      </c>
      <c r="D311" s="248"/>
      <c r="E311" s="253">
        <f t="shared" si="10"/>
        <v>800</v>
      </c>
      <c r="F311" s="274"/>
      <c r="G311" s="274"/>
      <c r="H311" s="274"/>
      <c r="I311" s="274">
        <v>800</v>
      </c>
      <c r="J311" s="274"/>
      <c r="K311" s="274"/>
      <c r="L311" s="274"/>
      <c r="M311" s="277"/>
      <c r="N311" s="275"/>
    </row>
    <row r="312" spans="1:14" s="242" customFormat="1" ht="12" customHeight="1">
      <c r="A312" s="273">
        <v>931903</v>
      </c>
      <c r="B312" s="246" t="s">
        <v>332</v>
      </c>
      <c r="C312" s="247" t="s">
        <v>7</v>
      </c>
      <c r="D312" s="248"/>
      <c r="E312" s="253">
        <f t="shared" si="10"/>
        <v>16800</v>
      </c>
      <c r="F312" s="274"/>
      <c r="G312" s="274"/>
      <c r="H312" s="274">
        <v>2000</v>
      </c>
      <c r="I312" s="274">
        <v>14800</v>
      </c>
      <c r="J312" s="274"/>
      <c r="K312" s="274"/>
      <c r="L312" s="274"/>
      <c r="M312" s="277"/>
      <c r="N312" s="275"/>
    </row>
    <row r="313" spans="1:14" s="242" customFormat="1" ht="12" customHeight="1">
      <c r="A313" s="261"/>
      <c r="B313" s="262"/>
      <c r="C313" s="263" t="s">
        <v>4</v>
      </c>
      <c r="D313" s="264">
        <v>1000</v>
      </c>
      <c r="E313" s="264">
        <f t="shared" si="10"/>
        <v>28450</v>
      </c>
      <c r="F313" s="265"/>
      <c r="G313" s="265"/>
      <c r="H313" s="265">
        <v>4250</v>
      </c>
      <c r="I313" s="265">
        <v>24200</v>
      </c>
      <c r="J313" s="265"/>
      <c r="K313" s="265"/>
      <c r="L313" s="265"/>
      <c r="M313" s="281"/>
      <c r="N313" s="266"/>
    </row>
    <row r="314" spans="1:14" s="242" customFormat="1" ht="12" customHeight="1">
      <c r="A314" s="267"/>
      <c r="B314" s="268"/>
      <c r="C314" s="269" t="s">
        <v>5</v>
      </c>
      <c r="D314" s="270">
        <v>486</v>
      </c>
      <c r="E314" s="270">
        <f t="shared" si="10"/>
        <v>28415</v>
      </c>
      <c r="F314" s="271"/>
      <c r="G314" s="271"/>
      <c r="H314" s="271">
        <v>4215</v>
      </c>
      <c r="I314" s="271">
        <v>24200</v>
      </c>
      <c r="J314" s="271"/>
      <c r="K314" s="271"/>
      <c r="L314" s="271"/>
      <c r="M314" s="282"/>
      <c r="N314" s="272"/>
    </row>
    <row r="315" spans="1:14" s="242" customFormat="1" ht="12" customHeight="1">
      <c r="A315" s="236" t="s">
        <v>224</v>
      </c>
      <c r="B315" s="236"/>
      <c r="C315" s="236"/>
      <c r="D315" s="237" t="s">
        <v>225</v>
      </c>
      <c r="E315" s="238" t="s">
        <v>226</v>
      </c>
      <c r="F315" s="239" t="s">
        <v>227</v>
      </c>
      <c r="G315" s="239"/>
      <c r="H315" s="239"/>
      <c r="I315" s="239"/>
      <c r="J315" s="239"/>
      <c r="K315" s="239" t="s">
        <v>228</v>
      </c>
      <c r="L315" s="239"/>
      <c r="M315" s="240" t="s">
        <v>229</v>
      </c>
      <c r="N315" s="241" t="s">
        <v>53</v>
      </c>
    </row>
    <row r="316" spans="1:14" s="242" customFormat="1" ht="12" customHeight="1">
      <c r="A316" s="236"/>
      <c r="B316" s="236"/>
      <c r="C316" s="236"/>
      <c r="D316" s="237"/>
      <c r="E316" s="238"/>
      <c r="F316" s="243" t="s">
        <v>230</v>
      </c>
      <c r="G316" s="243" t="s">
        <v>231</v>
      </c>
      <c r="H316" s="243" t="s">
        <v>232</v>
      </c>
      <c r="I316" s="243" t="s">
        <v>233</v>
      </c>
      <c r="J316" s="243" t="s">
        <v>234</v>
      </c>
      <c r="K316" s="244" t="s">
        <v>40</v>
      </c>
      <c r="L316" s="244" t="s">
        <v>35</v>
      </c>
      <c r="M316" s="240"/>
      <c r="N316" s="241"/>
    </row>
    <row r="317" spans="1:14" s="242" customFormat="1" ht="39.75" customHeight="1">
      <c r="A317" s="236"/>
      <c r="B317" s="236"/>
      <c r="C317" s="236"/>
      <c r="D317" s="237"/>
      <c r="E317" s="238"/>
      <c r="F317" s="243"/>
      <c r="G317" s="243"/>
      <c r="H317" s="243"/>
      <c r="I317" s="243"/>
      <c r="J317" s="243"/>
      <c r="K317" s="244"/>
      <c r="L317" s="244"/>
      <c r="M317" s="240"/>
      <c r="N317" s="241"/>
    </row>
    <row r="318" spans="1:14" s="242" customFormat="1" ht="12" customHeight="1">
      <c r="A318" s="250">
        <v>932911</v>
      </c>
      <c r="B318" s="255" t="s">
        <v>333</v>
      </c>
      <c r="C318" s="252" t="s">
        <v>7</v>
      </c>
      <c r="D318" s="253"/>
      <c r="E318" s="253">
        <f aca="true" t="shared" si="11" ref="E318:E329">SUM(F318:N318)</f>
        <v>850</v>
      </c>
      <c r="F318" s="253"/>
      <c r="G318" s="253"/>
      <c r="H318" s="253">
        <v>850</v>
      </c>
      <c r="I318" s="253"/>
      <c r="J318" s="253"/>
      <c r="K318" s="253"/>
      <c r="L318" s="253"/>
      <c r="M318" s="253"/>
      <c r="N318" s="254"/>
    </row>
    <row r="319" spans="1:14" s="242" customFormat="1" ht="12" customHeight="1">
      <c r="A319" s="250"/>
      <c r="B319" s="255"/>
      <c r="C319" s="247" t="s">
        <v>4</v>
      </c>
      <c r="D319" s="253">
        <v>4600</v>
      </c>
      <c r="E319" s="253">
        <f t="shared" si="11"/>
        <v>133586</v>
      </c>
      <c r="F319" s="253"/>
      <c r="G319" s="253"/>
      <c r="H319" s="253">
        <v>850</v>
      </c>
      <c r="I319" s="253"/>
      <c r="J319" s="253"/>
      <c r="K319" s="253">
        <v>5000</v>
      </c>
      <c r="L319" s="253">
        <v>100149</v>
      </c>
      <c r="M319" s="253">
        <v>27587</v>
      </c>
      <c r="N319" s="254"/>
    </row>
    <row r="320" spans="1:14" s="242" customFormat="1" ht="12" customHeight="1">
      <c r="A320" s="250"/>
      <c r="B320" s="255"/>
      <c r="C320" s="247" t="s">
        <v>5</v>
      </c>
      <c r="D320" s="253">
        <v>4600</v>
      </c>
      <c r="E320" s="253">
        <f t="shared" si="11"/>
        <v>129620</v>
      </c>
      <c r="F320" s="253"/>
      <c r="G320" s="253"/>
      <c r="H320" s="253">
        <v>533</v>
      </c>
      <c r="I320" s="253"/>
      <c r="J320" s="253"/>
      <c r="K320" s="253"/>
      <c r="L320" s="253">
        <v>101500</v>
      </c>
      <c r="M320" s="253">
        <v>27587</v>
      </c>
      <c r="N320" s="254"/>
    </row>
    <row r="321" spans="1:14" s="242" customFormat="1" ht="12" customHeight="1">
      <c r="A321" s="250">
        <v>949900</v>
      </c>
      <c r="B321" s="255" t="s">
        <v>334</v>
      </c>
      <c r="C321" s="252" t="s">
        <v>7</v>
      </c>
      <c r="D321" s="253">
        <v>17100</v>
      </c>
      <c r="E321" s="253">
        <f t="shared" si="11"/>
        <v>33000</v>
      </c>
      <c r="F321" s="253"/>
      <c r="G321" s="253"/>
      <c r="H321" s="253">
        <v>18000</v>
      </c>
      <c r="I321" s="253">
        <v>15000</v>
      </c>
      <c r="J321" s="253"/>
      <c r="K321" s="253"/>
      <c r="L321" s="253"/>
      <c r="M321" s="253"/>
      <c r="N321" s="254"/>
    </row>
    <row r="322" spans="1:14" s="242" customFormat="1" ht="12" customHeight="1">
      <c r="A322" s="273"/>
      <c r="B322" s="246"/>
      <c r="C322" s="247" t="s">
        <v>4</v>
      </c>
      <c r="D322" s="253">
        <v>17100</v>
      </c>
      <c r="E322" s="253">
        <f t="shared" si="11"/>
        <v>27810</v>
      </c>
      <c r="F322" s="253"/>
      <c r="G322" s="253"/>
      <c r="H322" s="253">
        <v>18000</v>
      </c>
      <c r="I322" s="253">
        <v>9810</v>
      </c>
      <c r="J322" s="248"/>
      <c r="K322" s="248"/>
      <c r="L322" s="248"/>
      <c r="M322" s="248"/>
      <c r="N322" s="249"/>
    </row>
    <row r="323" spans="1:14" s="242" customFormat="1" ht="12" customHeight="1">
      <c r="A323" s="273"/>
      <c r="B323" s="246"/>
      <c r="C323" s="247" t="s">
        <v>5</v>
      </c>
      <c r="D323" s="248">
        <v>1412</v>
      </c>
      <c r="E323" s="253">
        <f t="shared" si="11"/>
        <v>9826</v>
      </c>
      <c r="F323" s="248"/>
      <c r="G323" s="248"/>
      <c r="H323" s="248">
        <v>167</v>
      </c>
      <c r="I323" s="248">
        <v>9659</v>
      </c>
      <c r="J323" s="248"/>
      <c r="K323" s="248"/>
      <c r="L323" s="248"/>
      <c r="M323" s="248"/>
      <c r="N323" s="249"/>
    </row>
    <row r="324" spans="1:14" s="242" customFormat="1" ht="12" customHeight="1">
      <c r="A324" s="273">
        <v>960302</v>
      </c>
      <c r="B324" s="246" t="s">
        <v>335</v>
      </c>
      <c r="C324" s="247" t="s">
        <v>7</v>
      </c>
      <c r="D324" s="248">
        <v>6400</v>
      </c>
      <c r="E324" s="248">
        <f t="shared" si="11"/>
        <v>12900</v>
      </c>
      <c r="F324" s="248"/>
      <c r="G324" s="248"/>
      <c r="H324" s="248">
        <v>11900</v>
      </c>
      <c r="I324" s="248"/>
      <c r="J324" s="248"/>
      <c r="K324" s="248">
        <v>1000</v>
      </c>
      <c r="L324" s="248"/>
      <c r="M324" s="248"/>
      <c r="N324" s="249"/>
    </row>
    <row r="325" spans="1:14" s="242" customFormat="1" ht="12" customHeight="1">
      <c r="A325" s="273"/>
      <c r="B325" s="246"/>
      <c r="C325" s="247" t="s">
        <v>4</v>
      </c>
      <c r="D325" s="248">
        <v>6400</v>
      </c>
      <c r="E325" s="253">
        <f t="shared" si="11"/>
        <v>12900</v>
      </c>
      <c r="F325" s="248"/>
      <c r="G325" s="248"/>
      <c r="H325" s="248">
        <v>11900</v>
      </c>
      <c r="I325" s="248"/>
      <c r="J325" s="248"/>
      <c r="K325" s="248">
        <v>1000</v>
      </c>
      <c r="L325" s="248"/>
      <c r="M325" s="248"/>
      <c r="N325" s="249"/>
    </row>
    <row r="326" spans="1:14" s="242" customFormat="1" ht="12" customHeight="1">
      <c r="A326" s="273"/>
      <c r="B326" s="246"/>
      <c r="C326" s="247" t="s">
        <v>5</v>
      </c>
      <c r="D326" s="248">
        <v>7445</v>
      </c>
      <c r="E326" s="253">
        <f t="shared" si="11"/>
        <v>12230</v>
      </c>
      <c r="F326" s="248"/>
      <c r="G326" s="248"/>
      <c r="H326" s="248">
        <v>12230</v>
      </c>
      <c r="I326" s="248"/>
      <c r="J326" s="248"/>
      <c r="K326" s="248"/>
      <c r="L326" s="248"/>
      <c r="M326" s="248"/>
      <c r="N326" s="249"/>
    </row>
    <row r="327" spans="1:14" s="242" customFormat="1" ht="12" customHeight="1">
      <c r="A327" s="273">
        <v>960900</v>
      </c>
      <c r="B327" s="246" t="s">
        <v>336</v>
      </c>
      <c r="C327" s="247" t="s">
        <v>7</v>
      </c>
      <c r="D327" s="248">
        <v>3000</v>
      </c>
      <c r="E327" s="248">
        <f t="shared" si="11"/>
        <v>3000</v>
      </c>
      <c r="F327" s="274">
        <v>1600</v>
      </c>
      <c r="G327" s="274">
        <v>425</v>
      </c>
      <c r="H327" s="274">
        <v>975</v>
      </c>
      <c r="I327" s="274"/>
      <c r="J327" s="274"/>
      <c r="K327" s="274"/>
      <c r="L327" s="274"/>
      <c r="M327" s="277"/>
      <c r="N327" s="275"/>
    </row>
    <row r="328" spans="1:14" s="242" customFormat="1" ht="12" customHeight="1">
      <c r="A328" s="250"/>
      <c r="B328" s="255"/>
      <c r="C328" s="247" t="s">
        <v>4</v>
      </c>
      <c r="D328" s="253">
        <v>3000</v>
      </c>
      <c r="E328" s="253">
        <f t="shared" si="11"/>
        <v>3000</v>
      </c>
      <c r="F328" s="259">
        <v>1600</v>
      </c>
      <c r="G328" s="259">
        <v>425</v>
      </c>
      <c r="H328" s="259">
        <v>975</v>
      </c>
      <c r="I328" s="259"/>
      <c r="J328" s="259"/>
      <c r="K328" s="259"/>
      <c r="L328" s="259"/>
      <c r="M328" s="276"/>
      <c r="N328" s="260"/>
    </row>
    <row r="329" spans="1:14" s="242" customFormat="1" ht="12" customHeight="1">
      <c r="A329" s="250"/>
      <c r="B329" s="255"/>
      <c r="C329" s="247" t="s">
        <v>5</v>
      </c>
      <c r="D329" s="253">
        <v>2680</v>
      </c>
      <c r="E329" s="253">
        <f t="shared" si="11"/>
        <v>2338</v>
      </c>
      <c r="F329" s="259">
        <v>867</v>
      </c>
      <c r="G329" s="259">
        <v>226</v>
      </c>
      <c r="H329" s="259">
        <v>1245</v>
      </c>
      <c r="I329" s="259"/>
      <c r="J329" s="259"/>
      <c r="K329" s="259"/>
      <c r="L329" s="259"/>
      <c r="M329" s="276"/>
      <c r="N329" s="260"/>
    </row>
    <row r="330" spans="1:14" s="242" customFormat="1" ht="12" customHeight="1">
      <c r="A330" s="287" t="s">
        <v>337</v>
      </c>
      <c r="B330" s="287"/>
      <c r="C330" s="288" t="s">
        <v>7</v>
      </c>
      <c r="D330" s="256">
        <f aca="true" t="shared" si="12" ref="D330:N330">SUM(D9+D12+D15+D18+D21+D24+D27+D30+D33+D36+D39+D42+D45+D48+D51+D54+D57+D60+D66+D69+D72+D75+D78+D81+D84+D87+D90+D93+D96+D99+D102+D105+D108+D111+D114+D117+D120+D123+D129+D132+D135+D138+D141+D144+D147+D150+D153+D156+D159+D162+D165+D168+D171+D174+D177+D180+D183+D186+D192+D195+D198+D201+D204+D207+D210+D213+D216+D219+D222+D225+D228+D231+D234+D237+D240+D243+D246+D249+D255+D258+D261+D264+D267+D270+D273+D276+D279+D282+D285+D288+D291+D294+D297+D300+D303+D306+D309+D312+D318+D321+D324+D327)</f>
        <v>8408764</v>
      </c>
      <c r="E330" s="256">
        <f t="shared" si="12"/>
        <v>6996028</v>
      </c>
      <c r="F330" s="256">
        <f t="shared" si="12"/>
        <v>488473</v>
      </c>
      <c r="G330" s="256">
        <f t="shared" si="12"/>
        <v>134643</v>
      </c>
      <c r="H330" s="256">
        <f t="shared" si="12"/>
        <v>809639</v>
      </c>
      <c r="I330" s="256">
        <f t="shared" si="12"/>
        <v>629037</v>
      </c>
      <c r="J330" s="256">
        <f t="shared" si="12"/>
        <v>223696</v>
      </c>
      <c r="K330" s="256">
        <f t="shared" si="12"/>
        <v>195168</v>
      </c>
      <c r="L330" s="256">
        <f t="shared" si="12"/>
        <v>4310906</v>
      </c>
      <c r="M330" s="256">
        <f t="shared" si="12"/>
        <v>22073</v>
      </c>
      <c r="N330" s="289">
        <f t="shared" si="12"/>
        <v>182393</v>
      </c>
    </row>
    <row r="331" spans="1:14" s="242" customFormat="1" ht="12" customHeight="1">
      <c r="A331" s="290"/>
      <c r="B331" s="291"/>
      <c r="C331" s="292" t="s">
        <v>4</v>
      </c>
      <c r="D331" s="256">
        <f aca="true" t="shared" si="13" ref="D331:N332">SUM(D10+D13+D16+D19+D22+D25+D28+D31+D34+D37+D40+D43+D46+D49+D52+D55+D58+D61+D67+D70+D73+D76+D79+D82+D85+D88+D91+D94+D97+D100+D103+D106+D109+D112+D115+D118+D121+D124+D130+D133+D136+D139+D142+D145+D148+D151+D154+D157+D160+D163+D166+D169+D172+D175+D178+D181+D184+D187+D193+D196+D199+D202+D205+D208+D211+D214+D217+D220+D223+D226+D229+D232+D235+D238+D241+D244+D247+D250+D256+D259+D262+D265+D268+D271+D274+D277+D280+D283+D286+D289+D292+D295+D298+D301+D304+D307+D310+D313+D319+D322+D325+D328)</f>
        <v>8608978</v>
      </c>
      <c r="E331" s="256">
        <f t="shared" si="13"/>
        <v>7086039</v>
      </c>
      <c r="F331" s="256">
        <f t="shared" si="13"/>
        <v>547821</v>
      </c>
      <c r="G331" s="256">
        <f t="shared" si="13"/>
        <v>138105</v>
      </c>
      <c r="H331" s="256">
        <f t="shared" si="13"/>
        <v>991084</v>
      </c>
      <c r="I331" s="256">
        <f t="shared" si="13"/>
        <v>743757</v>
      </c>
      <c r="J331" s="256">
        <f t="shared" si="13"/>
        <v>198885</v>
      </c>
      <c r="K331" s="256">
        <f t="shared" si="13"/>
        <v>182034</v>
      </c>
      <c r="L331" s="256">
        <f t="shared" si="13"/>
        <v>4147698</v>
      </c>
      <c r="M331" s="256">
        <f t="shared" si="13"/>
        <v>83359</v>
      </c>
      <c r="N331" s="289">
        <f t="shared" si="13"/>
        <v>53296</v>
      </c>
    </row>
    <row r="332" spans="1:14" s="242" customFormat="1" ht="12" customHeight="1">
      <c r="A332" s="290"/>
      <c r="B332" s="291"/>
      <c r="C332" s="292" t="s">
        <v>5</v>
      </c>
      <c r="D332" s="256">
        <f t="shared" si="13"/>
        <v>6455938</v>
      </c>
      <c r="E332" s="256">
        <f t="shared" si="13"/>
        <v>4127463</v>
      </c>
      <c r="F332" s="256">
        <f t="shared" si="13"/>
        <v>531553</v>
      </c>
      <c r="G332" s="256">
        <f t="shared" si="13"/>
        <v>132389</v>
      </c>
      <c r="H332" s="256">
        <f t="shared" si="13"/>
        <v>898595</v>
      </c>
      <c r="I332" s="256">
        <f t="shared" si="13"/>
        <v>619909</v>
      </c>
      <c r="J332" s="256">
        <f t="shared" si="13"/>
        <v>178885</v>
      </c>
      <c r="K332" s="256">
        <f t="shared" si="13"/>
        <v>145400</v>
      </c>
      <c r="L332" s="256">
        <f t="shared" si="13"/>
        <v>1562873</v>
      </c>
      <c r="M332" s="256">
        <f t="shared" si="13"/>
        <v>57859</v>
      </c>
      <c r="N332" s="289">
        <f t="shared" si="13"/>
        <v>0</v>
      </c>
    </row>
    <row r="333" spans="1:14" s="296" customFormat="1" ht="12" customHeight="1">
      <c r="A333" s="290" t="s">
        <v>338</v>
      </c>
      <c r="B333" s="290"/>
      <c r="C333" s="292" t="s">
        <v>7</v>
      </c>
      <c r="D333" s="293">
        <v>3000</v>
      </c>
      <c r="E333" s="293">
        <f>SUM(F333:N333)</f>
        <v>22478</v>
      </c>
      <c r="F333" s="294">
        <v>11282</v>
      </c>
      <c r="G333" s="294">
        <v>2691</v>
      </c>
      <c r="H333" s="294">
        <v>7430</v>
      </c>
      <c r="I333" s="294">
        <v>700</v>
      </c>
      <c r="J333" s="294"/>
      <c r="K333" s="294"/>
      <c r="L333" s="294">
        <v>375</v>
      </c>
      <c r="M333" s="294"/>
      <c r="N333" s="295"/>
    </row>
    <row r="334" spans="1:14" s="296" customFormat="1" ht="12" customHeight="1">
      <c r="A334" s="287"/>
      <c r="B334" s="297"/>
      <c r="C334" s="292" t="s">
        <v>4</v>
      </c>
      <c r="D334" s="256">
        <v>3200</v>
      </c>
      <c r="E334" s="256">
        <f>SUM(F334:N334)</f>
        <v>24535</v>
      </c>
      <c r="F334" s="298">
        <v>12248</v>
      </c>
      <c r="G334" s="298">
        <v>2922</v>
      </c>
      <c r="H334" s="298">
        <v>8290</v>
      </c>
      <c r="I334" s="298">
        <v>700</v>
      </c>
      <c r="J334" s="259"/>
      <c r="K334" s="259"/>
      <c r="L334" s="298">
        <v>375</v>
      </c>
      <c r="M334" s="298"/>
      <c r="N334" s="299"/>
    </row>
    <row r="335" spans="1:14" s="296" customFormat="1" ht="12" customHeight="1">
      <c r="A335" s="287"/>
      <c r="B335" s="297"/>
      <c r="C335" s="292" t="s">
        <v>5</v>
      </c>
      <c r="D335" s="256">
        <v>3336</v>
      </c>
      <c r="E335" s="256">
        <f>SUM(F335:N335)</f>
        <v>19464</v>
      </c>
      <c r="F335" s="298">
        <v>10645</v>
      </c>
      <c r="G335" s="298">
        <v>2506</v>
      </c>
      <c r="H335" s="298">
        <v>5613</v>
      </c>
      <c r="I335" s="298">
        <v>700</v>
      </c>
      <c r="J335" s="259"/>
      <c r="K335" s="259"/>
      <c r="L335" s="298"/>
      <c r="M335" s="298"/>
      <c r="N335" s="299"/>
    </row>
    <row r="336" spans="1:14" s="296" customFormat="1" ht="12" customHeight="1">
      <c r="A336" s="300" t="s">
        <v>339</v>
      </c>
      <c r="B336" s="300"/>
      <c r="C336" s="252"/>
      <c r="D336" s="256"/>
      <c r="E336" s="256"/>
      <c r="F336" s="259"/>
      <c r="G336" s="259"/>
      <c r="H336" s="259"/>
      <c r="I336" s="259"/>
      <c r="J336" s="259"/>
      <c r="K336" s="259"/>
      <c r="L336" s="259"/>
      <c r="M336" s="259"/>
      <c r="N336" s="260"/>
    </row>
    <row r="337" spans="1:14" s="296" customFormat="1" ht="12" customHeight="1">
      <c r="A337" s="301" t="s">
        <v>340</v>
      </c>
      <c r="B337" s="255" t="s">
        <v>341</v>
      </c>
      <c r="C337" s="252" t="s">
        <v>7</v>
      </c>
      <c r="D337" s="253">
        <v>566</v>
      </c>
      <c r="E337" s="253">
        <f aca="true" t="shared" si="14" ref="E337:E345">SUM(F337:N337)</f>
        <v>566</v>
      </c>
      <c r="F337" s="259"/>
      <c r="G337" s="259"/>
      <c r="H337" s="259">
        <v>566</v>
      </c>
      <c r="I337" s="259"/>
      <c r="J337" s="259"/>
      <c r="K337" s="259"/>
      <c r="L337" s="259"/>
      <c r="M337" s="259"/>
      <c r="N337" s="260"/>
    </row>
    <row r="338" spans="1:14" s="296" customFormat="1" ht="12" customHeight="1">
      <c r="A338" s="301"/>
      <c r="B338" s="255"/>
      <c r="C338" s="247" t="s">
        <v>4</v>
      </c>
      <c r="D338" s="253">
        <v>1193</v>
      </c>
      <c r="E338" s="253">
        <f t="shared" si="14"/>
        <v>1193</v>
      </c>
      <c r="F338" s="259"/>
      <c r="G338" s="259"/>
      <c r="H338" s="259">
        <v>1193</v>
      </c>
      <c r="I338" s="259"/>
      <c r="J338" s="259"/>
      <c r="K338" s="259"/>
      <c r="L338" s="259"/>
      <c r="M338" s="259"/>
      <c r="N338" s="260"/>
    </row>
    <row r="339" spans="1:14" s="296" customFormat="1" ht="12" customHeight="1">
      <c r="A339" s="301"/>
      <c r="B339" s="255"/>
      <c r="C339" s="247" t="s">
        <v>5</v>
      </c>
      <c r="D339" s="253">
        <v>1193</v>
      </c>
      <c r="E339" s="253">
        <f t="shared" si="14"/>
        <v>756</v>
      </c>
      <c r="F339" s="259"/>
      <c r="G339" s="259"/>
      <c r="H339" s="259">
        <v>756</v>
      </c>
      <c r="I339" s="259"/>
      <c r="J339" s="259"/>
      <c r="K339" s="259"/>
      <c r="L339" s="259"/>
      <c r="M339" s="259"/>
      <c r="N339" s="260"/>
    </row>
    <row r="340" spans="1:14" s="242" customFormat="1" ht="12" customHeight="1">
      <c r="A340" s="301" t="s">
        <v>340</v>
      </c>
      <c r="B340" s="255" t="s">
        <v>342</v>
      </c>
      <c r="C340" s="252" t="s">
        <v>7</v>
      </c>
      <c r="D340" s="253">
        <v>566</v>
      </c>
      <c r="E340" s="253">
        <f t="shared" si="14"/>
        <v>566</v>
      </c>
      <c r="F340" s="259"/>
      <c r="G340" s="259"/>
      <c r="H340" s="259">
        <v>566</v>
      </c>
      <c r="I340" s="259"/>
      <c r="J340" s="259"/>
      <c r="K340" s="259"/>
      <c r="L340" s="259"/>
      <c r="M340" s="259"/>
      <c r="N340" s="260"/>
    </row>
    <row r="341" spans="1:14" s="242" customFormat="1" ht="12.75" customHeight="1">
      <c r="A341" s="301"/>
      <c r="B341" s="255"/>
      <c r="C341" s="247" t="s">
        <v>4</v>
      </c>
      <c r="D341" s="253">
        <v>1324</v>
      </c>
      <c r="E341" s="253">
        <f t="shared" si="14"/>
        <v>1324</v>
      </c>
      <c r="F341" s="259"/>
      <c r="G341" s="259"/>
      <c r="H341" s="259">
        <v>1294</v>
      </c>
      <c r="I341" s="259">
        <v>30</v>
      </c>
      <c r="J341" s="259"/>
      <c r="K341" s="259"/>
      <c r="L341" s="259"/>
      <c r="M341" s="259"/>
      <c r="N341" s="260"/>
    </row>
    <row r="342" spans="1:14" s="242" customFormat="1" ht="12.75" customHeight="1">
      <c r="A342" s="301"/>
      <c r="B342" s="255"/>
      <c r="C342" s="247" t="s">
        <v>5</v>
      </c>
      <c r="D342" s="253">
        <v>1324</v>
      </c>
      <c r="E342" s="253">
        <f t="shared" si="14"/>
        <v>1310</v>
      </c>
      <c r="F342" s="259"/>
      <c r="G342" s="259"/>
      <c r="H342" s="259">
        <v>1280</v>
      </c>
      <c r="I342" s="259">
        <v>30</v>
      </c>
      <c r="J342" s="259"/>
      <c r="K342" s="259"/>
      <c r="L342" s="259"/>
      <c r="M342" s="259"/>
      <c r="N342" s="260"/>
    </row>
    <row r="343" spans="1:14" s="242" customFormat="1" ht="12" customHeight="1">
      <c r="A343" s="301" t="s">
        <v>340</v>
      </c>
      <c r="B343" s="255" t="s">
        <v>343</v>
      </c>
      <c r="C343" s="252" t="s">
        <v>7</v>
      </c>
      <c r="D343" s="253">
        <v>566</v>
      </c>
      <c r="E343" s="253">
        <f t="shared" si="14"/>
        <v>566</v>
      </c>
      <c r="F343" s="259"/>
      <c r="G343" s="259"/>
      <c r="H343" s="259">
        <v>566</v>
      </c>
      <c r="I343" s="259"/>
      <c r="J343" s="259"/>
      <c r="K343" s="259"/>
      <c r="L343" s="259"/>
      <c r="M343" s="259"/>
      <c r="N343" s="260"/>
    </row>
    <row r="344" spans="1:14" s="242" customFormat="1" ht="12" customHeight="1">
      <c r="A344" s="301"/>
      <c r="B344" s="255"/>
      <c r="C344" s="247" t="s">
        <v>4</v>
      </c>
      <c r="D344" s="253">
        <v>779</v>
      </c>
      <c r="E344" s="253">
        <f t="shared" si="14"/>
        <v>779</v>
      </c>
      <c r="F344" s="259"/>
      <c r="G344" s="259"/>
      <c r="H344" s="259">
        <v>779</v>
      </c>
      <c r="I344" s="259"/>
      <c r="J344" s="259"/>
      <c r="K344" s="259"/>
      <c r="L344" s="259"/>
      <c r="M344" s="259"/>
      <c r="N344" s="260"/>
    </row>
    <row r="345" spans="1:14" s="242" customFormat="1" ht="12" customHeight="1">
      <c r="A345" s="301"/>
      <c r="B345" s="255"/>
      <c r="C345" s="247" t="s">
        <v>5</v>
      </c>
      <c r="D345" s="253">
        <v>778</v>
      </c>
      <c r="E345" s="253">
        <f t="shared" si="14"/>
        <v>767</v>
      </c>
      <c r="F345" s="259"/>
      <c r="G345" s="259"/>
      <c r="H345" s="259">
        <v>767</v>
      </c>
      <c r="I345" s="259"/>
      <c r="J345" s="259"/>
      <c r="K345" s="259"/>
      <c r="L345" s="259"/>
      <c r="M345" s="259"/>
      <c r="N345" s="260"/>
    </row>
    <row r="346" spans="1:14" s="242" customFormat="1" ht="12" customHeight="1">
      <c r="A346" s="287" t="s">
        <v>344</v>
      </c>
      <c r="B346" s="287"/>
      <c r="C346" s="288" t="s">
        <v>7</v>
      </c>
      <c r="D346" s="256">
        <f aca="true" t="shared" si="15" ref="D346:N346">SUM(D337+D340+D343)</f>
        <v>1698</v>
      </c>
      <c r="E346" s="256">
        <f t="shared" si="15"/>
        <v>1698</v>
      </c>
      <c r="F346" s="298">
        <f t="shared" si="15"/>
        <v>0</v>
      </c>
      <c r="G346" s="298">
        <f t="shared" si="15"/>
        <v>0</v>
      </c>
      <c r="H346" s="298">
        <f t="shared" si="15"/>
        <v>1698</v>
      </c>
      <c r="I346" s="298">
        <f t="shared" si="15"/>
        <v>0</v>
      </c>
      <c r="J346" s="298">
        <f t="shared" si="15"/>
        <v>0</v>
      </c>
      <c r="K346" s="298">
        <f t="shared" si="15"/>
        <v>0</v>
      </c>
      <c r="L346" s="298">
        <f t="shared" si="15"/>
        <v>0</v>
      </c>
      <c r="M346" s="298">
        <f t="shared" si="15"/>
        <v>0</v>
      </c>
      <c r="N346" s="299">
        <f t="shared" si="15"/>
        <v>0</v>
      </c>
    </row>
    <row r="347" spans="1:14" ht="12" customHeight="1">
      <c r="A347" s="302"/>
      <c r="B347" s="303"/>
      <c r="C347" s="292" t="s">
        <v>4</v>
      </c>
      <c r="D347" s="304">
        <f aca="true" t="shared" si="16" ref="D347:N348">SUM(D338+D341+D344)</f>
        <v>3296</v>
      </c>
      <c r="E347" s="304">
        <f t="shared" si="16"/>
        <v>3296</v>
      </c>
      <c r="F347" s="304">
        <f t="shared" si="16"/>
        <v>0</v>
      </c>
      <c r="G347" s="304">
        <f t="shared" si="16"/>
        <v>0</v>
      </c>
      <c r="H347" s="304">
        <f t="shared" si="16"/>
        <v>3266</v>
      </c>
      <c r="I347" s="304">
        <f t="shared" si="16"/>
        <v>30</v>
      </c>
      <c r="J347" s="304">
        <f t="shared" si="16"/>
        <v>0</v>
      </c>
      <c r="K347" s="304">
        <f t="shared" si="16"/>
        <v>0</v>
      </c>
      <c r="L347" s="304">
        <f t="shared" si="16"/>
        <v>0</v>
      </c>
      <c r="M347" s="304">
        <f t="shared" si="16"/>
        <v>0</v>
      </c>
      <c r="N347" s="289">
        <f t="shared" si="16"/>
        <v>0</v>
      </c>
    </row>
    <row r="348" spans="1:14" ht="12" customHeight="1">
      <c r="A348" s="302"/>
      <c r="B348" s="303"/>
      <c r="C348" s="292" t="s">
        <v>5</v>
      </c>
      <c r="D348" s="304">
        <f t="shared" si="16"/>
        <v>3295</v>
      </c>
      <c r="E348" s="304">
        <f t="shared" si="16"/>
        <v>2833</v>
      </c>
      <c r="F348" s="304">
        <f t="shared" si="16"/>
        <v>0</v>
      </c>
      <c r="G348" s="304">
        <f t="shared" si="16"/>
        <v>0</v>
      </c>
      <c r="H348" s="304">
        <f t="shared" si="16"/>
        <v>2803</v>
      </c>
      <c r="I348" s="304">
        <f t="shared" si="16"/>
        <v>30</v>
      </c>
      <c r="J348" s="304">
        <f t="shared" si="16"/>
        <v>0</v>
      </c>
      <c r="K348" s="304">
        <f t="shared" si="16"/>
        <v>0</v>
      </c>
      <c r="L348" s="304">
        <f t="shared" si="16"/>
        <v>0</v>
      </c>
      <c r="M348" s="304">
        <f t="shared" si="16"/>
        <v>0</v>
      </c>
      <c r="N348" s="289">
        <f t="shared" si="16"/>
        <v>0</v>
      </c>
    </row>
    <row r="349" spans="1:14" ht="12" customHeight="1">
      <c r="A349" s="287" t="s">
        <v>345</v>
      </c>
      <c r="B349" s="287"/>
      <c r="C349" s="305" t="s">
        <v>3</v>
      </c>
      <c r="D349" s="306">
        <f aca="true" t="shared" si="17" ref="D349:N349">SUM(D330+D333+D346)</f>
        <v>8413462</v>
      </c>
      <c r="E349" s="306">
        <f t="shared" si="17"/>
        <v>7020204</v>
      </c>
      <c r="F349" s="306">
        <f t="shared" si="17"/>
        <v>499755</v>
      </c>
      <c r="G349" s="306">
        <f t="shared" si="17"/>
        <v>137334</v>
      </c>
      <c r="H349" s="306">
        <f t="shared" si="17"/>
        <v>818767</v>
      </c>
      <c r="I349" s="306">
        <f t="shared" si="17"/>
        <v>629737</v>
      </c>
      <c r="J349" s="306">
        <f t="shared" si="17"/>
        <v>223696</v>
      </c>
      <c r="K349" s="306">
        <f t="shared" si="17"/>
        <v>195168</v>
      </c>
      <c r="L349" s="306">
        <f t="shared" si="17"/>
        <v>4311281</v>
      </c>
      <c r="M349" s="306">
        <f t="shared" si="17"/>
        <v>22073</v>
      </c>
      <c r="N349" s="307">
        <f t="shared" si="17"/>
        <v>182393</v>
      </c>
    </row>
    <row r="350" spans="1:14" ht="12.75">
      <c r="A350" s="308"/>
      <c r="B350" s="309"/>
      <c r="C350" s="305" t="s">
        <v>4</v>
      </c>
      <c r="D350" s="306">
        <f aca="true" t="shared" si="18" ref="D350:N351">SUM(D331+D334+D347)</f>
        <v>8615474</v>
      </c>
      <c r="E350" s="306">
        <f t="shared" si="18"/>
        <v>7113870</v>
      </c>
      <c r="F350" s="306">
        <f t="shared" si="18"/>
        <v>560069</v>
      </c>
      <c r="G350" s="306">
        <f t="shared" si="18"/>
        <v>141027</v>
      </c>
      <c r="H350" s="306">
        <f t="shared" si="18"/>
        <v>1002640</v>
      </c>
      <c r="I350" s="306">
        <f t="shared" si="18"/>
        <v>744487</v>
      </c>
      <c r="J350" s="306">
        <f t="shared" si="18"/>
        <v>198885</v>
      </c>
      <c r="K350" s="306">
        <f t="shared" si="18"/>
        <v>182034</v>
      </c>
      <c r="L350" s="306">
        <f t="shared" si="18"/>
        <v>4148073</v>
      </c>
      <c r="M350" s="306">
        <f t="shared" si="18"/>
        <v>83359</v>
      </c>
      <c r="N350" s="307">
        <f t="shared" si="18"/>
        <v>53296</v>
      </c>
    </row>
    <row r="351" spans="1:14" ht="13.5">
      <c r="A351" s="310"/>
      <c r="B351" s="311"/>
      <c r="C351" s="312" t="s">
        <v>5</v>
      </c>
      <c r="D351" s="313">
        <f t="shared" si="18"/>
        <v>6462569</v>
      </c>
      <c r="E351" s="313">
        <f t="shared" si="18"/>
        <v>4149760</v>
      </c>
      <c r="F351" s="313">
        <f t="shared" si="18"/>
        <v>542198</v>
      </c>
      <c r="G351" s="313">
        <f t="shared" si="18"/>
        <v>134895</v>
      </c>
      <c r="H351" s="313">
        <f t="shared" si="18"/>
        <v>907011</v>
      </c>
      <c r="I351" s="313">
        <f t="shared" si="18"/>
        <v>620639</v>
      </c>
      <c r="J351" s="313">
        <f t="shared" si="18"/>
        <v>178885</v>
      </c>
      <c r="K351" s="313">
        <f t="shared" si="18"/>
        <v>145400</v>
      </c>
      <c r="L351" s="313">
        <f t="shared" si="18"/>
        <v>1562873</v>
      </c>
      <c r="M351" s="313">
        <f t="shared" si="18"/>
        <v>57859</v>
      </c>
      <c r="N351" s="314">
        <f t="shared" si="18"/>
        <v>0</v>
      </c>
    </row>
    <row r="352" spans="6:14" ht="13.5">
      <c r="F352" s="227"/>
      <c r="G352" s="227"/>
      <c r="H352" s="227"/>
      <c r="I352" s="227"/>
      <c r="J352" s="227"/>
      <c r="K352" s="227"/>
      <c r="L352" s="227"/>
      <c r="M352" s="315"/>
      <c r="N352" s="227"/>
    </row>
    <row r="353" spans="6:14" ht="12.75">
      <c r="F353" s="227"/>
      <c r="G353" s="227"/>
      <c r="H353" s="227"/>
      <c r="I353" s="227"/>
      <c r="J353" s="227"/>
      <c r="K353" s="227"/>
      <c r="L353" s="227"/>
      <c r="M353" s="315"/>
      <c r="N353" s="227"/>
    </row>
    <row r="354" spans="6:14" ht="12.75">
      <c r="F354" s="227"/>
      <c r="G354" s="227"/>
      <c r="H354" s="227"/>
      <c r="I354" s="227"/>
      <c r="J354" s="227"/>
      <c r="K354" s="227"/>
      <c r="L354" s="227"/>
      <c r="M354" s="315"/>
      <c r="N354" s="227"/>
    </row>
    <row r="355" spans="6:14" ht="12.75">
      <c r="F355" s="227"/>
      <c r="G355" s="227"/>
      <c r="H355" s="227"/>
      <c r="I355" s="227"/>
      <c r="J355" s="227"/>
      <c r="K355" s="227"/>
      <c r="L355" s="227"/>
      <c r="M355" s="315"/>
      <c r="N355" s="227"/>
    </row>
    <row r="356" spans="6:14" ht="12.75">
      <c r="F356" s="227"/>
      <c r="G356" s="227"/>
      <c r="H356" s="227"/>
      <c r="I356" s="227"/>
      <c r="J356" s="227"/>
      <c r="K356" s="227"/>
      <c r="L356" s="227"/>
      <c r="M356" s="315"/>
      <c r="N356" s="227"/>
    </row>
    <row r="357" spans="6:14" ht="12.75">
      <c r="F357" s="227"/>
      <c r="G357" s="227"/>
      <c r="H357" s="227"/>
      <c r="I357" s="227"/>
      <c r="J357" s="227"/>
      <c r="K357" s="227"/>
      <c r="L357" s="227"/>
      <c r="M357" s="315"/>
      <c r="N357" s="227"/>
    </row>
    <row r="358" spans="6:14" ht="12.75">
      <c r="F358" s="227"/>
      <c r="G358" s="227"/>
      <c r="H358" s="227"/>
      <c r="I358" s="227"/>
      <c r="J358" s="227"/>
      <c r="K358" s="227"/>
      <c r="L358" s="227"/>
      <c r="M358" s="315"/>
      <c r="N358" s="227"/>
    </row>
    <row r="359" spans="6:14" ht="12.75">
      <c r="F359" s="227"/>
      <c r="G359" s="227"/>
      <c r="H359" s="227"/>
      <c r="I359" s="227"/>
      <c r="J359" s="227"/>
      <c r="K359" s="227"/>
      <c r="L359" s="227"/>
      <c r="M359" s="315"/>
      <c r="N359" s="227"/>
    </row>
    <row r="360" spans="6:14" ht="12.75">
      <c r="F360" s="227"/>
      <c r="G360" s="227"/>
      <c r="H360" s="227"/>
      <c r="I360" s="227"/>
      <c r="J360" s="227"/>
      <c r="K360" s="227"/>
      <c r="L360" s="227"/>
      <c r="M360" s="315"/>
      <c r="N360" s="227"/>
    </row>
    <row r="361" spans="6:14" ht="12.75">
      <c r="F361" s="227"/>
      <c r="G361" s="227"/>
      <c r="H361" s="227"/>
      <c r="I361" s="227"/>
      <c r="J361" s="227"/>
      <c r="K361" s="227"/>
      <c r="L361" s="227"/>
      <c r="M361" s="315"/>
      <c r="N361" s="227"/>
    </row>
    <row r="362" spans="6:14" ht="12.75">
      <c r="F362" s="227"/>
      <c r="G362" s="227"/>
      <c r="H362" s="227"/>
      <c r="I362" s="227"/>
      <c r="J362" s="227"/>
      <c r="K362" s="227"/>
      <c r="L362" s="227"/>
      <c r="M362" s="315"/>
      <c r="N362" s="227"/>
    </row>
    <row r="363" spans="6:14" ht="12.75">
      <c r="F363" s="227"/>
      <c r="G363" s="227"/>
      <c r="H363" s="227"/>
      <c r="I363" s="227"/>
      <c r="J363" s="227"/>
      <c r="K363" s="227"/>
      <c r="L363" s="227"/>
      <c r="M363" s="315"/>
      <c r="N363" s="227"/>
    </row>
    <row r="364" spans="6:14" ht="12.75">
      <c r="F364" s="227"/>
      <c r="G364" s="227"/>
      <c r="H364" s="227"/>
      <c r="I364" s="227"/>
      <c r="J364" s="227"/>
      <c r="K364" s="227"/>
      <c r="L364" s="227"/>
      <c r="M364" s="315"/>
      <c r="N364" s="227"/>
    </row>
    <row r="365" spans="6:14" ht="12.75">
      <c r="F365" s="227"/>
      <c r="G365" s="227"/>
      <c r="H365" s="227"/>
      <c r="I365" s="227"/>
      <c r="J365" s="227"/>
      <c r="K365" s="227"/>
      <c r="L365" s="227"/>
      <c r="M365" s="315"/>
      <c r="N365" s="227"/>
    </row>
    <row r="366" spans="6:14" ht="12.75">
      <c r="F366" s="227"/>
      <c r="G366" s="227"/>
      <c r="H366" s="227"/>
      <c r="I366" s="227"/>
      <c r="J366" s="227"/>
      <c r="K366" s="227"/>
      <c r="L366" s="227"/>
      <c r="M366" s="315"/>
      <c r="N366" s="227"/>
    </row>
    <row r="367" spans="6:14" ht="12.75">
      <c r="F367" s="227"/>
      <c r="G367" s="227"/>
      <c r="H367" s="227"/>
      <c r="I367" s="227"/>
      <c r="J367" s="227"/>
      <c r="K367" s="227"/>
      <c r="L367" s="227"/>
      <c r="M367" s="315"/>
      <c r="N367" s="227"/>
    </row>
    <row r="368" spans="6:14" ht="12.75">
      <c r="F368" s="227"/>
      <c r="G368" s="227"/>
      <c r="H368" s="227"/>
      <c r="I368" s="227"/>
      <c r="J368" s="227"/>
      <c r="K368" s="227"/>
      <c r="L368" s="227"/>
      <c r="M368" s="315"/>
      <c r="N368" s="227"/>
    </row>
    <row r="369" spans="6:14" ht="12.75">
      <c r="F369" s="227"/>
      <c r="G369" s="227"/>
      <c r="H369" s="227"/>
      <c r="I369" s="227"/>
      <c r="J369" s="227"/>
      <c r="K369" s="227"/>
      <c r="L369" s="227"/>
      <c r="M369" s="315"/>
      <c r="N369" s="227"/>
    </row>
    <row r="370" spans="6:14" ht="12.75">
      <c r="F370" s="227"/>
      <c r="G370" s="227"/>
      <c r="H370" s="227"/>
      <c r="I370" s="227"/>
      <c r="J370" s="227"/>
      <c r="K370" s="227"/>
      <c r="L370" s="227"/>
      <c r="M370" s="315"/>
      <c r="N370" s="227"/>
    </row>
    <row r="371" spans="6:14" ht="12.75">
      <c r="F371" s="227"/>
      <c r="G371" s="227"/>
      <c r="H371" s="227"/>
      <c r="I371" s="227"/>
      <c r="J371" s="227"/>
      <c r="K371" s="227"/>
      <c r="L371" s="227"/>
      <c r="M371" s="315"/>
      <c r="N371" s="227"/>
    </row>
    <row r="372" spans="6:14" ht="12.75">
      <c r="F372" s="227"/>
      <c r="G372" s="227"/>
      <c r="H372" s="227"/>
      <c r="I372" s="227"/>
      <c r="J372" s="227"/>
      <c r="K372" s="227"/>
      <c r="L372" s="227"/>
      <c r="M372" s="315"/>
      <c r="N372" s="227"/>
    </row>
    <row r="373" spans="6:14" ht="12.75">
      <c r="F373" s="227"/>
      <c r="G373" s="227"/>
      <c r="H373" s="227"/>
      <c r="I373" s="227"/>
      <c r="J373" s="227"/>
      <c r="K373" s="227"/>
      <c r="L373" s="227"/>
      <c r="M373" s="315"/>
      <c r="N373" s="227"/>
    </row>
    <row r="374" spans="6:14" ht="12.75">
      <c r="F374" s="227"/>
      <c r="G374" s="227"/>
      <c r="H374" s="227"/>
      <c r="I374" s="227"/>
      <c r="J374" s="227"/>
      <c r="K374" s="227"/>
      <c r="L374" s="227"/>
      <c r="M374" s="315"/>
      <c r="N374" s="227"/>
    </row>
    <row r="375" spans="6:14" ht="12.75">
      <c r="F375" s="227"/>
      <c r="G375" s="227"/>
      <c r="H375" s="227"/>
      <c r="I375" s="227"/>
      <c r="J375" s="227"/>
      <c r="K375" s="227"/>
      <c r="L375" s="227"/>
      <c r="M375" s="315"/>
      <c r="N375" s="227"/>
    </row>
    <row r="376" spans="6:14" ht="12.75">
      <c r="F376" s="227"/>
      <c r="G376" s="227"/>
      <c r="H376" s="227"/>
      <c r="I376" s="227"/>
      <c r="J376" s="227"/>
      <c r="K376" s="227"/>
      <c r="L376" s="227"/>
      <c r="M376" s="315"/>
      <c r="N376" s="227"/>
    </row>
    <row r="377" spans="6:14" ht="12.75">
      <c r="F377" s="227"/>
      <c r="G377" s="227"/>
      <c r="H377" s="227"/>
      <c r="I377" s="227"/>
      <c r="J377" s="227"/>
      <c r="K377" s="227"/>
      <c r="L377" s="227"/>
      <c r="M377" s="315"/>
      <c r="N377" s="227"/>
    </row>
    <row r="378" spans="6:14" ht="12.75">
      <c r="F378" s="227"/>
      <c r="G378" s="227"/>
      <c r="H378" s="227"/>
      <c r="I378" s="227"/>
      <c r="J378" s="227"/>
      <c r="K378" s="227"/>
      <c r="L378" s="227"/>
      <c r="M378" s="315"/>
      <c r="N378" s="227"/>
    </row>
    <row r="379" spans="6:14" ht="12.75">
      <c r="F379" s="227"/>
      <c r="G379" s="227"/>
      <c r="H379" s="227"/>
      <c r="I379" s="227"/>
      <c r="J379" s="227"/>
      <c r="K379" s="227"/>
      <c r="L379" s="227"/>
      <c r="M379" s="315"/>
      <c r="N379" s="227"/>
    </row>
    <row r="380" spans="6:14" ht="12.75">
      <c r="F380" s="227"/>
      <c r="G380" s="227"/>
      <c r="H380" s="227"/>
      <c r="I380" s="227"/>
      <c r="J380" s="227"/>
      <c r="K380" s="227"/>
      <c r="L380" s="227"/>
      <c r="M380" s="315"/>
      <c r="N380" s="227"/>
    </row>
    <row r="381" spans="6:14" ht="12.75">
      <c r="F381" s="227"/>
      <c r="G381" s="227"/>
      <c r="H381" s="227"/>
      <c r="I381" s="227"/>
      <c r="J381" s="227"/>
      <c r="K381" s="227"/>
      <c r="L381" s="227"/>
      <c r="M381" s="315"/>
      <c r="N381" s="227"/>
    </row>
    <row r="382" spans="6:14" ht="12.75">
      <c r="F382" s="227"/>
      <c r="G382" s="227"/>
      <c r="H382" s="227"/>
      <c r="I382" s="227"/>
      <c r="J382" s="227"/>
      <c r="K382" s="227"/>
      <c r="L382" s="227"/>
      <c r="M382" s="315"/>
      <c r="N382" s="227"/>
    </row>
    <row r="383" spans="6:14" ht="12.75">
      <c r="F383" s="227"/>
      <c r="G383" s="227"/>
      <c r="H383" s="227"/>
      <c r="I383" s="227"/>
      <c r="J383" s="227"/>
      <c r="K383" s="227"/>
      <c r="L383" s="227"/>
      <c r="M383" s="315"/>
      <c r="N383" s="227"/>
    </row>
    <row r="384" spans="6:14" ht="12.75">
      <c r="F384" s="227"/>
      <c r="G384" s="227"/>
      <c r="H384" s="227"/>
      <c r="I384" s="227"/>
      <c r="J384" s="227"/>
      <c r="K384" s="227"/>
      <c r="L384" s="227"/>
      <c r="M384" s="315"/>
      <c r="N384" s="227"/>
    </row>
    <row r="385" spans="6:14" ht="12.75">
      <c r="F385" s="227"/>
      <c r="G385" s="227"/>
      <c r="H385" s="227"/>
      <c r="I385" s="227"/>
      <c r="J385" s="227"/>
      <c r="K385" s="227"/>
      <c r="L385" s="227"/>
      <c r="M385" s="315"/>
      <c r="N385" s="227"/>
    </row>
    <row r="386" spans="6:14" ht="12.75">
      <c r="F386" s="227"/>
      <c r="G386" s="227"/>
      <c r="H386" s="227"/>
      <c r="I386" s="227"/>
      <c r="J386" s="227"/>
      <c r="K386" s="227"/>
      <c r="L386" s="227"/>
      <c r="M386" s="315"/>
      <c r="N386" s="227"/>
    </row>
    <row r="387" spans="6:14" ht="12.75">
      <c r="F387" s="227"/>
      <c r="G387" s="227"/>
      <c r="H387" s="227"/>
      <c r="I387" s="227"/>
      <c r="J387" s="227"/>
      <c r="K387" s="227"/>
      <c r="L387" s="227"/>
      <c r="M387" s="315"/>
      <c r="N387" s="227"/>
    </row>
    <row r="388" spans="6:14" ht="12.75">
      <c r="F388" s="227"/>
      <c r="G388" s="227"/>
      <c r="H388" s="227"/>
      <c r="I388" s="227"/>
      <c r="J388" s="227"/>
      <c r="K388" s="227"/>
      <c r="L388" s="227"/>
      <c r="M388" s="315"/>
      <c r="N388" s="227"/>
    </row>
    <row r="389" spans="6:14" ht="12.75">
      <c r="F389" s="227"/>
      <c r="G389" s="227"/>
      <c r="H389" s="227"/>
      <c r="I389" s="227"/>
      <c r="J389" s="227"/>
      <c r="K389" s="227"/>
      <c r="L389" s="227"/>
      <c r="M389" s="315"/>
      <c r="N389" s="227"/>
    </row>
    <row r="390" spans="6:14" ht="12.75">
      <c r="F390" s="227"/>
      <c r="G390" s="227"/>
      <c r="H390" s="227"/>
      <c r="I390" s="227"/>
      <c r="J390" s="227"/>
      <c r="K390" s="227"/>
      <c r="L390" s="227"/>
      <c r="M390" s="315"/>
      <c r="N390" s="227"/>
    </row>
    <row r="391" spans="6:14" ht="12.75">
      <c r="F391" s="227"/>
      <c r="G391" s="227"/>
      <c r="H391" s="227"/>
      <c r="I391" s="227"/>
      <c r="J391" s="227"/>
      <c r="K391" s="227"/>
      <c r="L391" s="227"/>
      <c r="M391" s="315"/>
      <c r="N391" s="227"/>
    </row>
    <row r="392" spans="6:14" ht="12.75">
      <c r="F392" s="227"/>
      <c r="G392" s="227"/>
      <c r="H392" s="227"/>
      <c r="I392" s="227"/>
      <c r="J392" s="227"/>
      <c r="K392" s="227"/>
      <c r="L392" s="227"/>
      <c r="M392" s="315"/>
      <c r="N392" s="227"/>
    </row>
    <row r="393" spans="6:14" ht="12.75">
      <c r="F393" s="227"/>
      <c r="G393" s="227"/>
      <c r="H393" s="227"/>
      <c r="I393" s="227"/>
      <c r="J393" s="227"/>
      <c r="K393" s="227"/>
      <c r="L393" s="227"/>
      <c r="M393" s="315"/>
      <c r="N393" s="227"/>
    </row>
    <row r="394" spans="6:14" ht="12.75">
      <c r="F394" s="227"/>
      <c r="G394" s="227"/>
      <c r="H394" s="227"/>
      <c r="I394" s="227"/>
      <c r="J394" s="227"/>
      <c r="K394" s="227"/>
      <c r="L394" s="227"/>
      <c r="M394" s="315"/>
      <c r="N394" s="227"/>
    </row>
    <row r="395" spans="6:14" ht="12.75">
      <c r="F395" s="227"/>
      <c r="G395" s="227"/>
      <c r="H395" s="227"/>
      <c r="I395" s="227"/>
      <c r="J395" s="227"/>
      <c r="K395" s="227"/>
      <c r="L395" s="227"/>
      <c r="M395" s="315"/>
      <c r="N395" s="227"/>
    </row>
    <row r="396" spans="6:14" ht="12.75">
      <c r="F396" s="227"/>
      <c r="G396" s="227"/>
      <c r="H396" s="227"/>
      <c r="I396" s="227"/>
      <c r="J396" s="227"/>
      <c r="K396" s="227"/>
      <c r="L396" s="227"/>
      <c r="M396" s="315"/>
      <c r="N396" s="227"/>
    </row>
    <row r="397" spans="6:14" ht="12.75">
      <c r="F397" s="227"/>
      <c r="G397" s="227"/>
      <c r="H397" s="227"/>
      <c r="I397" s="227"/>
      <c r="J397" s="227"/>
      <c r="K397" s="227"/>
      <c r="L397" s="227"/>
      <c r="M397" s="315"/>
      <c r="N397" s="227"/>
    </row>
    <row r="398" spans="6:14" ht="12.75">
      <c r="F398" s="227"/>
      <c r="G398" s="227"/>
      <c r="H398" s="227"/>
      <c r="I398" s="227"/>
      <c r="J398" s="227"/>
      <c r="K398" s="227"/>
      <c r="L398" s="227"/>
      <c r="M398" s="315"/>
      <c r="N398" s="227"/>
    </row>
    <row r="399" spans="6:14" ht="12.75">
      <c r="F399" s="227"/>
      <c r="G399" s="227"/>
      <c r="H399" s="227"/>
      <c r="I399" s="227"/>
      <c r="J399" s="227"/>
      <c r="K399" s="227"/>
      <c r="L399" s="227"/>
      <c r="M399" s="315"/>
      <c r="N399" s="227"/>
    </row>
    <row r="400" spans="6:14" ht="12.75">
      <c r="F400" s="227"/>
      <c r="G400" s="227"/>
      <c r="H400" s="227"/>
      <c r="I400" s="227"/>
      <c r="J400" s="227"/>
      <c r="K400" s="227"/>
      <c r="L400" s="227"/>
      <c r="M400" s="315"/>
      <c r="N400" s="227"/>
    </row>
    <row r="401" spans="6:14" ht="12.75">
      <c r="F401" s="227"/>
      <c r="G401" s="227"/>
      <c r="H401" s="227"/>
      <c r="I401" s="227"/>
      <c r="J401" s="227"/>
      <c r="K401" s="227"/>
      <c r="L401" s="227"/>
      <c r="M401" s="315"/>
      <c r="N401" s="227"/>
    </row>
    <row r="402" spans="6:14" ht="12.75">
      <c r="F402" s="227"/>
      <c r="G402" s="227"/>
      <c r="H402" s="227"/>
      <c r="I402" s="227"/>
      <c r="J402" s="227"/>
      <c r="K402" s="227"/>
      <c r="L402" s="227"/>
      <c r="M402" s="315"/>
      <c r="N402" s="227"/>
    </row>
    <row r="403" spans="6:14" ht="12.75">
      <c r="F403" s="227"/>
      <c r="G403" s="227"/>
      <c r="H403" s="227"/>
      <c r="I403" s="227"/>
      <c r="J403" s="227"/>
      <c r="K403" s="227"/>
      <c r="L403" s="227"/>
      <c r="M403" s="315"/>
      <c r="N403" s="227"/>
    </row>
    <row r="404" spans="6:14" ht="12.75">
      <c r="F404" s="227"/>
      <c r="G404" s="227"/>
      <c r="H404" s="227"/>
      <c r="I404" s="227"/>
      <c r="J404" s="227"/>
      <c r="K404" s="227"/>
      <c r="L404" s="227"/>
      <c r="M404" s="315"/>
      <c r="N404" s="227"/>
    </row>
    <row r="405" spans="6:14" ht="12.75">
      <c r="F405" s="227"/>
      <c r="G405" s="227"/>
      <c r="H405" s="227"/>
      <c r="I405" s="227"/>
      <c r="J405" s="227"/>
      <c r="K405" s="227"/>
      <c r="L405" s="227"/>
      <c r="M405" s="315"/>
      <c r="N405" s="227"/>
    </row>
    <row r="406" spans="6:14" ht="12.75">
      <c r="F406" s="227"/>
      <c r="G406" s="227"/>
      <c r="H406" s="227"/>
      <c r="I406" s="227"/>
      <c r="J406" s="227"/>
      <c r="K406" s="227"/>
      <c r="L406" s="227"/>
      <c r="M406" s="315"/>
      <c r="N406" s="227"/>
    </row>
    <row r="407" spans="6:14" ht="12.75">
      <c r="F407" s="227"/>
      <c r="G407" s="227"/>
      <c r="H407" s="227"/>
      <c r="I407" s="227"/>
      <c r="J407" s="227"/>
      <c r="K407" s="227"/>
      <c r="L407" s="227"/>
      <c r="M407" s="315"/>
      <c r="N407" s="227"/>
    </row>
    <row r="408" spans="6:14" ht="12.75">
      <c r="F408" s="227"/>
      <c r="G408" s="227"/>
      <c r="H408" s="227"/>
      <c r="I408" s="227"/>
      <c r="J408" s="227"/>
      <c r="K408" s="227"/>
      <c r="L408" s="227"/>
      <c r="M408" s="315"/>
      <c r="N408" s="227"/>
    </row>
  </sheetData>
  <sheetProtection selectLockedCells="1" selectUnlockedCells="1"/>
  <mergeCells count="91">
    <mergeCell ref="A3:N3"/>
    <mergeCell ref="A4:N4"/>
    <mergeCell ref="A6:C8"/>
    <mergeCell ref="D6:D8"/>
    <mergeCell ref="E6:E8"/>
    <mergeCell ref="F6:J6"/>
    <mergeCell ref="K6:L6"/>
    <mergeCell ref="M6:M8"/>
    <mergeCell ref="N6:N8"/>
    <mergeCell ref="F7:F8"/>
    <mergeCell ref="G7:G8"/>
    <mergeCell ref="H7:H8"/>
    <mergeCell ref="I7:I8"/>
    <mergeCell ref="J7:J8"/>
    <mergeCell ref="K7:K8"/>
    <mergeCell ref="L7:L8"/>
    <mergeCell ref="A63:C65"/>
    <mergeCell ref="D63:D65"/>
    <mergeCell ref="E63:E65"/>
    <mergeCell ref="F63:J63"/>
    <mergeCell ref="K63:L63"/>
    <mergeCell ref="M63:M65"/>
    <mergeCell ref="N63:N65"/>
    <mergeCell ref="F64:F65"/>
    <mergeCell ref="G64:G65"/>
    <mergeCell ref="H64:H65"/>
    <mergeCell ref="I64:I65"/>
    <mergeCell ref="J64:J65"/>
    <mergeCell ref="K64:K65"/>
    <mergeCell ref="L64:L65"/>
    <mergeCell ref="A126:C128"/>
    <mergeCell ref="D126:D128"/>
    <mergeCell ref="E126:E128"/>
    <mergeCell ref="F126:J126"/>
    <mergeCell ref="K126:L126"/>
    <mergeCell ref="M126:M128"/>
    <mergeCell ref="N126:N128"/>
    <mergeCell ref="F127:F128"/>
    <mergeCell ref="G127:G128"/>
    <mergeCell ref="H127:H128"/>
    <mergeCell ref="I127:I128"/>
    <mergeCell ref="J127:J128"/>
    <mergeCell ref="K127:K128"/>
    <mergeCell ref="L127:L128"/>
    <mergeCell ref="A189:C191"/>
    <mergeCell ref="D189:D191"/>
    <mergeCell ref="E189:E191"/>
    <mergeCell ref="F189:J189"/>
    <mergeCell ref="K189:L189"/>
    <mergeCell ref="M189:M191"/>
    <mergeCell ref="N189:N191"/>
    <mergeCell ref="F190:F191"/>
    <mergeCell ref="G190:G191"/>
    <mergeCell ref="H190:H191"/>
    <mergeCell ref="I190:I191"/>
    <mergeCell ref="J190:J191"/>
    <mergeCell ref="K190:K191"/>
    <mergeCell ref="L190:L191"/>
    <mergeCell ref="A252:C254"/>
    <mergeCell ref="D252:D254"/>
    <mergeCell ref="E252:E254"/>
    <mergeCell ref="F252:J252"/>
    <mergeCell ref="K252:L252"/>
    <mergeCell ref="M252:M254"/>
    <mergeCell ref="N252:N254"/>
    <mergeCell ref="F253:F254"/>
    <mergeCell ref="G253:G254"/>
    <mergeCell ref="H253:H254"/>
    <mergeCell ref="I253:I254"/>
    <mergeCell ref="J253:J254"/>
    <mergeCell ref="K253:K254"/>
    <mergeCell ref="L253:L254"/>
    <mergeCell ref="A315:C317"/>
    <mergeCell ref="D315:D317"/>
    <mergeCell ref="E315:E317"/>
    <mergeCell ref="F315:J315"/>
    <mergeCell ref="K315:L315"/>
    <mergeCell ref="M315:M317"/>
    <mergeCell ref="N315:N317"/>
    <mergeCell ref="F316:F317"/>
    <mergeCell ref="G316:G317"/>
    <mergeCell ref="H316:H317"/>
    <mergeCell ref="I316:I317"/>
    <mergeCell ref="J316:J317"/>
    <mergeCell ref="K316:K317"/>
    <mergeCell ref="L316:L317"/>
    <mergeCell ref="A330:B330"/>
    <mergeCell ref="A333:B333"/>
    <mergeCell ref="A336:B336"/>
    <mergeCell ref="A346:B346"/>
    <mergeCell ref="A349:B349"/>
  </mergeCells>
  <printOptions/>
  <pageMargins left="0.19652777777777777" right="0.15763888888888888" top="0.2701388888888889" bottom="0.1701388888888889" header="0.5118055555555555" footer="0.5118055555555555"/>
  <pageSetup horizontalDpi="300" verticalDpi="300" orientation="landscape" paperSize="9" scale="73"/>
  <rowBreaks count="2" manualBreakCount="2">
    <brk id="62" max="255" man="1"/>
    <brk id="1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220"/>
  <sheetViews>
    <sheetView zoomScaleSheetLayoutView="100" workbookViewId="0" topLeftCell="P1">
      <selection activeCell="W201" sqref="W201"/>
    </sheetView>
  </sheetViews>
  <sheetFormatPr defaultColWidth="9.00390625" defaultRowHeight="12.75"/>
  <cols>
    <col min="1" max="1" width="20.875" style="316" customWidth="1"/>
    <col min="2" max="2" width="12.875" style="317" customWidth="1"/>
    <col min="3" max="3" width="9.75390625" style="318" customWidth="1"/>
    <col min="4" max="4" width="12.375" style="318" customWidth="1"/>
    <col min="5" max="8" width="8.75390625" style="318" customWidth="1"/>
    <col min="9" max="9" width="9.375" style="318" customWidth="1"/>
    <col min="10" max="14" width="8.75390625" style="318" customWidth="1"/>
    <col min="15" max="15" width="11.75390625" style="319" customWidth="1"/>
    <col min="16" max="16" width="21.375" style="319" customWidth="1"/>
    <col min="17" max="17" width="11.75390625" style="319" customWidth="1"/>
    <col min="18" max="18" width="12.625" style="318" customWidth="1"/>
    <col min="19" max="19" width="13.25390625" style="318" customWidth="1"/>
    <col min="20" max="20" width="11.625" style="318" customWidth="1"/>
    <col min="21" max="21" width="15.00390625" style="318" customWidth="1"/>
    <col min="22" max="23" width="11.75390625" style="318" customWidth="1"/>
    <col min="24" max="24" width="10.375" style="318" customWidth="1"/>
    <col min="25" max="25" width="11.00390625" style="318" customWidth="1"/>
    <col min="26" max="26" width="11.75390625" style="319" customWidth="1"/>
    <col min="27" max="27" width="11.375" style="318" customWidth="1"/>
    <col min="28" max="16384" width="9.125" style="318" customWidth="1"/>
  </cols>
  <sheetData>
    <row r="1" spans="2:32" ht="20.25" customHeight="1">
      <c r="B1" s="320"/>
      <c r="C1" s="321" t="s">
        <v>346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 t="s">
        <v>346</v>
      </c>
      <c r="S1" s="321"/>
      <c r="T1" s="321"/>
      <c r="U1" s="321"/>
      <c r="V1" s="321"/>
      <c r="W1" s="321"/>
      <c r="X1" s="321"/>
      <c r="Y1" s="321"/>
      <c r="Z1" s="321"/>
      <c r="AA1" s="320"/>
      <c r="AB1" s="320"/>
      <c r="AC1" s="320"/>
      <c r="AD1" s="320"/>
      <c r="AE1" s="320"/>
      <c r="AF1" s="320"/>
    </row>
    <row r="2" spans="2:32" ht="13.5" customHeight="1">
      <c r="B2" s="320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0"/>
      <c r="AB2" s="320"/>
      <c r="AC2" s="320"/>
      <c r="AD2" s="320"/>
      <c r="AE2" s="320"/>
      <c r="AF2" s="320"/>
    </row>
    <row r="3" spans="1:26" s="326" customFormat="1" ht="12.75" customHeight="1">
      <c r="A3" s="322" t="s">
        <v>347</v>
      </c>
      <c r="B3" s="322"/>
      <c r="C3" s="323" t="s">
        <v>348</v>
      </c>
      <c r="D3" s="323" t="s">
        <v>349</v>
      </c>
      <c r="E3" s="323" t="s">
        <v>350</v>
      </c>
      <c r="F3" s="323" t="s">
        <v>351</v>
      </c>
      <c r="G3" s="323" t="s">
        <v>352</v>
      </c>
      <c r="H3" s="323"/>
      <c r="I3" s="323" t="s">
        <v>353</v>
      </c>
      <c r="J3" s="323"/>
      <c r="K3" s="323" t="s">
        <v>354</v>
      </c>
      <c r="L3" s="323" t="s">
        <v>355</v>
      </c>
      <c r="M3" s="323" t="s">
        <v>356</v>
      </c>
      <c r="N3" s="323"/>
      <c r="O3" s="324" t="s">
        <v>357</v>
      </c>
      <c r="P3" s="322" t="s">
        <v>347</v>
      </c>
      <c r="Q3" s="322"/>
      <c r="R3" s="325" t="s">
        <v>227</v>
      </c>
      <c r="S3" s="325"/>
      <c r="T3" s="325"/>
      <c r="U3" s="325"/>
      <c r="V3" s="325"/>
      <c r="W3" s="325"/>
      <c r="X3" s="325" t="s">
        <v>228</v>
      </c>
      <c r="Y3" s="325"/>
      <c r="Z3" s="324" t="s">
        <v>358</v>
      </c>
    </row>
    <row r="4" spans="1:26" s="328" customFormat="1" ht="42" customHeight="1">
      <c r="A4" s="322"/>
      <c r="B4" s="322"/>
      <c r="C4" s="323"/>
      <c r="D4" s="323"/>
      <c r="E4" s="323"/>
      <c r="F4" s="323"/>
      <c r="G4" s="327" t="s">
        <v>359</v>
      </c>
      <c r="H4" s="327" t="s">
        <v>360</v>
      </c>
      <c r="I4" s="327" t="s">
        <v>359</v>
      </c>
      <c r="J4" s="327" t="s">
        <v>360</v>
      </c>
      <c r="K4" s="323"/>
      <c r="L4" s="323"/>
      <c r="M4" s="327" t="s">
        <v>361</v>
      </c>
      <c r="N4" s="327" t="s">
        <v>362</v>
      </c>
      <c r="O4" s="324"/>
      <c r="P4" s="322"/>
      <c r="Q4" s="322"/>
      <c r="R4" s="327" t="s">
        <v>12</v>
      </c>
      <c r="S4" s="327" t="s">
        <v>363</v>
      </c>
      <c r="T4" s="327" t="s">
        <v>364</v>
      </c>
      <c r="U4" s="327" t="s">
        <v>365</v>
      </c>
      <c r="V4" s="327" t="s">
        <v>366</v>
      </c>
      <c r="W4" s="327" t="s">
        <v>367</v>
      </c>
      <c r="X4" s="327" t="s">
        <v>35</v>
      </c>
      <c r="Y4" s="327" t="s">
        <v>40</v>
      </c>
      <c r="Z4" s="324"/>
    </row>
    <row r="5" spans="1:26" ht="11.25" customHeight="1">
      <c r="A5" s="329" t="s">
        <v>368</v>
      </c>
      <c r="B5" s="330" t="s">
        <v>3</v>
      </c>
      <c r="C5" s="331">
        <v>6031</v>
      </c>
      <c r="D5" s="331">
        <v>4335</v>
      </c>
      <c r="E5" s="331">
        <v>1508</v>
      </c>
      <c r="F5" s="331">
        <v>0</v>
      </c>
      <c r="G5" s="331">
        <v>0</v>
      </c>
      <c r="H5" s="331">
        <v>0</v>
      </c>
      <c r="I5" s="331">
        <v>0</v>
      </c>
      <c r="J5" s="331">
        <v>0</v>
      </c>
      <c r="K5" s="331"/>
      <c r="L5" s="331">
        <v>0</v>
      </c>
      <c r="M5" s="331">
        <v>0</v>
      </c>
      <c r="N5" s="331">
        <v>0</v>
      </c>
      <c r="O5" s="332">
        <f aca="true" t="shared" si="0" ref="O5:O102">SUM(C5:N5)-D5</f>
        <v>7539</v>
      </c>
      <c r="P5" s="333" t="s">
        <v>368</v>
      </c>
      <c r="Q5" s="330" t="s">
        <v>3</v>
      </c>
      <c r="R5" s="331">
        <f>35877</f>
        <v>35877</v>
      </c>
      <c r="S5" s="331">
        <v>9320</v>
      </c>
      <c r="T5" s="331">
        <v>13615</v>
      </c>
      <c r="U5" s="331">
        <v>5102</v>
      </c>
      <c r="V5" s="331">
        <v>0</v>
      </c>
      <c r="W5" s="331"/>
      <c r="X5" s="331">
        <v>0</v>
      </c>
      <c r="Y5" s="331">
        <v>1350</v>
      </c>
      <c r="Z5" s="332">
        <f aca="true" t="shared" si="1" ref="Z5:Z102">SUM(R5:Y5)-U5</f>
        <v>60162</v>
      </c>
    </row>
    <row r="6" spans="1:26" ht="11.25" customHeight="1">
      <c r="A6" s="329"/>
      <c r="B6" s="330" t="s">
        <v>369</v>
      </c>
      <c r="C6" s="331">
        <v>6031</v>
      </c>
      <c r="D6" s="331">
        <v>4335</v>
      </c>
      <c r="E6" s="331">
        <v>1508</v>
      </c>
      <c r="F6" s="331">
        <v>0</v>
      </c>
      <c r="G6" s="331">
        <v>0</v>
      </c>
      <c r="H6" s="331">
        <v>0</v>
      </c>
      <c r="I6" s="331">
        <v>0</v>
      </c>
      <c r="J6" s="331">
        <v>0</v>
      </c>
      <c r="K6" s="331"/>
      <c r="L6" s="331">
        <v>0</v>
      </c>
      <c r="M6" s="331">
        <v>193</v>
      </c>
      <c r="N6" s="331">
        <v>0</v>
      </c>
      <c r="O6" s="332">
        <f t="shared" si="0"/>
        <v>7732</v>
      </c>
      <c r="P6" s="333"/>
      <c r="Q6" s="330" t="s">
        <v>369</v>
      </c>
      <c r="R6" s="331">
        <f>35877+2043-129</f>
        <v>37791</v>
      </c>
      <c r="S6" s="331">
        <f>9320+552+39</f>
        <v>9911</v>
      </c>
      <c r="T6" s="331">
        <f>13615+120+129+415+193</f>
        <v>14472</v>
      </c>
      <c r="U6" s="331">
        <v>5102</v>
      </c>
      <c r="V6" s="331">
        <v>0</v>
      </c>
      <c r="W6" s="331"/>
      <c r="X6" s="331">
        <v>0</v>
      </c>
      <c r="Y6" s="331">
        <v>1350</v>
      </c>
      <c r="Z6" s="332">
        <f t="shared" si="1"/>
        <v>63524</v>
      </c>
    </row>
    <row r="7" spans="1:26" ht="11.25" customHeight="1">
      <c r="A7" s="329"/>
      <c r="B7" s="330" t="s">
        <v>370</v>
      </c>
      <c r="C7" s="331">
        <v>6031</v>
      </c>
      <c r="D7" s="331">
        <v>4335</v>
      </c>
      <c r="E7" s="331">
        <v>1508</v>
      </c>
      <c r="F7" s="331">
        <v>0</v>
      </c>
      <c r="G7" s="331">
        <v>0</v>
      </c>
      <c r="H7" s="331">
        <v>0</v>
      </c>
      <c r="I7" s="331">
        <v>0</v>
      </c>
      <c r="J7" s="331">
        <v>0</v>
      </c>
      <c r="K7" s="331"/>
      <c r="L7" s="331">
        <v>0</v>
      </c>
      <c r="M7" s="331">
        <v>193</v>
      </c>
      <c r="N7" s="331">
        <v>0</v>
      </c>
      <c r="O7" s="332">
        <f t="shared" si="0"/>
        <v>7732</v>
      </c>
      <c r="P7" s="333"/>
      <c r="Q7" s="330" t="s">
        <v>370</v>
      </c>
      <c r="R7" s="331">
        <f>37791+188+250</f>
        <v>38229</v>
      </c>
      <c r="S7" s="331">
        <f>9911+24</f>
        <v>9935</v>
      </c>
      <c r="T7" s="331">
        <f>14472+25+30</f>
        <v>14527</v>
      </c>
      <c r="U7" s="331">
        <v>5102</v>
      </c>
      <c r="V7" s="331">
        <v>0</v>
      </c>
      <c r="W7" s="331"/>
      <c r="X7" s="331">
        <v>0</v>
      </c>
      <c r="Y7" s="331">
        <f>1350+2619</f>
        <v>3969</v>
      </c>
      <c r="Z7" s="332">
        <f t="shared" si="1"/>
        <v>66660</v>
      </c>
    </row>
    <row r="8" spans="1:26" ht="11.25" customHeight="1">
      <c r="A8" s="329"/>
      <c r="B8" s="330" t="s">
        <v>371</v>
      </c>
      <c r="C8" s="331">
        <v>6031</v>
      </c>
      <c r="D8" s="331">
        <v>4335</v>
      </c>
      <c r="E8" s="331">
        <f>1508+2132</f>
        <v>3640</v>
      </c>
      <c r="F8" s="331">
        <v>0</v>
      </c>
      <c r="G8" s="331"/>
      <c r="H8" s="331">
        <v>0</v>
      </c>
      <c r="I8" s="331"/>
      <c r="J8" s="331"/>
      <c r="K8" s="331"/>
      <c r="L8" s="331"/>
      <c r="M8" s="331">
        <v>193</v>
      </c>
      <c r="N8" s="331"/>
      <c r="O8" s="332">
        <f t="shared" si="0"/>
        <v>9864</v>
      </c>
      <c r="P8" s="333"/>
      <c r="Q8" s="330" t="s">
        <v>371</v>
      </c>
      <c r="R8" s="331">
        <f>37791+188+250+1679</f>
        <v>39908</v>
      </c>
      <c r="S8" s="331">
        <f>9911+24+453</f>
        <v>10388</v>
      </c>
      <c r="T8" s="331">
        <f>14472+25+30</f>
        <v>14527</v>
      </c>
      <c r="U8" s="331">
        <v>5102</v>
      </c>
      <c r="V8" s="331">
        <v>0</v>
      </c>
      <c r="W8" s="331"/>
      <c r="X8" s="331">
        <v>0</v>
      </c>
      <c r="Y8" s="331">
        <f>1350+2619</f>
        <v>3969</v>
      </c>
      <c r="Z8" s="332">
        <f t="shared" si="1"/>
        <v>68792</v>
      </c>
    </row>
    <row r="9" spans="1:26" ht="11.25" customHeight="1">
      <c r="A9" s="329"/>
      <c r="B9" s="330" t="s">
        <v>372</v>
      </c>
      <c r="C9" s="331">
        <v>6031</v>
      </c>
      <c r="D9" s="331">
        <v>4335</v>
      </c>
      <c r="E9" s="331">
        <f>1508+2132</f>
        <v>3640</v>
      </c>
      <c r="F9" s="331">
        <v>0</v>
      </c>
      <c r="G9" s="331">
        <v>80</v>
      </c>
      <c r="H9" s="331">
        <v>0</v>
      </c>
      <c r="I9" s="331"/>
      <c r="J9" s="331"/>
      <c r="K9" s="331"/>
      <c r="L9" s="331"/>
      <c r="M9" s="331">
        <v>193</v>
      </c>
      <c r="N9" s="331"/>
      <c r="O9" s="332">
        <f t="shared" si="0"/>
        <v>9944</v>
      </c>
      <c r="P9" s="333"/>
      <c r="Q9" s="330" t="s">
        <v>372</v>
      </c>
      <c r="R9" s="331">
        <f>37791+188+250+1679-97</f>
        <v>39811</v>
      </c>
      <c r="S9" s="331">
        <f>9911+24+453-145</f>
        <v>10243</v>
      </c>
      <c r="T9" s="331">
        <f>14472+25+30+80+428</f>
        <v>15035</v>
      </c>
      <c r="U9" s="331">
        <v>5102</v>
      </c>
      <c r="V9" s="331"/>
      <c r="W9" s="331"/>
      <c r="X9" s="331"/>
      <c r="Y9" s="331">
        <f>1350+2619</f>
        <v>3969</v>
      </c>
      <c r="Z9" s="332">
        <f t="shared" si="1"/>
        <v>69058</v>
      </c>
    </row>
    <row r="10" spans="1:26" ht="11.25" customHeight="1">
      <c r="A10" s="329"/>
      <c r="B10" s="330" t="s">
        <v>373</v>
      </c>
      <c r="C10" s="331">
        <v>6031</v>
      </c>
      <c r="D10" s="331">
        <v>4335</v>
      </c>
      <c r="E10" s="331">
        <f>1508+2132</f>
        <v>3640</v>
      </c>
      <c r="F10" s="331">
        <v>0</v>
      </c>
      <c r="G10" s="331">
        <v>80</v>
      </c>
      <c r="H10" s="331">
        <v>0</v>
      </c>
      <c r="I10" s="331"/>
      <c r="J10" s="331"/>
      <c r="K10" s="331"/>
      <c r="L10" s="331"/>
      <c r="M10" s="331">
        <v>193</v>
      </c>
      <c r="N10" s="331"/>
      <c r="O10" s="332">
        <f t="shared" si="0"/>
        <v>9944</v>
      </c>
      <c r="P10" s="333"/>
      <c r="Q10" s="330" t="s">
        <v>373</v>
      </c>
      <c r="R10" s="331">
        <f>37791+188+250+1679-97</f>
        <v>39811</v>
      </c>
      <c r="S10" s="331">
        <f>9911+24+453-145</f>
        <v>10243</v>
      </c>
      <c r="T10" s="331">
        <f>14472+25+30+80+428</f>
        <v>15035</v>
      </c>
      <c r="U10" s="331">
        <v>5102</v>
      </c>
      <c r="V10" s="331"/>
      <c r="W10" s="331"/>
      <c r="X10" s="331"/>
      <c r="Y10" s="331">
        <f>1350+2619</f>
        <v>3969</v>
      </c>
      <c r="Z10" s="332">
        <f t="shared" si="1"/>
        <v>69058</v>
      </c>
    </row>
    <row r="11" spans="1:26" ht="11.25" customHeight="1">
      <c r="A11" s="329"/>
      <c r="B11" s="330" t="s">
        <v>5</v>
      </c>
      <c r="C11" s="331">
        <v>6792</v>
      </c>
      <c r="D11" s="331">
        <v>4333</v>
      </c>
      <c r="E11" s="331">
        <v>3830</v>
      </c>
      <c r="F11" s="331"/>
      <c r="G11" s="331">
        <v>80</v>
      </c>
      <c r="H11" s="331"/>
      <c r="I11" s="331"/>
      <c r="J11" s="331"/>
      <c r="K11" s="331"/>
      <c r="L11" s="331"/>
      <c r="M11" s="331">
        <v>193</v>
      </c>
      <c r="N11" s="331"/>
      <c r="O11" s="332">
        <f t="shared" si="0"/>
        <v>10895</v>
      </c>
      <c r="P11" s="333"/>
      <c r="Q11" s="330" t="s">
        <v>5</v>
      </c>
      <c r="R11" s="331">
        <v>39159</v>
      </c>
      <c r="S11" s="331">
        <v>10243</v>
      </c>
      <c r="T11" s="331">
        <v>15078</v>
      </c>
      <c r="U11" s="331">
        <v>6557</v>
      </c>
      <c r="V11" s="331"/>
      <c r="W11" s="331"/>
      <c r="X11" s="331"/>
      <c r="Y11" s="331">
        <v>3857</v>
      </c>
      <c r="Z11" s="332">
        <f t="shared" si="1"/>
        <v>68337</v>
      </c>
    </row>
    <row r="12" spans="1:26" ht="11.25" customHeight="1">
      <c r="A12" s="329" t="s">
        <v>374</v>
      </c>
      <c r="B12" s="330" t="s">
        <v>3</v>
      </c>
      <c r="C12" s="331">
        <v>3554</v>
      </c>
      <c r="D12" s="331">
        <v>3016</v>
      </c>
      <c r="E12" s="331">
        <v>889</v>
      </c>
      <c r="F12" s="331">
        <v>0</v>
      </c>
      <c r="G12" s="331">
        <v>0</v>
      </c>
      <c r="H12" s="331">
        <v>0</v>
      </c>
      <c r="I12" s="331">
        <v>0</v>
      </c>
      <c r="J12" s="331">
        <v>0</v>
      </c>
      <c r="K12" s="331"/>
      <c r="L12" s="331">
        <v>0</v>
      </c>
      <c r="M12" s="331">
        <v>0</v>
      </c>
      <c r="N12" s="331">
        <v>0</v>
      </c>
      <c r="O12" s="332">
        <f t="shared" si="0"/>
        <v>4443</v>
      </c>
      <c r="P12" s="333" t="s">
        <v>374</v>
      </c>
      <c r="Q12" s="330" t="s">
        <v>3</v>
      </c>
      <c r="R12" s="331">
        <v>25342</v>
      </c>
      <c r="S12" s="331">
        <v>6611</v>
      </c>
      <c r="T12" s="331">
        <v>10485</v>
      </c>
      <c r="U12" s="331">
        <v>4556</v>
      </c>
      <c r="V12" s="331">
        <v>0</v>
      </c>
      <c r="W12" s="331"/>
      <c r="X12" s="331">
        <v>0</v>
      </c>
      <c r="Y12" s="331">
        <v>0</v>
      </c>
      <c r="Z12" s="332">
        <f t="shared" si="1"/>
        <v>42438</v>
      </c>
    </row>
    <row r="13" spans="1:26" ht="11.25" customHeight="1">
      <c r="A13" s="329"/>
      <c r="B13" s="330" t="s">
        <v>369</v>
      </c>
      <c r="C13" s="331">
        <v>3554</v>
      </c>
      <c r="D13" s="331">
        <v>3016</v>
      </c>
      <c r="E13" s="331">
        <v>889</v>
      </c>
      <c r="F13" s="331">
        <v>0</v>
      </c>
      <c r="G13" s="331">
        <v>0</v>
      </c>
      <c r="H13" s="331">
        <v>0</v>
      </c>
      <c r="I13" s="331">
        <v>0</v>
      </c>
      <c r="J13" s="331">
        <v>0</v>
      </c>
      <c r="K13" s="331"/>
      <c r="L13" s="331">
        <v>0</v>
      </c>
      <c r="M13" s="331">
        <v>8</v>
      </c>
      <c r="N13" s="331">
        <v>0</v>
      </c>
      <c r="O13" s="332">
        <f t="shared" si="0"/>
        <v>4451</v>
      </c>
      <c r="P13" s="333"/>
      <c r="Q13" s="330" t="s">
        <v>369</v>
      </c>
      <c r="R13" s="331">
        <f>25342+1336+37</f>
        <v>26715</v>
      </c>
      <c r="S13" s="331">
        <f>6611+361+26+10</f>
        <v>7008</v>
      </c>
      <c r="T13" s="331">
        <f>10485+160+8</f>
        <v>10653</v>
      </c>
      <c r="U13" s="331">
        <v>4556</v>
      </c>
      <c r="V13" s="331">
        <v>0</v>
      </c>
      <c r="W13" s="331"/>
      <c r="X13" s="331">
        <v>0</v>
      </c>
      <c r="Y13" s="331">
        <v>0</v>
      </c>
      <c r="Z13" s="332">
        <f t="shared" si="1"/>
        <v>44376</v>
      </c>
    </row>
    <row r="14" spans="1:26" ht="11.25" customHeight="1">
      <c r="A14" s="329"/>
      <c r="B14" s="330" t="s">
        <v>370</v>
      </c>
      <c r="C14" s="331">
        <v>3554</v>
      </c>
      <c r="D14" s="331">
        <v>3016</v>
      </c>
      <c r="E14" s="331">
        <v>889</v>
      </c>
      <c r="F14" s="331">
        <v>0</v>
      </c>
      <c r="G14" s="331">
        <v>0</v>
      </c>
      <c r="H14" s="331">
        <v>0</v>
      </c>
      <c r="I14" s="331">
        <v>0</v>
      </c>
      <c r="J14" s="331">
        <v>0</v>
      </c>
      <c r="K14" s="331"/>
      <c r="L14" s="331">
        <v>0</v>
      </c>
      <c r="M14" s="331">
        <v>8</v>
      </c>
      <c r="N14" s="331">
        <v>0</v>
      </c>
      <c r="O14" s="332">
        <f t="shared" si="0"/>
        <v>4451</v>
      </c>
      <c r="P14" s="333"/>
      <c r="Q14" s="330" t="s">
        <v>370</v>
      </c>
      <c r="R14" s="331">
        <f>26715+60+396</f>
        <v>27171</v>
      </c>
      <c r="S14" s="331">
        <f>7008+107</f>
        <v>7115</v>
      </c>
      <c r="T14" s="331">
        <f>10653+15+30</f>
        <v>10698</v>
      </c>
      <c r="U14" s="331">
        <v>4556</v>
      </c>
      <c r="V14" s="331">
        <v>0</v>
      </c>
      <c r="W14" s="331"/>
      <c r="X14" s="331">
        <v>0</v>
      </c>
      <c r="Y14" s="331">
        <v>1000</v>
      </c>
      <c r="Z14" s="332">
        <f t="shared" si="1"/>
        <v>45984</v>
      </c>
    </row>
    <row r="15" spans="1:26" ht="11.25" customHeight="1">
      <c r="A15" s="329"/>
      <c r="B15" s="330" t="s">
        <v>371</v>
      </c>
      <c r="C15" s="331">
        <f>3554+503</f>
        <v>4057</v>
      </c>
      <c r="D15" s="331">
        <v>3016</v>
      </c>
      <c r="E15" s="331">
        <v>889</v>
      </c>
      <c r="F15" s="331"/>
      <c r="G15" s="331"/>
      <c r="H15" s="331"/>
      <c r="I15" s="331"/>
      <c r="J15" s="331"/>
      <c r="K15" s="331"/>
      <c r="L15" s="331"/>
      <c r="M15" s="331">
        <v>8</v>
      </c>
      <c r="N15" s="331"/>
      <c r="O15" s="332">
        <f t="shared" si="0"/>
        <v>4954</v>
      </c>
      <c r="P15" s="333"/>
      <c r="Q15" s="330" t="s">
        <v>371</v>
      </c>
      <c r="R15" s="331">
        <f>26715+60+396</f>
        <v>27171</v>
      </c>
      <c r="S15" s="331">
        <f>7008+107</f>
        <v>7115</v>
      </c>
      <c r="T15" s="331">
        <f>10653+15+30-265</f>
        <v>10433</v>
      </c>
      <c r="U15" s="331">
        <v>4556</v>
      </c>
      <c r="V15" s="331">
        <v>0</v>
      </c>
      <c r="W15" s="331"/>
      <c r="X15" s="331">
        <v>0</v>
      </c>
      <c r="Y15" s="331">
        <f>1000+265</f>
        <v>1265</v>
      </c>
      <c r="Z15" s="332">
        <f>SUM(R15:Y15)-U15</f>
        <v>45984</v>
      </c>
    </row>
    <row r="16" spans="1:26" ht="11.25" customHeight="1">
      <c r="A16" s="329"/>
      <c r="B16" s="330" t="s">
        <v>372</v>
      </c>
      <c r="C16" s="331">
        <f>3554+503</f>
        <v>4057</v>
      </c>
      <c r="D16" s="331">
        <v>3016</v>
      </c>
      <c r="E16" s="331">
        <v>889</v>
      </c>
      <c r="F16" s="331"/>
      <c r="G16" s="331"/>
      <c r="H16" s="331"/>
      <c r="I16" s="331"/>
      <c r="J16" s="331"/>
      <c r="K16" s="331"/>
      <c r="L16" s="331"/>
      <c r="M16" s="331">
        <v>8</v>
      </c>
      <c r="N16" s="331"/>
      <c r="O16" s="332">
        <f t="shared" si="0"/>
        <v>4954</v>
      </c>
      <c r="P16" s="333"/>
      <c r="Q16" s="330" t="s">
        <v>372</v>
      </c>
      <c r="R16" s="331">
        <f>26715+60+396+296</f>
        <v>27467</v>
      </c>
      <c r="S16" s="331">
        <f>7008+107+150</f>
        <v>7265</v>
      </c>
      <c r="T16" s="331">
        <f>10653+15+30-265-1025-650</f>
        <v>8758</v>
      </c>
      <c r="U16" s="331">
        <v>4800</v>
      </c>
      <c r="V16" s="331"/>
      <c r="W16" s="331"/>
      <c r="X16" s="331"/>
      <c r="Y16" s="331">
        <f>1000+265</f>
        <v>1265</v>
      </c>
      <c r="Z16" s="332">
        <f>SUM(R16:Y16)-U16</f>
        <v>44755</v>
      </c>
    </row>
    <row r="17" spans="1:26" ht="11.25" customHeight="1">
      <c r="A17" s="329"/>
      <c r="B17" s="330" t="s">
        <v>373</v>
      </c>
      <c r="C17" s="331">
        <f>3554+503</f>
        <v>4057</v>
      </c>
      <c r="D17" s="331">
        <v>3016</v>
      </c>
      <c r="E17" s="331">
        <v>889</v>
      </c>
      <c r="F17" s="331"/>
      <c r="G17" s="331"/>
      <c r="H17" s="331"/>
      <c r="I17" s="331"/>
      <c r="J17" s="331"/>
      <c r="K17" s="331"/>
      <c r="L17" s="331"/>
      <c r="M17" s="331">
        <v>8</v>
      </c>
      <c r="N17" s="331"/>
      <c r="O17" s="332">
        <f t="shared" si="0"/>
        <v>4954</v>
      </c>
      <c r="P17" s="333"/>
      <c r="Q17" s="330" t="s">
        <v>373</v>
      </c>
      <c r="R17" s="331">
        <f>26715+60+396+296</f>
        <v>27467</v>
      </c>
      <c r="S17" s="331">
        <f>7008+107+150</f>
        <v>7265</v>
      </c>
      <c r="T17" s="331">
        <f>10653+15+30-265-1025-650</f>
        <v>8758</v>
      </c>
      <c r="U17" s="331">
        <v>4800</v>
      </c>
      <c r="V17" s="331"/>
      <c r="W17" s="331"/>
      <c r="X17" s="331"/>
      <c r="Y17" s="331">
        <f>1000+265</f>
        <v>1265</v>
      </c>
      <c r="Z17" s="332">
        <f>SUM(R17:Y17)-U17</f>
        <v>44755</v>
      </c>
    </row>
    <row r="18" spans="1:26" ht="11.25" customHeight="1">
      <c r="A18" s="329"/>
      <c r="B18" s="330" t="s">
        <v>5</v>
      </c>
      <c r="C18" s="331">
        <v>2872</v>
      </c>
      <c r="D18" s="331">
        <v>2240</v>
      </c>
      <c r="E18" s="331">
        <v>718</v>
      </c>
      <c r="F18" s="331"/>
      <c r="G18" s="331"/>
      <c r="H18" s="331"/>
      <c r="I18" s="331"/>
      <c r="J18" s="331"/>
      <c r="K18" s="331"/>
      <c r="L18" s="331"/>
      <c r="M18" s="331">
        <v>8</v>
      </c>
      <c r="N18" s="331"/>
      <c r="O18" s="332">
        <f t="shared" si="0"/>
        <v>3598</v>
      </c>
      <c r="P18" s="333"/>
      <c r="Q18" s="330" t="s">
        <v>5</v>
      </c>
      <c r="R18" s="331">
        <v>27467</v>
      </c>
      <c r="S18" s="331">
        <v>7265</v>
      </c>
      <c r="T18" s="331">
        <v>8758</v>
      </c>
      <c r="U18" s="331">
        <v>4800</v>
      </c>
      <c r="V18" s="331"/>
      <c r="W18" s="331"/>
      <c r="X18" s="331"/>
      <c r="Y18" s="331">
        <v>1265</v>
      </c>
      <c r="Z18" s="332">
        <f>SUM(R18:Y18)-U18</f>
        <v>44755</v>
      </c>
    </row>
    <row r="19" spans="1:26" ht="11.25" customHeight="1">
      <c r="A19" s="329" t="s">
        <v>375</v>
      </c>
      <c r="B19" s="330" t="s">
        <v>3</v>
      </c>
      <c r="C19" s="331">
        <v>1836</v>
      </c>
      <c r="D19" s="331">
        <v>1567</v>
      </c>
      <c r="E19" s="331">
        <v>459</v>
      </c>
      <c r="F19" s="331">
        <v>0</v>
      </c>
      <c r="G19" s="331">
        <v>0</v>
      </c>
      <c r="H19" s="331">
        <v>0</v>
      </c>
      <c r="I19" s="331">
        <v>0</v>
      </c>
      <c r="J19" s="331">
        <v>0</v>
      </c>
      <c r="K19" s="331"/>
      <c r="L19" s="331">
        <v>0</v>
      </c>
      <c r="M19" s="331">
        <v>0</v>
      </c>
      <c r="N19" s="331">
        <v>0</v>
      </c>
      <c r="O19" s="332">
        <f t="shared" si="0"/>
        <v>2295</v>
      </c>
      <c r="P19" s="333" t="s">
        <v>375</v>
      </c>
      <c r="Q19" s="330" t="s">
        <v>3</v>
      </c>
      <c r="R19" s="331">
        <v>13509</v>
      </c>
      <c r="S19" s="331">
        <v>3547</v>
      </c>
      <c r="T19" s="331">
        <v>6609</v>
      </c>
      <c r="U19" s="331">
        <v>2222</v>
      </c>
      <c r="V19" s="331">
        <v>0</v>
      </c>
      <c r="W19" s="331"/>
      <c r="X19" s="331">
        <v>0</v>
      </c>
      <c r="Y19" s="331">
        <v>5000</v>
      </c>
      <c r="Z19" s="332">
        <f t="shared" si="1"/>
        <v>28665</v>
      </c>
    </row>
    <row r="20" spans="1:26" ht="11.25" customHeight="1">
      <c r="A20" s="329"/>
      <c r="B20" s="330" t="s">
        <v>369</v>
      </c>
      <c r="C20" s="331">
        <v>1836</v>
      </c>
      <c r="D20" s="331">
        <v>1567</v>
      </c>
      <c r="E20" s="331">
        <v>459</v>
      </c>
      <c r="F20" s="331">
        <v>0</v>
      </c>
      <c r="G20" s="331">
        <v>0</v>
      </c>
      <c r="H20" s="331">
        <v>0</v>
      </c>
      <c r="I20" s="331">
        <v>0</v>
      </c>
      <c r="J20" s="331">
        <v>0</v>
      </c>
      <c r="K20" s="331"/>
      <c r="L20" s="331">
        <v>0</v>
      </c>
      <c r="M20" s="331">
        <v>12</v>
      </c>
      <c r="N20" s="331">
        <v>0</v>
      </c>
      <c r="O20" s="332">
        <f t="shared" si="0"/>
        <v>2307</v>
      </c>
      <c r="P20" s="333"/>
      <c r="Q20" s="330" t="s">
        <v>369</v>
      </c>
      <c r="R20" s="331">
        <f>13509+700+39</f>
        <v>14248</v>
      </c>
      <c r="S20" s="331">
        <f>3547+189+15+11</f>
        <v>3762</v>
      </c>
      <c r="T20" s="331">
        <f>6609+12</f>
        <v>6621</v>
      </c>
      <c r="U20" s="331">
        <v>2222</v>
      </c>
      <c r="V20" s="331">
        <v>0</v>
      </c>
      <c r="W20" s="331"/>
      <c r="X20" s="331">
        <v>0</v>
      </c>
      <c r="Y20" s="331">
        <v>5000</v>
      </c>
      <c r="Z20" s="332">
        <f t="shared" si="1"/>
        <v>29631</v>
      </c>
    </row>
    <row r="21" spans="1:26" ht="11.25" customHeight="1">
      <c r="A21" s="329"/>
      <c r="B21" s="330" t="s">
        <v>370</v>
      </c>
      <c r="C21" s="331">
        <v>1836</v>
      </c>
      <c r="D21" s="331">
        <v>1567</v>
      </c>
      <c r="E21" s="331">
        <v>459</v>
      </c>
      <c r="F21" s="331">
        <v>0</v>
      </c>
      <c r="G21" s="331">
        <v>0</v>
      </c>
      <c r="H21" s="331">
        <v>0</v>
      </c>
      <c r="I21" s="331">
        <v>0</v>
      </c>
      <c r="J21" s="331">
        <v>0</v>
      </c>
      <c r="K21" s="331"/>
      <c r="L21" s="331">
        <v>0</v>
      </c>
      <c r="M21" s="331">
        <v>12</v>
      </c>
      <c r="N21" s="331">
        <v>0</v>
      </c>
      <c r="O21" s="332">
        <f t="shared" si="0"/>
        <v>2307</v>
      </c>
      <c r="P21" s="333"/>
      <c r="Q21" s="330" t="s">
        <v>370</v>
      </c>
      <c r="R21" s="331">
        <f>14248+60+976+250</f>
        <v>15534</v>
      </c>
      <c r="S21" s="331">
        <f>3762+264</f>
        <v>4026</v>
      </c>
      <c r="T21" s="331">
        <f>6621+15+30</f>
        <v>6666</v>
      </c>
      <c r="U21" s="331">
        <v>2222</v>
      </c>
      <c r="V21" s="331">
        <v>0</v>
      </c>
      <c r="W21" s="331"/>
      <c r="X21" s="331">
        <v>0</v>
      </c>
      <c r="Y21" s="331">
        <v>5000</v>
      </c>
      <c r="Z21" s="332">
        <f t="shared" si="1"/>
        <v>31226</v>
      </c>
    </row>
    <row r="22" spans="1:26" ht="11.25" customHeight="1">
      <c r="A22" s="329"/>
      <c r="B22" s="330" t="s">
        <v>371</v>
      </c>
      <c r="C22" s="331">
        <v>1836</v>
      </c>
      <c r="D22" s="331">
        <v>1567</v>
      </c>
      <c r="E22" s="331">
        <v>459</v>
      </c>
      <c r="F22" s="331"/>
      <c r="G22" s="331"/>
      <c r="H22" s="331"/>
      <c r="I22" s="331"/>
      <c r="J22" s="331"/>
      <c r="K22" s="331"/>
      <c r="L22" s="331"/>
      <c r="M22" s="331">
        <v>12</v>
      </c>
      <c r="N22" s="331"/>
      <c r="O22" s="332">
        <f t="shared" si="0"/>
        <v>2307</v>
      </c>
      <c r="P22" s="333"/>
      <c r="Q22" s="330" t="s">
        <v>371</v>
      </c>
      <c r="R22" s="331">
        <f>14248+60+976+250</f>
        <v>15534</v>
      </c>
      <c r="S22" s="331">
        <f>3762+264</f>
        <v>4026</v>
      </c>
      <c r="T22" s="331">
        <f>6621+15+30</f>
        <v>6666</v>
      </c>
      <c r="U22" s="331">
        <v>2222</v>
      </c>
      <c r="V22" s="331">
        <v>0</v>
      </c>
      <c r="W22" s="331"/>
      <c r="X22" s="331">
        <v>0</v>
      </c>
      <c r="Y22" s="331">
        <v>5000</v>
      </c>
      <c r="Z22" s="332">
        <f t="shared" si="1"/>
        <v>31226</v>
      </c>
    </row>
    <row r="23" spans="1:26" ht="11.25" customHeight="1">
      <c r="A23" s="329"/>
      <c r="B23" s="330" t="s">
        <v>372</v>
      </c>
      <c r="C23" s="331">
        <v>1836</v>
      </c>
      <c r="D23" s="331">
        <v>1567</v>
      </c>
      <c r="E23" s="331">
        <v>459</v>
      </c>
      <c r="F23" s="331"/>
      <c r="G23" s="331"/>
      <c r="H23" s="331"/>
      <c r="I23" s="331"/>
      <c r="J23" s="331"/>
      <c r="K23" s="331"/>
      <c r="L23" s="331"/>
      <c r="M23" s="331">
        <v>12</v>
      </c>
      <c r="N23" s="331"/>
      <c r="O23" s="332">
        <f t="shared" si="0"/>
        <v>2307</v>
      </c>
      <c r="P23" s="333"/>
      <c r="Q23" s="330" t="s">
        <v>372</v>
      </c>
      <c r="R23" s="331">
        <f>14248+60+976+250</f>
        <v>15534</v>
      </c>
      <c r="S23" s="331">
        <f>3762+264+259</f>
        <v>4285</v>
      </c>
      <c r="T23" s="331">
        <f>6621+15+30-739</f>
        <v>5927</v>
      </c>
      <c r="U23" s="331">
        <v>2222</v>
      </c>
      <c r="V23" s="331"/>
      <c r="W23" s="331"/>
      <c r="X23" s="331"/>
      <c r="Y23" s="331">
        <v>5000</v>
      </c>
      <c r="Z23" s="332">
        <f t="shared" si="1"/>
        <v>30746</v>
      </c>
    </row>
    <row r="24" spans="1:26" ht="11.25" customHeight="1">
      <c r="A24" s="329"/>
      <c r="B24" s="330" t="s">
        <v>373</v>
      </c>
      <c r="C24" s="331">
        <v>1836</v>
      </c>
      <c r="D24" s="331">
        <v>1567</v>
      </c>
      <c r="E24" s="331">
        <v>459</v>
      </c>
      <c r="F24" s="331"/>
      <c r="G24" s="331"/>
      <c r="H24" s="331"/>
      <c r="I24" s="331"/>
      <c r="J24" s="331"/>
      <c r="K24" s="331"/>
      <c r="L24" s="331"/>
      <c r="M24" s="331">
        <v>12</v>
      </c>
      <c r="N24" s="331"/>
      <c r="O24" s="332">
        <f t="shared" si="0"/>
        <v>2307</v>
      </c>
      <c r="P24" s="333"/>
      <c r="Q24" s="330" t="s">
        <v>373</v>
      </c>
      <c r="R24" s="331">
        <f>14248+60+976+250</f>
        <v>15534</v>
      </c>
      <c r="S24" s="331">
        <f>3762+264+259</f>
        <v>4285</v>
      </c>
      <c r="T24" s="331">
        <f>6621+15+30-739</f>
        <v>5927</v>
      </c>
      <c r="U24" s="331">
        <v>2222</v>
      </c>
      <c r="V24" s="331"/>
      <c r="W24" s="331"/>
      <c r="X24" s="331"/>
      <c r="Y24" s="331">
        <v>5000</v>
      </c>
      <c r="Z24" s="332">
        <f t="shared" si="1"/>
        <v>30746</v>
      </c>
    </row>
    <row r="25" spans="1:26" ht="11.25" customHeight="1">
      <c r="A25" s="329"/>
      <c r="B25" s="330" t="s">
        <v>5</v>
      </c>
      <c r="C25" s="331">
        <v>2370</v>
      </c>
      <c r="D25" s="331">
        <v>1929</v>
      </c>
      <c r="E25" s="331">
        <v>592</v>
      </c>
      <c r="F25" s="331"/>
      <c r="G25" s="331"/>
      <c r="H25" s="331"/>
      <c r="I25" s="331"/>
      <c r="J25" s="331"/>
      <c r="K25" s="331"/>
      <c r="L25" s="331"/>
      <c r="M25" s="331">
        <v>12</v>
      </c>
      <c r="N25" s="331"/>
      <c r="O25" s="332">
        <f t="shared" si="0"/>
        <v>2974</v>
      </c>
      <c r="P25" s="333"/>
      <c r="Q25" s="330" t="s">
        <v>5</v>
      </c>
      <c r="R25" s="331">
        <v>15454</v>
      </c>
      <c r="S25" s="331">
        <v>4285</v>
      </c>
      <c r="T25" s="331">
        <v>5927</v>
      </c>
      <c r="U25" s="331">
        <v>2892</v>
      </c>
      <c r="V25" s="331"/>
      <c r="W25" s="331"/>
      <c r="X25" s="331"/>
      <c r="Y25" s="331">
        <v>4955</v>
      </c>
      <c r="Z25" s="332">
        <f t="shared" si="1"/>
        <v>30621</v>
      </c>
    </row>
    <row r="26" spans="1:26" ht="11.25" customHeight="1">
      <c r="A26" s="329" t="s">
        <v>376</v>
      </c>
      <c r="B26" s="330" t="s">
        <v>3</v>
      </c>
      <c r="C26" s="331">
        <v>2742</v>
      </c>
      <c r="D26" s="331">
        <v>2358</v>
      </c>
      <c r="E26" s="331">
        <v>685</v>
      </c>
      <c r="F26" s="331">
        <v>0</v>
      </c>
      <c r="G26" s="331">
        <v>0</v>
      </c>
      <c r="H26" s="331">
        <v>0</v>
      </c>
      <c r="I26" s="331">
        <v>0</v>
      </c>
      <c r="J26" s="331">
        <v>0</v>
      </c>
      <c r="K26" s="331"/>
      <c r="L26" s="331">
        <v>0</v>
      </c>
      <c r="M26" s="331">
        <v>0</v>
      </c>
      <c r="N26" s="331">
        <v>0</v>
      </c>
      <c r="O26" s="332">
        <f t="shared" si="0"/>
        <v>3427</v>
      </c>
      <c r="P26" s="333" t="s">
        <v>376</v>
      </c>
      <c r="Q26" s="330" t="s">
        <v>3</v>
      </c>
      <c r="R26" s="331">
        <v>20164</v>
      </c>
      <c r="S26" s="331">
        <v>5222</v>
      </c>
      <c r="T26" s="331">
        <v>7623</v>
      </c>
      <c r="U26" s="331">
        <v>3232</v>
      </c>
      <c r="V26" s="331">
        <v>0</v>
      </c>
      <c r="W26" s="331"/>
      <c r="X26" s="331">
        <v>0</v>
      </c>
      <c r="Y26" s="331">
        <v>0</v>
      </c>
      <c r="Z26" s="332">
        <f t="shared" si="1"/>
        <v>33009</v>
      </c>
    </row>
    <row r="27" spans="1:26" ht="11.25" customHeight="1">
      <c r="A27" s="329"/>
      <c r="B27" s="330" t="s">
        <v>369</v>
      </c>
      <c r="C27" s="331">
        <v>2742</v>
      </c>
      <c r="D27" s="331">
        <v>2358</v>
      </c>
      <c r="E27" s="331">
        <v>685</v>
      </c>
      <c r="F27" s="331">
        <v>0</v>
      </c>
      <c r="G27" s="331">
        <v>0</v>
      </c>
      <c r="H27" s="331">
        <v>0</v>
      </c>
      <c r="I27" s="331">
        <v>0</v>
      </c>
      <c r="J27" s="331">
        <v>0</v>
      </c>
      <c r="K27" s="331"/>
      <c r="L27" s="331">
        <v>0</v>
      </c>
      <c r="M27" s="331">
        <v>0</v>
      </c>
      <c r="N27" s="331">
        <v>0</v>
      </c>
      <c r="O27" s="332">
        <f t="shared" si="0"/>
        <v>3427</v>
      </c>
      <c r="P27" s="333"/>
      <c r="Q27" s="330" t="s">
        <v>369</v>
      </c>
      <c r="R27" s="331">
        <f>20164+1011+233+80</f>
        <v>21488</v>
      </c>
      <c r="S27" s="331">
        <f>5222+273+63+19+22</f>
        <v>5599</v>
      </c>
      <c r="T27" s="331">
        <f>7623+50</f>
        <v>7673</v>
      </c>
      <c r="U27" s="331">
        <v>3232</v>
      </c>
      <c r="V27" s="331">
        <v>0</v>
      </c>
      <c r="W27" s="331"/>
      <c r="X27" s="331">
        <v>0</v>
      </c>
      <c r="Y27" s="331">
        <v>0</v>
      </c>
      <c r="Z27" s="332">
        <f t="shared" si="1"/>
        <v>34760</v>
      </c>
    </row>
    <row r="28" spans="1:26" ht="11.25" customHeight="1">
      <c r="A28" s="329"/>
      <c r="B28" s="330" t="s">
        <v>370</v>
      </c>
      <c r="C28" s="331">
        <f>2742-851</f>
        <v>1891</v>
      </c>
      <c r="D28" s="331">
        <v>2358</v>
      </c>
      <c r="E28" s="331">
        <f>685-626</f>
        <v>59</v>
      </c>
      <c r="F28" s="331">
        <v>0</v>
      </c>
      <c r="G28" s="331">
        <v>0</v>
      </c>
      <c r="H28" s="331">
        <v>0</v>
      </c>
      <c r="I28" s="331">
        <v>0</v>
      </c>
      <c r="J28" s="331">
        <v>0</v>
      </c>
      <c r="K28" s="331"/>
      <c r="L28" s="331">
        <v>0</v>
      </c>
      <c r="M28" s="331">
        <v>0</v>
      </c>
      <c r="N28" s="331">
        <v>0</v>
      </c>
      <c r="O28" s="332">
        <f t="shared" si="0"/>
        <v>1950</v>
      </c>
      <c r="P28" s="333"/>
      <c r="Q28" s="330" t="s">
        <v>370</v>
      </c>
      <c r="R28" s="331">
        <f>21488-7531</f>
        <v>13957</v>
      </c>
      <c r="S28" s="331">
        <f>5222+273+63+19+22-1934</f>
        <v>3665</v>
      </c>
      <c r="T28" s="331">
        <f>7623+50-3571</f>
        <v>4102</v>
      </c>
      <c r="U28" s="331">
        <v>3232</v>
      </c>
      <c r="V28" s="331">
        <v>0</v>
      </c>
      <c r="W28" s="331"/>
      <c r="X28" s="331">
        <v>0</v>
      </c>
      <c r="Y28" s="331">
        <v>0</v>
      </c>
      <c r="Z28" s="332">
        <f t="shared" si="1"/>
        <v>21724</v>
      </c>
    </row>
    <row r="29" spans="1:26" ht="11.25" customHeight="1">
      <c r="A29" s="329"/>
      <c r="B29" s="330" t="s">
        <v>371</v>
      </c>
      <c r="C29" s="331">
        <f>2742-851</f>
        <v>1891</v>
      </c>
      <c r="D29" s="331">
        <v>2358</v>
      </c>
      <c r="E29" s="331">
        <f>685-626</f>
        <v>59</v>
      </c>
      <c r="F29" s="331"/>
      <c r="G29" s="331"/>
      <c r="H29" s="331"/>
      <c r="I29" s="331"/>
      <c r="J29" s="331"/>
      <c r="K29" s="331"/>
      <c r="L29" s="331"/>
      <c r="M29" s="331"/>
      <c r="N29" s="331"/>
      <c r="O29" s="332">
        <f t="shared" si="0"/>
        <v>1950</v>
      </c>
      <c r="P29" s="333"/>
      <c r="Q29" s="330" t="s">
        <v>371</v>
      </c>
      <c r="R29" s="331">
        <f>21488-7531</f>
        <v>13957</v>
      </c>
      <c r="S29" s="331">
        <f>5222+273+63+19+22-1934</f>
        <v>3665</v>
      </c>
      <c r="T29" s="331">
        <f>7623+50-3571</f>
        <v>4102</v>
      </c>
      <c r="U29" s="331">
        <v>3232</v>
      </c>
      <c r="V29" s="331">
        <v>0</v>
      </c>
      <c r="W29" s="331"/>
      <c r="X29" s="331">
        <v>0</v>
      </c>
      <c r="Y29" s="331">
        <v>0</v>
      </c>
      <c r="Z29" s="332">
        <f t="shared" si="1"/>
        <v>21724</v>
      </c>
    </row>
    <row r="30" spans="1:26" ht="11.25" customHeight="1">
      <c r="A30" s="329"/>
      <c r="B30" s="330" t="s">
        <v>372</v>
      </c>
      <c r="C30" s="331">
        <f>2742-851</f>
        <v>1891</v>
      </c>
      <c r="D30" s="331">
        <v>2358</v>
      </c>
      <c r="E30" s="331">
        <f>685-626</f>
        <v>59</v>
      </c>
      <c r="F30" s="331"/>
      <c r="G30" s="331"/>
      <c r="H30" s="331"/>
      <c r="I30" s="331"/>
      <c r="J30" s="331"/>
      <c r="K30" s="331"/>
      <c r="L30" s="331"/>
      <c r="M30" s="331"/>
      <c r="N30" s="331"/>
      <c r="O30" s="332">
        <f t="shared" si="0"/>
        <v>1950</v>
      </c>
      <c r="P30" s="333"/>
      <c r="Q30" s="330" t="s">
        <v>372</v>
      </c>
      <c r="R30" s="331">
        <f>21488-7531</f>
        <v>13957</v>
      </c>
      <c r="S30" s="331">
        <f>5222+273+63+19+22-1934</f>
        <v>3665</v>
      </c>
      <c r="T30" s="331">
        <f>7623+50-3571</f>
        <v>4102</v>
      </c>
      <c r="U30" s="331">
        <v>3232</v>
      </c>
      <c r="V30" s="331"/>
      <c r="W30" s="331"/>
      <c r="X30" s="331"/>
      <c r="Y30" s="331"/>
      <c r="Z30" s="332">
        <f t="shared" si="1"/>
        <v>21724</v>
      </c>
    </row>
    <row r="31" spans="1:26" ht="11.25" customHeight="1">
      <c r="A31" s="329"/>
      <c r="B31" s="330" t="s">
        <v>373</v>
      </c>
      <c r="C31" s="331">
        <f>2742-851</f>
        <v>1891</v>
      </c>
      <c r="D31" s="331">
        <v>2358</v>
      </c>
      <c r="E31" s="331">
        <f>685-626</f>
        <v>59</v>
      </c>
      <c r="F31" s="331"/>
      <c r="G31" s="331"/>
      <c r="H31" s="331"/>
      <c r="I31" s="331"/>
      <c r="J31" s="331"/>
      <c r="K31" s="331"/>
      <c r="L31" s="331"/>
      <c r="M31" s="331"/>
      <c r="N31" s="331"/>
      <c r="O31" s="332">
        <f t="shared" si="0"/>
        <v>1950</v>
      </c>
      <c r="P31" s="333"/>
      <c r="Q31" s="330" t="s">
        <v>373</v>
      </c>
      <c r="R31" s="331">
        <f>21488-7531</f>
        <v>13957</v>
      </c>
      <c r="S31" s="331">
        <f>5222+273+63+19+22-1934</f>
        <v>3665</v>
      </c>
      <c r="T31" s="331">
        <f>7623+50-3571</f>
        <v>4102</v>
      </c>
      <c r="U31" s="331">
        <v>3232</v>
      </c>
      <c r="V31" s="331"/>
      <c r="W31" s="331"/>
      <c r="X31" s="331"/>
      <c r="Y31" s="331"/>
      <c r="Z31" s="332">
        <f t="shared" si="1"/>
        <v>21724</v>
      </c>
    </row>
    <row r="32" spans="1:26" ht="11.25" customHeight="1">
      <c r="A32" s="329"/>
      <c r="B32" s="330" t="s">
        <v>5</v>
      </c>
      <c r="C32" s="331">
        <v>1560</v>
      </c>
      <c r="D32" s="331">
        <v>1128</v>
      </c>
      <c r="E32" s="331">
        <v>390</v>
      </c>
      <c r="F32" s="331"/>
      <c r="G32" s="331"/>
      <c r="H32" s="331"/>
      <c r="I32" s="331"/>
      <c r="J32" s="331"/>
      <c r="K32" s="331"/>
      <c r="L32" s="331"/>
      <c r="M32" s="331"/>
      <c r="N32" s="331"/>
      <c r="O32" s="332">
        <f t="shared" si="0"/>
        <v>1950</v>
      </c>
      <c r="P32" s="333"/>
      <c r="Q32" s="330" t="s">
        <v>5</v>
      </c>
      <c r="R32" s="331">
        <v>13957</v>
      </c>
      <c r="S32" s="331">
        <v>3665</v>
      </c>
      <c r="T32" s="331">
        <v>4102</v>
      </c>
      <c r="U32" s="331">
        <v>2342</v>
      </c>
      <c r="V32" s="331"/>
      <c r="W32" s="331"/>
      <c r="X32" s="331"/>
      <c r="Y32" s="331"/>
      <c r="Z32" s="332">
        <f t="shared" si="1"/>
        <v>21724</v>
      </c>
    </row>
    <row r="33" spans="1:26" ht="11.25" customHeight="1">
      <c r="A33" s="329" t="s">
        <v>377</v>
      </c>
      <c r="B33" s="330" t="s">
        <v>3</v>
      </c>
      <c r="C33" s="331">
        <v>4314</v>
      </c>
      <c r="D33" s="331">
        <v>3661</v>
      </c>
      <c r="E33" s="331">
        <v>1078</v>
      </c>
      <c r="F33" s="331">
        <v>0</v>
      </c>
      <c r="G33" s="331">
        <v>0</v>
      </c>
      <c r="H33" s="331">
        <v>0</v>
      </c>
      <c r="I33" s="331">
        <v>0</v>
      </c>
      <c r="J33" s="331">
        <v>0</v>
      </c>
      <c r="K33" s="331"/>
      <c r="L33" s="331">
        <v>0</v>
      </c>
      <c r="M33" s="331">
        <v>0</v>
      </c>
      <c r="N33" s="331">
        <v>0</v>
      </c>
      <c r="O33" s="332">
        <f t="shared" si="0"/>
        <v>5392</v>
      </c>
      <c r="P33" s="333" t="s">
        <v>377</v>
      </c>
      <c r="Q33" s="330" t="s">
        <v>3</v>
      </c>
      <c r="R33" s="331">
        <f>30737-36</f>
        <v>30701</v>
      </c>
      <c r="S33" s="331">
        <v>7970</v>
      </c>
      <c r="T33" s="331">
        <f>10713-9</f>
        <v>10704</v>
      </c>
      <c r="U33" s="331">
        <v>4092</v>
      </c>
      <c r="V33" s="331">
        <v>0</v>
      </c>
      <c r="W33" s="331"/>
      <c r="X33" s="331">
        <v>0</v>
      </c>
      <c r="Y33" s="331">
        <v>0</v>
      </c>
      <c r="Z33" s="332">
        <f t="shared" si="1"/>
        <v>49375</v>
      </c>
    </row>
    <row r="34" spans="1:26" ht="11.25" customHeight="1">
      <c r="A34" s="329"/>
      <c r="B34" s="330" t="s">
        <v>369</v>
      </c>
      <c r="C34" s="331">
        <v>4314</v>
      </c>
      <c r="D34" s="331">
        <v>3661</v>
      </c>
      <c r="E34" s="331">
        <v>1078</v>
      </c>
      <c r="F34" s="331">
        <v>0</v>
      </c>
      <c r="G34" s="331">
        <v>0</v>
      </c>
      <c r="H34" s="331">
        <v>0</v>
      </c>
      <c r="I34" s="331">
        <v>0</v>
      </c>
      <c r="J34" s="331">
        <v>0</v>
      </c>
      <c r="K34" s="331"/>
      <c r="L34" s="331">
        <v>0</v>
      </c>
      <c r="M34" s="331">
        <v>249</v>
      </c>
      <c r="N34" s="331">
        <v>0</v>
      </c>
      <c r="O34" s="332">
        <f t="shared" si="0"/>
        <v>5641</v>
      </c>
      <c r="P34" s="333"/>
      <c r="Q34" s="330" t="s">
        <v>369</v>
      </c>
      <c r="R34" s="331">
        <f>30737-36+1699+14+90</f>
        <v>32504</v>
      </c>
      <c r="S34" s="331">
        <f>7970+459+30+4+24</f>
        <v>8487</v>
      </c>
      <c r="T34" s="331">
        <f>10713-9+231</f>
        <v>10935</v>
      </c>
      <c r="U34" s="331">
        <v>4092</v>
      </c>
      <c r="V34" s="331">
        <v>0</v>
      </c>
      <c r="W34" s="331"/>
      <c r="X34" s="331">
        <v>0</v>
      </c>
      <c r="Y34" s="331">
        <v>0</v>
      </c>
      <c r="Z34" s="332">
        <f t="shared" si="1"/>
        <v>51926</v>
      </c>
    </row>
    <row r="35" spans="1:26" ht="11.25" customHeight="1">
      <c r="A35" s="329"/>
      <c r="B35" s="330" t="s">
        <v>370</v>
      </c>
      <c r="C35" s="331">
        <v>4314</v>
      </c>
      <c r="D35" s="331">
        <v>3661</v>
      </c>
      <c r="E35" s="331">
        <v>1078</v>
      </c>
      <c r="F35" s="331">
        <v>0</v>
      </c>
      <c r="G35" s="331">
        <v>0</v>
      </c>
      <c r="H35" s="331">
        <v>0</v>
      </c>
      <c r="I35" s="331">
        <v>0</v>
      </c>
      <c r="J35" s="331">
        <v>0</v>
      </c>
      <c r="K35" s="331"/>
      <c r="L35" s="331">
        <v>0</v>
      </c>
      <c r="M35" s="331">
        <v>249</v>
      </c>
      <c r="N35" s="331">
        <v>0</v>
      </c>
      <c r="O35" s="332">
        <f t="shared" si="0"/>
        <v>5641</v>
      </c>
      <c r="P35" s="333"/>
      <c r="Q35" s="330" t="s">
        <v>370</v>
      </c>
      <c r="R35" s="331">
        <f>32504+110</f>
        <v>32614</v>
      </c>
      <c r="S35" s="331">
        <f>7970+459+30+4+24</f>
        <v>8487</v>
      </c>
      <c r="T35" s="331">
        <f>10935+28+30</f>
        <v>10993</v>
      </c>
      <c r="U35" s="331">
        <v>4092</v>
      </c>
      <c r="V35" s="331">
        <v>0</v>
      </c>
      <c r="W35" s="331"/>
      <c r="X35" s="331">
        <v>0</v>
      </c>
      <c r="Y35" s="331">
        <v>0</v>
      </c>
      <c r="Z35" s="332">
        <f t="shared" si="1"/>
        <v>52094</v>
      </c>
    </row>
    <row r="36" spans="1:26" ht="11.25" customHeight="1">
      <c r="A36" s="329"/>
      <c r="B36" s="330" t="s">
        <v>371</v>
      </c>
      <c r="C36" s="331">
        <f>4314+30</f>
        <v>4344</v>
      </c>
      <c r="D36" s="331">
        <v>3661</v>
      </c>
      <c r="E36" s="331">
        <v>1078</v>
      </c>
      <c r="F36" s="331"/>
      <c r="G36" s="331"/>
      <c r="H36" s="331"/>
      <c r="I36" s="331"/>
      <c r="J36" s="331"/>
      <c r="K36" s="331"/>
      <c r="L36" s="331"/>
      <c r="M36" s="331">
        <v>249</v>
      </c>
      <c r="N36" s="331"/>
      <c r="O36" s="332">
        <f t="shared" si="0"/>
        <v>5671</v>
      </c>
      <c r="P36" s="333"/>
      <c r="Q36" s="330" t="s">
        <v>371</v>
      </c>
      <c r="R36" s="331">
        <f>32504+110</f>
        <v>32614</v>
      </c>
      <c r="S36" s="331">
        <f>7970+459+30+4+24</f>
        <v>8487</v>
      </c>
      <c r="T36" s="331">
        <f>10935+28+30+30</f>
        <v>11023</v>
      </c>
      <c r="U36" s="331">
        <v>4092</v>
      </c>
      <c r="V36" s="331">
        <v>0</v>
      </c>
      <c r="W36" s="331"/>
      <c r="X36" s="331">
        <v>0</v>
      </c>
      <c r="Y36" s="331">
        <v>0</v>
      </c>
      <c r="Z36" s="332">
        <f t="shared" si="1"/>
        <v>52124</v>
      </c>
    </row>
    <row r="37" spans="1:26" ht="11.25" customHeight="1">
      <c r="A37" s="329"/>
      <c r="B37" s="330" t="s">
        <v>372</v>
      </c>
      <c r="C37" s="331">
        <f>4314+30+703</f>
        <v>5047</v>
      </c>
      <c r="D37" s="331">
        <v>3661</v>
      </c>
      <c r="E37" s="331">
        <v>1078</v>
      </c>
      <c r="F37" s="331"/>
      <c r="G37" s="331"/>
      <c r="H37" s="331"/>
      <c r="I37" s="331"/>
      <c r="J37" s="331"/>
      <c r="K37" s="331"/>
      <c r="L37" s="331"/>
      <c r="M37" s="331">
        <v>249</v>
      </c>
      <c r="N37" s="331"/>
      <c r="O37" s="332">
        <f t="shared" si="0"/>
        <v>6374</v>
      </c>
      <c r="P37" s="333"/>
      <c r="Q37" s="330" t="s">
        <v>372</v>
      </c>
      <c r="R37" s="331">
        <f>32504+110-87</f>
        <v>32527</v>
      </c>
      <c r="S37" s="331">
        <f>7970+459+30+4+24+87</f>
        <v>8574</v>
      </c>
      <c r="T37" s="331">
        <f>10935+28+30+30+703-312</f>
        <v>11414</v>
      </c>
      <c r="U37" s="331">
        <v>4092</v>
      </c>
      <c r="V37" s="331"/>
      <c r="W37" s="331"/>
      <c r="X37" s="331"/>
      <c r="Y37" s="331"/>
      <c r="Z37" s="332">
        <f t="shared" si="1"/>
        <v>52515</v>
      </c>
    </row>
    <row r="38" spans="1:26" ht="11.25" customHeight="1">
      <c r="A38" s="329"/>
      <c r="B38" s="330" t="s">
        <v>373</v>
      </c>
      <c r="C38" s="331">
        <f>4314+30+703</f>
        <v>5047</v>
      </c>
      <c r="D38" s="331">
        <v>3661</v>
      </c>
      <c r="E38" s="331">
        <v>1078</v>
      </c>
      <c r="F38" s="331"/>
      <c r="G38" s="331"/>
      <c r="H38" s="331"/>
      <c r="I38" s="331"/>
      <c r="J38" s="331"/>
      <c r="K38" s="331"/>
      <c r="L38" s="331"/>
      <c r="M38" s="331">
        <v>249</v>
      </c>
      <c r="N38" s="331"/>
      <c r="O38" s="332">
        <f t="shared" si="0"/>
        <v>6374</v>
      </c>
      <c r="P38" s="333"/>
      <c r="Q38" s="330" t="s">
        <v>373</v>
      </c>
      <c r="R38" s="331">
        <f>32504+110-87</f>
        <v>32527</v>
      </c>
      <c r="S38" s="331">
        <f>7970+459+30+4+24+87</f>
        <v>8574</v>
      </c>
      <c r="T38" s="331">
        <f>10935+28+30+30+703-312</f>
        <v>11414</v>
      </c>
      <c r="U38" s="331">
        <v>4092</v>
      </c>
      <c r="V38" s="331"/>
      <c r="W38" s="331"/>
      <c r="X38" s="331"/>
      <c r="Y38" s="331"/>
      <c r="Z38" s="332">
        <f t="shared" si="1"/>
        <v>52515</v>
      </c>
    </row>
    <row r="39" spans="1:26" ht="11.25" customHeight="1">
      <c r="A39" s="329"/>
      <c r="B39" s="330" t="s">
        <v>5</v>
      </c>
      <c r="C39" s="331">
        <v>5786</v>
      </c>
      <c r="D39" s="331">
        <v>3776</v>
      </c>
      <c r="E39" s="331">
        <v>1439</v>
      </c>
      <c r="F39" s="331"/>
      <c r="G39" s="331"/>
      <c r="H39" s="331"/>
      <c r="I39" s="331"/>
      <c r="J39" s="331"/>
      <c r="K39" s="331"/>
      <c r="L39" s="331"/>
      <c r="M39" s="331">
        <v>249</v>
      </c>
      <c r="N39" s="331"/>
      <c r="O39" s="332">
        <f t="shared" si="0"/>
        <v>7474</v>
      </c>
      <c r="P39" s="333"/>
      <c r="Q39" s="330" t="s">
        <v>5</v>
      </c>
      <c r="R39" s="331">
        <v>32467</v>
      </c>
      <c r="S39" s="331">
        <v>8574</v>
      </c>
      <c r="T39" s="331">
        <v>11414</v>
      </c>
      <c r="U39" s="331">
        <v>4753</v>
      </c>
      <c r="V39" s="331"/>
      <c r="W39" s="331"/>
      <c r="X39" s="331"/>
      <c r="Y39" s="331"/>
      <c r="Z39" s="332">
        <f t="shared" si="1"/>
        <v>52455</v>
      </c>
    </row>
    <row r="40" spans="1:26" ht="11.25" customHeight="1">
      <c r="A40" s="329" t="s">
        <v>378</v>
      </c>
      <c r="B40" s="330" t="s">
        <v>3</v>
      </c>
      <c r="C40" s="331">
        <v>2797</v>
      </c>
      <c r="D40" s="331">
        <v>2358</v>
      </c>
      <c r="E40" s="331">
        <v>699</v>
      </c>
      <c r="F40" s="331">
        <v>0</v>
      </c>
      <c r="G40" s="331">
        <v>0</v>
      </c>
      <c r="H40" s="331">
        <v>0</v>
      </c>
      <c r="I40" s="331">
        <v>0</v>
      </c>
      <c r="J40" s="331">
        <v>0</v>
      </c>
      <c r="K40" s="331"/>
      <c r="L40" s="331">
        <v>0</v>
      </c>
      <c r="M40" s="331">
        <v>0</v>
      </c>
      <c r="N40" s="331">
        <v>0</v>
      </c>
      <c r="O40" s="332">
        <f t="shared" si="0"/>
        <v>3496</v>
      </c>
      <c r="P40" s="333" t="s">
        <v>378</v>
      </c>
      <c r="Q40" s="330" t="s">
        <v>3</v>
      </c>
      <c r="R40" s="331">
        <v>17036</v>
      </c>
      <c r="S40" s="331">
        <v>4347</v>
      </c>
      <c r="T40" s="331">
        <v>7513</v>
      </c>
      <c r="U40" s="331">
        <v>2655</v>
      </c>
      <c r="V40" s="331">
        <v>0</v>
      </c>
      <c r="W40" s="331"/>
      <c r="X40" s="331">
        <v>0</v>
      </c>
      <c r="Y40" s="331">
        <v>0</v>
      </c>
      <c r="Z40" s="332">
        <f t="shared" si="1"/>
        <v>28896</v>
      </c>
    </row>
    <row r="41" spans="1:26" ht="11.25" customHeight="1">
      <c r="A41" s="329"/>
      <c r="B41" s="330" t="s">
        <v>369</v>
      </c>
      <c r="C41" s="331">
        <v>2797</v>
      </c>
      <c r="D41" s="331">
        <v>2358</v>
      </c>
      <c r="E41" s="331">
        <v>699</v>
      </c>
      <c r="F41" s="331">
        <v>0</v>
      </c>
      <c r="G41" s="331">
        <v>0</v>
      </c>
      <c r="H41" s="331">
        <v>0</v>
      </c>
      <c r="I41" s="331">
        <v>0</v>
      </c>
      <c r="J41" s="331">
        <v>0</v>
      </c>
      <c r="K41" s="331"/>
      <c r="L41" s="331">
        <v>0</v>
      </c>
      <c r="M41" s="331">
        <v>102</v>
      </c>
      <c r="N41" s="331">
        <v>0</v>
      </c>
      <c r="O41" s="332">
        <f t="shared" si="0"/>
        <v>3598</v>
      </c>
      <c r="P41" s="333"/>
      <c r="Q41" s="330" t="s">
        <v>369</v>
      </c>
      <c r="R41" s="331">
        <f>17036+923+672+91</f>
        <v>18722</v>
      </c>
      <c r="S41" s="331">
        <f>4347+249+181+17+25</f>
        <v>4819</v>
      </c>
      <c r="T41" s="331">
        <f>7513+70+102</f>
        <v>7685</v>
      </c>
      <c r="U41" s="331">
        <v>2655</v>
      </c>
      <c r="V41" s="331">
        <v>0</v>
      </c>
      <c r="W41" s="331"/>
      <c r="X41" s="331">
        <v>0</v>
      </c>
      <c r="Y41" s="331">
        <v>0</v>
      </c>
      <c r="Z41" s="332">
        <f t="shared" si="1"/>
        <v>31226</v>
      </c>
    </row>
    <row r="42" spans="1:26" ht="11.25" customHeight="1">
      <c r="A42" s="329"/>
      <c r="B42" s="330" t="s">
        <v>370</v>
      </c>
      <c r="C42" s="331">
        <f>2797+851</f>
        <v>3648</v>
      </c>
      <c r="D42" s="331">
        <v>2358</v>
      </c>
      <c r="E42" s="331">
        <f>699+626</f>
        <v>1325</v>
      </c>
      <c r="F42" s="331">
        <v>0</v>
      </c>
      <c r="G42" s="331">
        <v>0</v>
      </c>
      <c r="H42" s="331">
        <v>0</v>
      </c>
      <c r="I42" s="331">
        <v>0</v>
      </c>
      <c r="J42" s="331">
        <v>0</v>
      </c>
      <c r="K42" s="331"/>
      <c r="L42" s="331">
        <v>0</v>
      </c>
      <c r="M42" s="331">
        <v>102</v>
      </c>
      <c r="N42" s="331">
        <v>0</v>
      </c>
      <c r="O42" s="332">
        <f t="shared" si="0"/>
        <v>5075</v>
      </c>
      <c r="P42" s="333"/>
      <c r="Q42" s="330" t="s">
        <v>370</v>
      </c>
      <c r="R42" s="331">
        <f>17036+923+672+91+60+125+7531</f>
        <v>26438</v>
      </c>
      <c r="S42" s="331">
        <f>4347+249+181+17+25+1934</f>
        <v>6753</v>
      </c>
      <c r="T42" s="331">
        <f>7513+70+102+3571+15</f>
        <v>11271</v>
      </c>
      <c r="U42" s="331">
        <v>2655</v>
      </c>
      <c r="V42" s="331">
        <v>0</v>
      </c>
      <c r="W42" s="331"/>
      <c r="X42" s="331">
        <v>5250</v>
      </c>
      <c r="Y42" s="331">
        <v>0</v>
      </c>
      <c r="Z42" s="332">
        <f t="shared" si="1"/>
        <v>49712</v>
      </c>
    </row>
    <row r="43" spans="1:26" ht="11.25" customHeight="1">
      <c r="A43" s="329"/>
      <c r="B43" s="330" t="s">
        <v>371</v>
      </c>
      <c r="C43" s="331">
        <f>2797+851</f>
        <v>3648</v>
      </c>
      <c r="D43" s="331">
        <v>2358</v>
      </c>
      <c r="E43" s="331">
        <f>699+626</f>
        <v>1325</v>
      </c>
      <c r="F43" s="331"/>
      <c r="G43" s="331"/>
      <c r="H43" s="331"/>
      <c r="I43" s="331"/>
      <c r="J43" s="331"/>
      <c r="K43" s="331"/>
      <c r="L43" s="331"/>
      <c r="M43" s="331">
        <v>102</v>
      </c>
      <c r="N43" s="331"/>
      <c r="O43" s="332">
        <f t="shared" si="0"/>
        <v>5075</v>
      </c>
      <c r="P43" s="333"/>
      <c r="Q43" s="330" t="s">
        <v>371</v>
      </c>
      <c r="R43" s="331">
        <f>17036+923+672+91+60+125+7531</f>
        <v>26438</v>
      </c>
      <c r="S43" s="331">
        <f>4347+249+181+17+25+1934</f>
        <v>6753</v>
      </c>
      <c r="T43" s="331">
        <f>7513+70+102+3571+15</f>
        <v>11271</v>
      </c>
      <c r="U43" s="331">
        <v>2655</v>
      </c>
      <c r="V43" s="331">
        <v>0</v>
      </c>
      <c r="W43" s="331"/>
      <c r="X43" s="331">
        <v>5250</v>
      </c>
      <c r="Y43" s="331">
        <v>0</v>
      </c>
      <c r="Z43" s="332">
        <f t="shared" si="1"/>
        <v>49712</v>
      </c>
    </row>
    <row r="44" spans="1:26" ht="11.25" customHeight="1">
      <c r="A44" s="329"/>
      <c r="B44" s="330" t="s">
        <v>372</v>
      </c>
      <c r="C44" s="331">
        <f>2797+851</f>
        <v>3648</v>
      </c>
      <c r="D44" s="331">
        <v>2358</v>
      </c>
      <c r="E44" s="331">
        <f>699+626</f>
        <v>1325</v>
      </c>
      <c r="F44" s="331"/>
      <c r="G44" s="331"/>
      <c r="H44" s="331"/>
      <c r="I44" s="331"/>
      <c r="J44" s="331"/>
      <c r="K44" s="331"/>
      <c r="L44" s="331"/>
      <c r="M44" s="331">
        <v>102</v>
      </c>
      <c r="N44" s="331"/>
      <c r="O44" s="332">
        <f t="shared" si="0"/>
        <v>5075</v>
      </c>
      <c r="P44" s="333"/>
      <c r="Q44" s="330" t="s">
        <v>372</v>
      </c>
      <c r="R44" s="331">
        <f>17036+923+672+91+60+125+7531-71</f>
        <v>26367</v>
      </c>
      <c r="S44" s="331">
        <f>4347+249+181+17+25+1934+71</f>
        <v>6824</v>
      </c>
      <c r="T44" s="331">
        <f>7513+70+102+3571+15+2212+100</f>
        <v>13583</v>
      </c>
      <c r="U44" s="331">
        <v>2655</v>
      </c>
      <c r="V44" s="331"/>
      <c r="W44" s="331"/>
      <c r="X44" s="331">
        <f>5250-2212-132</f>
        <v>2906</v>
      </c>
      <c r="Y44" s="331"/>
      <c r="Z44" s="332">
        <f t="shared" si="1"/>
        <v>49680</v>
      </c>
    </row>
    <row r="45" spans="1:26" ht="11.25" customHeight="1">
      <c r="A45" s="329"/>
      <c r="B45" s="330" t="s">
        <v>373</v>
      </c>
      <c r="C45" s="331">
        <f>2797+851</f>
        <v>3648</v>
      </c>
      <c r="D45" s="331">
        <v>2358</v>
      </c>
      <c r="E45" s="331">
        <f>699+626</f>
        <v>1325</v>
      </c>
      <c r="F45" s="331"/>
      <c r="G45" s="331"/>
      <c r="H45" s="331"/>
      <c r="I45" s="331"/>
      <c r="J45" s="331"/>
      <c r="K45" s="331"/>
      <c r="L45" s="331"/>
      <c r="M45" s="331">
        <v>102</v>
      </c>
      <c r="N45" s="331"/>
      <c r="O45" s="332">
        <f t="shared" si="0"/>
        <v>5075</v>
      </c>
      <c r="P45" s="333"/>
      <c r="Q45" s="330" t="s">
        <v>373</v>
      </c>
      <c r="R45" s="331">
        <f>17036+923+672+91+60+125+7531-71</f>
        <v>26367</v>
      </c>
      <c r="S45" s="331">
        <f>4347+249+181+17+25+1934+71</f>
        <v>6824</v>
      </c>
      <c r="T45" s="331">
        <f>7513+70+102+3571+15+2212+100</f>
        <v>13583</v>
      </c>
      <c r="U45" s="331">
        <v>2655</v>
      </c>
      <c r="V45" s="331"/>
      <c r="W45" s="331"/>
      <c r="X45" s="331">
        <f>5250-2212-132</f>
        <v>2906</v>
      </c>
      <c r="Y45" s="331"/>
      <c r="Z45" s="332">
        <f t="shared" si="1"/>
        <v>49680</v>
      </c>
    </row>
    <row r="46" spans="1:26" ht="11.25" customHeight="1">
      <c r="A46" s="329"/>
      <c r="B46" s="330" t="s">
        <v>5</v>
      </c>
      <c r="C46" s="331">
        <v>3836</v>
      </c>
      <c r="D46" s="331">
        <v>2661</v>
      </c>
      <c r="E46" s="331">
        <v>959</v>
      </c>
      <c r="F46" s="331"/>
      <c r="G46" s="331"/>
      <c r="H46" s="331"/>
      <c r="I46" s="331"/>
      <c r="J46" s="331"/>
      <c r="K46" s="331"/>
      <c r="L46" s="331"/>
      <c r="M46" s="331">
        <v>102</v>
      </c>
      <c r="N46" s="331"/>
      <c r="O46" s="332">
        <f t="shared" si="0"/>
        <v>4897</v>
      </c>
      <c r="P46" s="333"/>
      <c r="Q46" s="330" t="s">
        <v>5</v>
      </c>
      <c r="R46" s="331">
        <v>25635</v>
      </c>
      <c r="S46" s="331">
        <v>6823</v>
      </c>
      <c r="T46" s="331">
        <v>13423</v>
      </c>
      <c r="U46" s="331">
        <v>2365</v>
      </c>
      <c r="V46" s="331"/>
      <c r="W46" s="331"/>
      <c r="X46" s="331">
        <v>300</v>
      </c>
      <c r="Y46" s="331"/>
      <c r="Z46" s="332">
        <f t="shared" si="1"/>
        <v>46181</v>
      </c>
    </row>
    <row r="47" spans="1:26" ht="11.25" customHeight="1">
      <c r="A47" s="329" t="s">
        <v>379</v>
      </c>
      <c r="B47" s="330" t="s">
        <v>3</v>
      </c>
      <c r="C47" s="331">
        <v>5160</v>
      </c>
      <c r="D47" s="331">
        <v>2225</v>
      </c>
      <c r="E47" s="331">
        <v>1290</v>
      </c>
      <c r="F47" s="331">
        <v>0</v>
      </c>
      <c r="G47" s="331">
        <v>0</v>
      </c>
      <c r="H47" s="331">
        <v>0</v>
      </c>
      <c r="I47" s="331">
        <v>0</v>
      </c>
      <c r="J47" s="331">
        <v>0</v>
      </c>
      <c r="K47" s="331"/>
      <c r="L47" s="331">
        <v>0</v>
      </c>
      <c r="M47" s="331">
        <v>0</v>
      </c>
      <c r="N47" s="331">
        <v>0</v>
      </c>
      <c r="O47" s="332">
        <f t="shared" si="0"/>
        <v>6450</v>
      </c>
      <c r="P47" s="333" t="s">
        <v>379</v>
      </c>
      <c r="Q47" s="330" t="s">
        <v>3</v>
      </c>
      <c r="R47" s="331">
        <f>25865-24</f>
        <v>25841</v>
      </c>
      <c r="S47" s="331">
        <v>6699</v>
      </c>
      <c r="T47" s="331">
        <v>11632</v>
      </c>
      <c r="U47" s="331">
        <v>2885</v>
      </c>
      <c r="V47" s="331">
        <v>0</v>
      </c>
      <c r="W47" s="331"/>
      <c r="X47" s="331">
        <v>0</v>
      </c>
      <c r="Y47" s="331">
        <v>0</v>
      </c>
      <c r="Z47" s="332">
        <f t="shared" si="1"/>
        <v>44172</v>
      </c>
    </row>
    <row r="48" spans="1:26" ht="11.25" customHeight="1">
      <c r="A48" s="329"/>
      <c r="B48" s="330" t="s">
        <v>369</v>
      </c>
      <c r="C48" s="331">
        <v>5160</v>
      </c>
      <c r="D48" s="331">
        <v>2225</v>
      </c>
      <c r="E48" s="331">
        <v>1290</v>
      </c>
      <c r="F48" s="331">
        <v>0</v>
      </c>
      <c r="G48" s="331">
        <v>0</v>
      </c>
      <c r="H48" s="331">
        <v>0</v>
      </c>
      <c r="I48" s="331">
        <v>0</v>
      </c>
      <c r="J48" s="331">
        <v>0</v>
      </c>
      <c r="K48" s="331"/>
      <c r="L48" s="331">
        <v>0</v>
      </c>
      <c r="M48" s="331">
        <v>306</v>
      </c>
      <c r="N48" s="331">
        <v>0</v>
      </c>
      <c r="O48" s="332">
        <f t="shared" si="0"/>
        <v>6756</v>
      </c>
      <c r="P48" s="333"/>
      <c r="Q48" s="330" t="s">
        <v>369</v>
      </c>
      <c r="R48" s="331">
        <f>25865-24+1589</f>
        <v>27430</v>
      </c>
      <c r="S48" s="331">
        <f>6699+429+24</f>
        <v>7152</v>
      </c>
      <c r="T48" s="331">
        <f>11638-6+50+306</f>
        <v>11988</v>
      </c>
      <c r="U48" s="331">
        <v>2885</v>
      </c>
      <c r="V48" s="331">
        <v>0</v>
      </c>
      <c r="W48" s="331"/>
      <c r="X48" s="331">
        <v>0</v>
      </c>
      <c r="Y48" s="331">
        <v>0</v>
      </c>
      <c r="Z48" s="332">
        <f t="shared" si="1"/>
        <v>46570</v>
      </c>
    </row>
    <row r="49" spans="1:26" ht="11.25" customHeight="1">
      <c r="A49" s="329"/>
      <c r="B49" s="330" t="s">
        <v>370</v>
      </c>
      <c r="C49" s="331">
        <v>5160</v>
      </c>
      <c r="D49" s="331">
        <v>2225</v>
      </c>
      <c r="E49" s="331">
        <v>1290</v>
      </c>
      <c r="F49" s="331">
        <v>0</v>
      </c>
      <c r="G49" s="331">
        <v>0</v>
      </c>
      <c r="H49" s="331">
        <v>0</v>
      </c>
      <c r="I49" s="331">
        <v>0</v>
      </c>
      <c r="J49" s="331">
        <v>0</v>
      </c>
      <c r="K49" s="331"/>
      <c r="L49" s="331">
        <v>0</v>
      </c>
      <c r="M49" s="331">
        <v>306</v>
      </c>
      <c r="N49" s="331">
        <v>0</v>
      </c>
      <c r="O49" s="332">
        <f t="shared" si="0"/>
        <v>6756</v>
      </c>
      <c r="P49" s="333"/>
      <c r="Q49" s="330" t="s">
        <v>370</v>
      </c>
      <c r="R49" s="331">
        <f>27430+103+125</f>
        <v>27658</v>
      </c>
      <c r="S49" s="331">
        <f>7152+12</f>
        <v>7164</v>
      </c>
      <c r="T49" s="331">
        <f>11988+15</f>
        <v>12003</v>
      </c>
      <c r="U49" s="331">
        <v>2885</v>
      </c>
      <c r="V49" s="331">
        <v>0</v>
      </c>
      <c r="W49" s="331"/>
      <c r="X49" s="331">
        <f>1600</f>
        <v>1600</v>
      </c>
      <c r="Y49" s="331">
        <v>0</v>
      </c>
      <c r="Z49" s="332">
        <f t="shared" si="1"/>
        <v>48425</v>
      </c>
    </row>
    <row r="50" spans="1:26" ht="11.25" customHeight="1">
      <c r="A50" s="329"/>
      <c r="B50" s="330" t="s">
        <v>371</v>
      </c>
      <c r="C50" s="331">
        <v>5160</v>
      </c>
      <c r="D50" s="331">
        <v>2225</v>
      </c>
      <c r="E50" s="331">
        <v>1290</v>
      </c>
      <c r="F50" s="331">
        <v>0</v>
      </c>
      <c r="G50" s="331">
        <v>0</v>
      </c>
      <c r="H50" s="331">
        <v>0</v>
      </c>
      <c r="I50" s="331">
        <v>0</v>
      </c>
      <c r="J50" s="331">
        <v>0</v>
      </c>
      <c r="K50" s="331"/>
      <c r="L50" s="331">
        <v>0</v>
      </c>
      <c r="M50" s="331">
        <v>306</v>
      </c>
      <c r="N50" s="331">
        <v>0</v>
      </c>
      <c r="O50" s="332">
        <f t="shared" si="0"/>
        <v>6756</v>
      </c>
      <c r="P50" s="333"/>
      <c r="Q50" s="330" t="s">
        <v>371</v>
      </c>
      <c r="R50" s="331">
        <f>27430+103+125</f>
        <v>27658</v>
      </c>
      <c r="S50" s="331">
        <f>7152+12</f>
        <v>7164</v>
      </c>
      <c r="T50" s="331">
        <f>11988+15</f>
        <v>12003</v>
      </c>
      <c r="U50" s="331">
        <v>2885</v>
      </c>
      <c r="V50" s="331">
        <v>0</v>
      </c>
      <c r="W50" s="331"/>
      <c r="X50" s="331">
        <f>1600</f>
        <v>1600</v>
      </c>
      <c r="Y50" s="331">
        <v>0</v>
      </c>
      <c r="Z50" s="332">
        <f t="shared" si="1"/>
        <v>48425</v>
      </c>
    </row>
    <row r="51" spans="1:26" ht="11.25" customHeight="1">
      <c r="A51" s="329"/>
      <c r="B51" s="330" t="s">
        <v>372</v>
      </c>
      <c r="C51" s="331">
        <f>5160+525</f>
        <v>5685</v>
      </c>
      <c r="D51" s="331">
        <v>2225</v>
      </c>
      <c r="E51" s="331">
        <v>1290</v>
      </c>
      <c r="F51" s="331"/>
      <c r="G51" s="331"/>
      <c r="H51" s="331"/>
      <c r="I51" s="331"/>
      <c r="J51" s="331"/>
      <c r="K51" s="331"/>
      <c r="L51" s="331"/>
      <c r="M51" s="331">
        <v>306</v>
      </c>
      <c r="N51" s="331"/>
      <c r="O51" s="332">
        <f t="shared" si="0"/>
        <v>7281</v>
      </c>
      <c r="P51" s="333"/>
      <c r="Q51" s="330" t="s">
        <v>372</v>
      </c>
      <c r="R51" s="331">
        <f>27430+103+125</f>
        <v>27658</v>
      </c>
      <c r="S51" s="331">
        <f>7152+12-7</f>
        <v>7157</v>
      </c>
      <c r="T51" s="331">
        <f>11988+15+139+1</f>
        <v>12143</v>
      </c>
      <c r="U51" s="331">
        <v>2885</v>
      </c>
      <c r="V51" s="331"/>
      <c r="W51" s="331"/>
      <c r="X51" s="331">
        <f>1600+386</f>
        <v>1986</v>
      </c>
      <c r="Y51" s="331"/>
      <c r="Z51" s="332">
        <f t="shared" si="1"/>
        <v>48944</v>
      </c>
    </row>
    <row r="52" spans="1:26" ht="11.25" customHeight="1">
      <c r="A52" s="329"/>
      <c r="B52" s="330" t="s">
        <v>373</v>
      </c>
      <c r="C52" s="331">
        <f>5160+525</f>
        <v>5685</v>
      </c>
      <c r="D52" s="331">
        <v>2225</v>
      </c>
      <c r="E52" s="331">
        <v>1290</v>
      </c>
      <c r="F52" s="331"/>
      <c r="G52" s="331"/>
      <c r="H52" s="331"/>
      <c r="I52" s="331"/>
      <c r="J52" s="331"/>
      <c r="K52" s="331"/>
      <c r="L52" s="331"/>
      <c r="M52" s="331">
        <v>306</v>
      </c>
      <c r="N52" s="331"/>
      <c r="O52" s="332">
        <f t="shared" si="0"/>
        <v>7281</v>
      </c>
      <c r="P52" s="333"/>
      <c r="Q52" s="330" t="s">
        <v>373</v>
      </c>
      <c r="R52" s="331">
        <f>27430+103+125</f>
        <v>27658</v>
      </c>
      <c r="S52" s="331">
        <f>7152+12-7</f>
        <v>7157</v>
      </c>
      <c r="T52" s="331">
        <f>11988+15+139+1</f>
        <v>12143</v>
      </c>
      <c r="U52" s="331">
        <v>2885</v>
      </c>
      <c r="V52" s="331"/>
      <c r="W52" s="331"/>
      <c r="X52" s="331">
        <f>1600+386</f>
        <v>1986</v>
      </c>
      <c r="Y52" s="331"/>
      <c r="Z52" s="332">
        <f t="shared" si="1"/>
        <v>48944</v>
      </c>
    </row>
    <row r="53" spans="1:26" ht="11.25" customHeight="1">
      <c r="A53" s="329"/>
      <c r="B53" s="330" t="s">
        <v>5</v>
      </c>
      <c r="C53" s="331">
        <v>5989</v>
      </c>
      <c r="D53" s="331">
        <v>2462</v>
      </c>
      <c r="E53" s="331">
        <v>1497</v>
      </c>
      <c r="F53" s="331"/>
      <c r="G53" s="331"/>
      <c r="H53" s="331"/>
      <c r="I53" s="331"/>
      <c r="J53" s="331"/>
      <c r="K53" s="331"/>
      <c r="L53" s="331"/>
      <c r="M53" s="331">
        <v>306</v>
      </c>
      <c r="N53" s="331"/>
      <c r="O53" s="332">
        <f t="shared" si="0"/>
        <v>7792</v>
      </c>
      <c r="P53" s="333"/>
      <c r="Q53" s="330" t="s">
        <v>5</v>
      </c>
      <c r="R53" s="331">
        <v>27582</v>
      </c>
      <c r="S53" s="331">
        <v>7150</v>
      </c>
      <c r="T53" s="331">
        <v>12143</v>
      </c>
      <c r="U53" s="331">
        <v>2885</v>
      </c>
      <c r="V53" s="331"/>
      <c r="W53" s="331"/>
      <c r="X53" s="331">
        <v>1986</v>
      </c>
      <c r="Y53" s="331"/>
      <c r="Z53" s="332">
        <f t="shared" si="1"/>
        <v>48861</v>
      </c>
    </row>
    <row r="54" spans="1:26" ht="11.25" customHeight="1">
      <c r="A54" s="329" t="s">
        <v>380</v>
      </c>
      <c r="B54" s="330" t="s">
        <v>3</v>
      </c>
      <c r="C54" s="331">
        <v>4155</v>
      </c>
      <c r="D54" s="331">
        <v>3617</v>
      </c>
      <c r="E54" s="331">
        <v>1039</v>
      </c>
      <c r="F54" s="331">
        <v>0</v>
      </c>
      <c r="G54" s="331">
        <v>0</v>
      </c>
      <c r="H54" s="331">
        <v>0</v>
      </c>
      <c r="I54" s="331">
        <v>0</v>
      </c>
      <c r="J54" s="331">
        <v>0</v>
      </c>
      <c r="K54" s="331"/>
      <c r="L54" s="331">
        <v>0</v>
      </c>
      <c r="M54" s="331">
        <v>0</v>
      </c>
      <c r="N54" s="331">
        <v>0</v>
      </c>
      <c r="O54" s="332">
        <f t="shared" si="0"/>
        <v>5194</v>
      </c>
      <c r="P54" s="333" t="s">
        <v>380</v>
      </c>
      <c r="Q54" s="330" t="s">
        <v>3</v>
      </c>
      <c r="R54" s="331">
        <v>27625</v>
      </c>
      <c r="S54" s="331">
        <v>7185</v>
      </c>
      <c r="T54" s="331">
        <v>11029</v>
      </c>
      <c r="U54" s="331">
        <v>4702</v>
      </c>
      <c r="V54" s="331">
        <v>0</v>
      </c>
      <c r="W54" s="331"/>
      <c r="X54" s="331">
        <v>0</v>
      </c>
      <c r="Y54" s="331">
        <v>0</v>
      </c>
      <c r="Z54" s="332">
        <f t="shared" si="1"/>
        <v>45839</v>
      </c>
    </row>
    <row r="55" spans="1:26" ht="11.25" customHeight="1">
      <c r="A55" s="329"/>
      <c r="B55" s="330" t="s">
        <v>369</v>
      </c>
      <c r="C55" s="331">
        <v>4155</v>
      </c>
      <c r="D55" s="331">
        <v>3617</v>
      </c>
      <c r="E55" s="331">
        <v>1039</v>
      </c>
      <c r="F55" s="331">
        <v>0</v>
      </c>
      <c r="G55" s="331">
        <v>0</v>
      </c>
      <c r="H55" s="331">
        <v>0</v>
      </c>
      <c r="I55" s="331">
        <v>0</v>
      </c>
      <c r="J55" s="331">
        <v>0</v>
      </c>
      <c r="K55" s="331"/>
      <c r="L55" s="331">
        <v>0</v>
      </c>
      <c r="M55" s="331">
        <v>65</v>
      </c>
      <c r="N55" s="331">
        <v>0</v>
      </c>
      <c r="O55" s="332">
        <f t="shared" si="0"/>
        <v>5259</v>
      </c>
      <c r="P55" s="333"/>
      <c r="Q55" s="330" t="s">
        <v>369</v>
      </c>
      <c r="R55" s="331">
        <f>27625+1500+99</f>
        <v>29224</v>
      </c>
      <c r="S55" s="331">
        <f>7185+404+27+27</f>
        <v>7643</v>
      </c>
      <c r="T55" s="331">
        <f>11029+100+65</f>
        <v>11194</v>
      </c>
      <c r="U55" s="331">
        <v>4702</v>
      </c>
      <c r="V55" s="331">
        <v>0</v>
      </c>
      <c r="W55" s="331"/>
      <c r="X55" s="331">
        <v>0</v>
      </c>
      <c r="Y55" s="331">
        <v>0</v>
      </c>
      <c r="Z55" s="332">
        <f t="shared" si="1"/>
        <v>48061</v>
      </c>
    </row>
    <row r="56" spans="1:26" ht="11.25" customHeight="1">
      <c r="A56" s="329"/>
      <c r="B56" s="330" t="s">
        <v>370</v>
      </c>
      <c r="C56" s="331">
        <v>4155</v>
      </c>
      <c r="D56" s="331">
        <v>3617</v>
      </c>
      <c r="E56" s="331">
        <v>1039</v>
      </c>
      <c r="F56" s="331">
        <v>0</v>
      </c>
      <c r="G56" s="331">
        <v>0</v>
      </c>
      <c r="H56" s="331">
        <v>0</v>
      </c>
      <c r="I56" s="331">
        <v>0</v>
      </c>
      <c r="J56" s="331">
        <v>0</v>
      </c>
      <c r="K56" s="331"/>
      <c r="L56" s="331">
        <v>0</v>
      </c>
      <c r="M56" s="331">
        <v>65</v>
      </c>
      <c r="N56" s="331">
        <v>0</v>
      </c>
      <c r="O56" s="332">
        <f t="shared" si="0"/>
        <v>5259</v>
      </c>
      <c r="P56" s="333"/>
      <c r="Q56" s="330" t="s">
        <v>370</v>
      </c>
      <c r="R56" s="331">
        <f>29224+30</f>
        <v>29254</v>
      </c>
      <c r="S56" s="331">
        <f>7185+404+27+27</f>
        <v>7643</v>
      </c>
      <c r="T56" s="331">
        <f>11194+7+50</f>
        <v>11251</v>
      </c>
      <c r="U56" s="331">
        <v>4702</v>
      </c>
      <c r="V56" s="331">
        <v>0</v>
      </c>
      <c r="W56" s="331"/>
      <c r="X56" s="331">
        <v>0</v>
      </c>
      <c r="Y56" s="331">
        <v>0</v>
      </c>
      <c r="Z56" s="332">
        <f t="shared" si="1"/>
        <v>48148</v>
      </c>
    </row>
    <row r="57" spans="1:26" ht="11.25" customHeight="1">
      <c r="A57" s="329"/>
      <c r="B57" s="330" t="s">
        <v>371</v>
      </c>
      <c r="C57" s="331">
        <f>4155</f>
        <v>4155</v>
      </c>
      <c r="D57" s="331">
        <v>3617</v>
      </c>
      <c r="E57" s="331">
        <v>1039</v>
      </c>
      <c r="F57" s="331"/>
      <c r="G57" s="331">
        <v>50</v>
      </c>
      <c r="H57" s="331"/>
      <c r="I57" s="331"/>
      <c r="J57" s="331"/>
      <c r="K57" s="331"/>
      <c r="L57" s="331"/>
      <c r="M57" s="331">
        <v>65</v>
      </c>
      <c r="N57" s="331"/>
      <c r="O57" s="332">
        <f t="shared" si="0"/>
        <v>5309</v>
      </c>
      <c r="P57" s="333"/>
      <c r="Q57" s="330" t="s">
        <v>371</v>
      </c>
      <c r="R57" s="331">
        <f>29224+30</f>
        <v>29254</v>
      </c>
      <c r="S57" s="331">
        <f>7185+404+27+27</f>
        <v>7643</v>
      </c>
      <c r="T57" s="331">
        <f>11194+7+50+50</f>
        <v>11301</v>
      </c>
      <c r="U57" s="331">
        <v>4702</v>
      </c>
      <c r="V57" s="331">
        <v>0</v>
      </c>
      <c r="W57" s="331"/>
      <c r="X57" s="331">
        <v>0</v>
      </c>
      <c r="Y57" s="331">
        <v>0</v>
      </c>
      <c r="Z57" s="332">
        <f t="shared" si="1"/>
        <v>48198</v>
      </c>
    </row>
    <row r="58" spans="1:26" ht="11.25" customHeight="1">
      <c r="A58" s="329"/>
      <c r="B58" s="330" t="s">
        <v>372</v>
      </c>
      <c r="C58" s="331">
        <f>4155+272</f>
        <v>4427</v>
      </c>
      <c r="D58" s="331">
        <v>3617</v>
      </c>
      <c r="E58" s="331">
        <v>1039</v>
      </c>
      <c r="F58" s="331"/>
      <c r="G58" s="331">
        <v>50</v>
      </c>
      <c r="H58" s="331"/>
      <c r="I58" s="331"/>
      <c r="J58" s="331"/>
      <c r="K58" s="331"/>
      <c r="L58" s="331"/>
      <c r="M58" s="331">
        <v>65</v>
      </c>
      <c r="N58" s="331"/>
      <c r="O58" s="332">
        <f t="shared" si="0"/>
        <v>5581</v>
      </c>
      <c r="P58" s="333"/>
      <c r="Q58" s="330" t="s">
        <v>372</v>
      </c>
      <c r="R58" s="331">
        <f>29224+30-372</f>
        <v>28882</v>
      </c>
      <c r="S58" s="331">
        <f>7185+404+27+27-13</f>
        <v>7630</v>
      </c>
      <c r="T58" s="331">
        <f>11194+7+50+50+272+372+13+128</f>
        <v>12086</v>
      </c>
      <c r="U58" s="331">
        <v>4702</v>
      </c>
      <c r="V58" s="331"/>
      <c r="W58" s="331"/>
      <c r="X58" s="331"/>
      <c r="Y58" s="331"/>
      <c r="Z58" s="332">
        <f>SUM(R58:Y58)-U58</f>
        <v>48598</v>
      </c>
    </row>
    <row r="59" spans="1:26" ht="11.25" customHeight="1">
      <c r="A59" s="329"/>
      <c r="B59" s="330" t="s">
        <v>373</v>
      </c>
      <c r="C59" s="331">
        <f>4155+272</f>
        <v>4427</v>
      </c>
      <c r="D59" s="331">
        <v>3617</v>
      </c>
      <c r="E59" s="331">
        <v>1039</v>
      </c>
      <c r="F59" s="331"/>
      <c r="G59" s="331">
        <v>50</v>
      </c>
      <c r="H59" s="331"/>
      <c r="I59" s="331"/>
      <c r="J59" s="331"/>
      <c r="K59" s="331"/>
      <c r="L59" s="331"/>
      <c r="M59" s="331">
        <v>65</v>
      </c>
      <c r="N59" s="331"/>
      <c r="O59" s="332">
        <f t="shared" si="0"/>
        <v>5581</v>
      </c>
      <c r="P59" s="333"/>
      <c r="Q59" s="330" t="s">
        <v>373</v>
      </c>
      <c r="R59" s="331">
        <f>29224+30-372</f>
        <v>28882</v>
      </c>
      <c r="S59" s="331">
        <f>7185+404+27+27-13</f>
        <v>7630</v>
      </c>
      <c r="T59" s="331">
        <f>11194+7+50+50+272+372+13+128</f>
        <v>12086</v>
      </c>
      <c r="U59" s="331">
        <v>4702</v>
      </c>
      <c r="V59" s="331"/>
      <c r="W59" s="331"/>
      <c r="X59" s="331"/>
      <c r="Y59" s="331"/>
      <c r="Z59" s="332">
        <f>SUM(R59:Y59)-U59</f>
        <v>48598</v>
      </c>
    </row>
    <row r="60" spans="1:26" ht="11.25" customHeight="1">
      <c r="A60" s="329"/>
      <c r="B60" s="330" t="s">
        <v>5</v>
      </c>
      <c r="C60" s="331">
        <v>4373</v>
      </c>
      <c r="D60" s="331">
        <v>3437</v>
      </c>
      <c r="E60" s="331">
        <v>1093</v>
      </c>
      <c r="F60" s="331"/>
      <c r="G60" s="331">
        <v>50</v>
      </c>
      <c r="H60" s="331"/>
      <c r="I60" s="331"/>
      <c r="J60" s="331"/>
      <c r="K60" s="331"/>
      <c r="L60" s="331"/>
      <c r="M60" s="331">
        <v>65</v>
      </c>
      <c r="N60" s="331"/>
      <c r="O60" s="332">
        <f t="shared" si="0"/>
        <v>5581</v>
      </c>
      <c r="P60" s="333"/>
      <c r="Q60" s="330" t="s">
        <v>5</v>
      </c>
      <c r="R60" s="331">
        <v>28882</v>
      </c>
      <c r="S60" s="331">
        <v>7630</v>
      </c>
      <c r="T60" s="331">
        <v>12085</v>
      </c>
      <c r="U60" s="331">
        <v>5055</v>
      </c>
      <c r="V60" s="331"/>
      <c r="W60" s="331"/>
      <c r="X60" s="331"/>
      <c r="Y60" s="331"/>
      <c r="Z60" s="332">
        <f t="shared" si="1"/>
        <v>48597</v>
      </c>
    </row>
    <row r="61" spans="1:26" ht="11.25" customHeight="1">
      <c r="A61" s="334" t="s">
        <v>381</v>
      </c>
      <c r="B61" s="330" t="s">
        <v>3</v>
      </c>
      <c r="C61" s="331">
        <v>974</v>
      </c>
      <c r="D61" s="331">
        <v>820</v>
      </c>
      <c r="E61" s="331">
        <v>243</v>
      </c>
      <c r="F61" s="331">
        <v>0</v>
      </c>
      <c r="G61" s="331">
        <v>0</v>
      </c>
      <c r="H61" s="331">
        <v>0</v>
      </c>
      <c r="I61" s="331">
        <v>0</v>
      </c>
      <c r="J61" s="331">
        <v>0</v>
      </c>
      <c r="K61" s="331"/>
      <c r="L61" s="331">
        <v>0</v>
      </c>
      <c r="M61" s="331">
        <v>0</v>
      </c>
      <c r="N61" s="331">
        <v>0</v>
      </c>
      <c r="O61" s="332">
        <f t="shared" si="0"/>
        <v>1217</v>
      </c>
      <c r="P61" s="335" t="s">
        <v>381</v>
      </c>
      <c r="Q61" s="330" t="s">
        <v>3</v>
      </c>
      <c r="R61" s="331">
        <f>7864-24</f>
        <v>7840</v>
      </c>
      <c r="S61" s="331">
        <v>2069</v>
      </c>
      <c r="T61" s="331">
        <f>3518-6</f>
        <v>3512</v>
      </c>
      <c r="U61" s="331">
        <v>1070</v>
      </c>
      <c r="V61" s="331">
        <v>0</v>
      </c>
      <c r="W61" s="331"/>
      <c r="X61" s="331">
        <v>0</v>
      </c>
      <c r="Y61" s="331">
        <v>0</v>
      </c>
      <c r="Z61" s="332">
        <f t="shared" si="1"/>
        <v>13421</v>
      </c>
    </row>
    <row r="62" spans="1:26" ht="11.25" customHeight="1">
      <c r="A62" s="334"/>
      <c r="B62" s="330" t="s">
        <v>369</v>
      </c>
      <c r="C62" s="331">
        <v>974</v>
      </c>
      <c r="D62" s="331">
        <v>820</v>
      </c>
      <c r="E62" s="331">
        <v>243</v>
      </c>
      <c r="F62" s="331">
        <v>0</v>
      </c>
      <c r="G62" s="331">
        <v>0</v>
      </c>
      <c r="H62" s="331">
        <v>0</v>
      </c>
      <c r="I62" s="331">
        <v>0</v>
      </c>
      <c r="J62" s="331">
        <v>0</v>
      </c>
      <c r="K62" s="331"/>
      <c r="L62" s="331">
        <v>0</v>
      </c>
      <c r="M62" s="331">
        <v>21</v>
      </c>
      <c r="N62" s="331">
        <v>0</v>
      </c>
      <c r="O62" s="332">
        <f t="shared" si="0"/>
        <v>1238</v>
      </c>
      <c r="P62" s="335"/>
      <c r="Q62" s="330" t="s">
        <v>369</v>
      </c>
      <c r="R62" s="331">
        <f>7864-24+355+40</f>
        <v>8235</v>
      </c>
      <c r="S62" s="331">
        <f>2069+95+7+11</f>
        <v>2182</v>
      </c>
      <c r="T62" s="331">
        <f>3518-6+21</f>
        <v>3533</v>
      </c>
      <c r="U62" s="331">
        <v>1070</v>
      </c>
      <c r="V62" s="331">
        <v>0</v>
      </c>
      <c r="W62" s="331"/>
      <c r="X62" s="331">
        <v>0</v>
      </c>
      <c r="Y62" s="331">
        <v>0</v>
      </c>
      <c r="Z62" s="332">
        <f t="shared" si="1"/>
        <v>13950</v>
      </c>
    </row>
    <row r="63" spans="1:26" ht="11.25" customHeight="1">
      <c r="A63" s="334"/>
      <c r="B63" s="330" t="s">
        <v>370</v>
      </c>
      <c r="C63" s="331">
        <v>974</v>
      </c>
      <c r="D63" s="331">
        <v>820</v>
      </c>
      <c r="E63" s="331">
        <v>243</v>
      </c>
      <c r="F63" s="331">
        <v>0</v>
      </c>
      <c r="G63" s="331">
        <v>0</v>
      </c>
      <c r="H63" s="331">
        <v>0</v>
      </c>
      <c r="I63" s="331">
        <v>0</v>
      </c>
      <c r="J63" s="331">
        <v>0</v>
      </c>
      <c r="K63" s="331"/>
      <c r="L63" s="331">
        <v>0</v>
      </c>
      <c r="M63" s="331">
        <v>21</v>
      </c>
      <c r="N63" s="331">
        <v>0</v>
      </c>
      <c r="O63" s="332">
        <f t="shared" si="0"/>
        <v>1238</v>
      </c>
      <c r="P63" s="335"/>
      <c r="Q63" s="330" t="s">
        <v>370</v>
      </c>
      <c r="R63" s="331">
        <f>8235-52</f>
        <v>8183</v>
      </c>
      <c r="S63" s="331">
        <f>2182-22</f>
        <v>2160</v>
      </c>
      <c r="T63" s="331">
        <f>3533+8+30</f>
        <v>3571</v>
      </c>
      <c r="U63" s="331">
        <v>1070</v>
      </c>
      <c r="V63" s="331">
        <v>0</v>
      </c>
      <c r="W63" s="331"/>
      <c r="X63" s="331">
        <v>0</v>
      </c>
      <c r="Y63" s="331">
        <v>0</v>
      </c>
      <c r="Z63" s="332">
        <f t="shared" si="1"/>
        <v>13914</v>
      </c>
    </row>
    <row r="64" spans="1:26" ht="11.25" customHeight="1">
      <c r="A64" s="334"/>
      <c r="B64" s="330" t="s">
        <v>371</v>
      </c>
      <c r="C64" s="331">
        <v>974</v>
      </c>
      <c r="D64" s="331">
        <v>820</v>
      </c>
      <c r="E64" s="331">
        <v>243</v>
      </c>
      <c r="F64" s="331"/>
      <c r="G64" s="331"/>
      <c r="H64" s="331"/>
      <c r="I64" s="331"/>
      <c r="J64" s="331"/>
      <c r="K64" s="331"/>
      <c r="L64" s="331"/>
      <c r="M64" s="331">
        <v>21</v>
      </c>
      <c r="N64" s="331"/>
      <c r="O64" s="332">
        <f t="shared" si="0"/>
        <v>1238</v>
      </c>
      <c r="P64" s="335"/>
      <c r="Q64" s="330" t="s">
        <v>371</v>
      </c>
      <c r="R64" s="331">
        <f>8235-52</f>
        <v>8183</v>
      </c>
      <c r="S64" s="331">
        <f>2182-22</f>
        <v>2160</v>
      </c>
      <c r="T64" s="331">
        <f>3533+8+30</f>
        <v>3571</v>
      </c>
      <c r="U64" s="331">
        <v>1070</v>
      </c>
      <c r="V64" s="331">
        <v>0</v>
      </c>
      <c r="W64" s="331"/>
      <c r="X64" s="331">
        <v>0</v>
      </c>
      <c r="Y64" s="331">
        <v>0</v>
      </c>
      <c r="Z64" s="332">
        <f t="shared" si="1"/>
        <v>13914</v>
      </c>
    </row>
    <row r="65" spans="1:26" ht="11.25" customHeight="1">
      <c r="A65" s="334"/>
      <c r="B65" s="330" t="s">
        <v>372</v>
      </c>
      <c r="C65" s="331">
        <v>974</v>
      </c>
      <c r="D65" s="331">
        <v>820</v>
      </c>
      <c r="E65" s="331">
        <v>243</v>
      </c>
      <c r="F65" s="331"/>
      <c r="G65" s="331"/>
      <c r="H65" s="331"/>
      <c r="I65" s="331"/>
      <c r="J65" s="331"/>
      <c r="K65" s="331"/>
      <c r="L65" s="331"/>
      <c r="M65" s="331">
        <v>21</v>
      </c>
      <c r="N65" s="331"/>
      <c r="O65" s="332">
        <f t="shared" si="0"/>
        <v>1238</v>
      </c>
      <c r="P65" s="335"/>
      <c r="Q65" s="330" t="s">
        <v>372</v>
      </c>
      <c r="R65" s="331">
        <f>8235-52</f>
        <v>8183</v>
      </c>
      <c r="S65" s="331">
        <f>2182-22</f>
        <v>2160</v>
      </c>
      <c r="T65" s="331">
        <f>3533+8+30</f>
        <v>3571</v>
      </c>
      <c r="U65" s="331">
        <v>1070</v>
      </c>
      <c r="V65" s="331"/>
      <c r="W65" s="331"/>
      <c r="X65" s="331"/>
      <c r="Y65" s="331"/>
      <c r="Z65" s="332">
        <f t="shared" si="1"/>
        <v>13914</v>
      </c>
    </row>
    <row r="66" spans="1:26" ht="11.25" customHeight="1">
      <c r="A66" s="334"/>
      <c r="B66" s="330" t="s">
        <v>373</v>
      </c>
      <c r="C66" s="331">
        <v>974</v>
      </c>
      <c r="D66" s="331">
        <v>820</v>
      </c>
      <c r="E66" s="331">
        <v>243</v>
      </c>
      <c r="F66" s="331"/>
      <c r="G66" s="331"/>
      <c r="H66" s="331"/>
      <c r="I66" s="331"/>
      <c r="J66" s="331"/>
      <c r="K66" s="331"/>
      <c r="L66" s="331"/>
      <c r="M66" s="331">
        <v>21</v>
      </c>
      <c r="N66" s="331"/>
      <c r="O66" s="332">
        <f t="shared" si="0"/>
        <v>1238</v>
      </c>
      <c r="P66" s="335"/>
      <c r="Q66" s="330" t="s">
        <v>373</v>
      </c>
      <c r="R66" s="331">
        <f>8235-52</f>
        <v>8183</v>
      </c>
      <c r="S66" s="331">
        <f>2182-22</f>
        <v>2160</v>
      </c>
      <c r="T66" s="331">
        <f>3533+8+30</f>
        <v>3571</v>
      </c>
      <c r="U66" s="331">
        <v>1070</v>
      </c>
      <c r="V66" s="331"/>
      <c r="W66" s="331"/>
      <c r="X66" s="331"/>
      <c r="Y66" s="331"/>
      <c r="Z66" s="332">
        <f t="shared" si="1"/>
        <v>13914</v>
      </c>
    </row>
    <row r="67" spans="1:26" ht="11.25" customHeight="1">
      <c r="A67" s="334"/>
      <c r="B67" s="336" t="s">
        <v>5</v>
      </c>
      <c r="C67" s="337">
        <v>925</v>
      </c>
      <c r="D67" s="337">
        <v>825</v>
      </c>
      <c r="E67" s="337">
        <v>231</v>
      </c>
      <c r="F67" s="337"/>
      <c r="G67" s="337"/>
      <c r="H67" s="337"/>
      <c r="I67" s="337"/>
      <c r="J67" s="337"/>
      <c r="K67" s="337"/>
      <c r="L67" s="337"/>
      <c r="M67" s="337">
        <v>21</v>
      </c>
      <c r="N67" s="337"/>
      <c r="O67" s="338">
        <f t="shared" si="0"/>
        <v>1177</v>
      </c>
      <c r="P67" s="335"/>
      <c r="Q67" s="336" t="s">
        <v>5</v>
      </c>
      <c r="R67" s="337">
        <v>8160</v>
      </c>
      <c r="S67" s="337">
        <v>2167</v>
      </c>
      <c r="T67" s="337">
        <v>3423</v>
      </c>
      <c r="U67" s="337">
        <v>1081</v>
      </c>
      <c r="V67" s="337"/>
      <c r="W67" s="337"/>
      <c r="X67" s="337"/>
      <c r="Y67" s="337"/>
      <c r="Z67" s="338">
        <f t="shared" si="1"/>
        <v>13750</v>
      </c>
    </row>
    <row r="68" spans="1:26" ht="11.25" customHeight="1">
      <c r="A68" s="339" t="s">
        <v>382</v>
      </c>
      <c r="B68" s="340" t="s">
        <v>3</v>
      </c>
      <c r="C68" s="341">
        <v>4903</v>
      </c>
      <c r="D68" s="341">
        <v>3604</v>
      </c>
      <c r="E68" s="341">
        <v>1226</v>
      </c>
      <c r="F68" s="341">
        <v>0</v>
      </c>
      <c r="G68" s="341">
        <v>0</v>
      </c>
      <c r="H68" s="341">
        <v>0</v>
      </c>
      <c r="I68" s="341">
        <v>0</v>
      </c>
      <c r="J68" s="341">
        <v>0</v>
      </c>
      <c r="K68" s="341"/>
      <c r="L68" s="341">
        <v>0</v>
      </c>
      <c r="M68" s="341">
        <v>0</v>
      </c>
      <c r="N68" s="341">
        <v>0</v>
      </c>
      <c r="O68" s="342">
        <f t="shared" si="0"/>
        <v>6129</v>
      </c>
      <c r="P68" s="343" t="s">
        <v>382</v>
      </c>
      <c r="Q68" s="340" t="s">
        <v>3</v>
      </c>
      <c r="R68" s="341">
        <v>36077</v>
      </c>
      <c r="S68" s="341">
        <v>9226</v>
      </c>
      <c r="T68" s="341">
        <f>20146</f>
        <v>20146</v>
      </c>
      <c r="U68" s="341">
        <v>4028</v>
      </c>
      <c r="V68" s="341">
        <v>0</v>
      </c>
      <c r="W68" s="341"/>
      <c r="X68" s="341">
        <v>2400</v>
      </c>
      <c r="Y68" s="341">
        <v>0</v>
      </c>
      <c r="Z68" s="342">
        <f t="shared" si="1"/>
        <v>67849</v>
      </c>
    </row>
    <row r="69" spans="1:26" ht="11.25" customHeight="1">
      <c r="A69" s="339"/>
      <c r="B69" s="330" t="s">
        <v>369</v>
      </c>
      <c r="C69" s="331">
        <v>4903</v>
      </c>
      <c r="D69" s="331">
        <v>3604</v>
      </c>
      <c r="E69" s="331">
        <v>1226</v>
      </c>
      <c r="F69" s="331">
        <v>0</v>
      </c>
      <c r="G69" s="331">
        <v>0</v>
      </c>
      <c r="H69" s="331">
        <v>0</v>
      </c>
      <c r="I69" s="331">
        <v>0</v>
      </c>
      <c r="J69" s="331">
        <v>0</v>
      </c>
      <c r="K69" s="331"/>
      <c r="L69" s="331">
        <v>0</v>
      </c>
      <c r="M69" s="331">
        <v>987</v>
      </c>
      <c r="N69" s="331">
        <v>0</v>
      </c>
      <c r="O69" s="332">
        <f t="shared" si="0"/>
        <v>7116</v>
      </c>
      <c r="P69" s="343"/>
      <c r="Q69" s="330" t="s">
        <v>369</v>
      </c>
      <c r="R69" s="331">
        <f>36077+2770+33</f>
        <v>38880</v>
      </c>
      <c r="S69" s="331">
        <f>9226+748+53+9</f>
        <v>10036</v>
      </c>
      <c r="T69" s="331">
        <f>20146+50+987</f>
        <v>21183</v>
      </c>
      <c r="U69" s="331">
        <v>4028</v>
      </c>
      <c r="V69" s="331">
        <v>0</v>
      </c>
      <c r="W69" s="331"/>
      <c r="X69" s="331">
        <v>2400</v>
      </c>
      <c r="Y69" s="331">
        <v>0</v>
      </c>
      <c r="Z69" s="332">
        <f t="shared" si="1"/>
        <v>72499</v>
      </c>
    </row>
    <row r="70" spans="1:26" ht="11.25" customHeight="1">
      <c r="A70" s="339"/>
      <c r="B70" s="330" t="s">
        <v>370</v>
      </c>
      <c r="C70" s="331">
        <f>4903+149+93</f>
        <v>5145</v>
      </c>
      <c r="D70" s="331">
        <v>3604</v>
      </c>
      <c r="E70" s="331">
        <v>1226</v>
      </c>
      <c r="F70" s="331">
        <v>0</v>
      </c>
      <c r="G70" s="331">
        <v>0</v>
      </c>
      <c r="H70" s="331">
        <v>0</v>
      </c>
      <c r="I70" s="331">
        <v>0</v>
      </c>
      <c r="J70" s="331">
        <v>0</v>
      </c>
      <c r="K70" s="331"/>
      <c r="L70" s="331">
        <v>0</v>
      </c>
      <c r="M70" s="331">
        <v>987</v>
      </c>
      <c r="N70" s="331">
        <v>0</v>
      </c>
      <c r="O70" s="332">
        <f t="shared" si="0"/>
        <v>7358</v>
      </c>
      <c r="P70" s="343"/>
      <c r="Q70" s="330" t="s">
        <v>370</v>
      </c>
      <c r="R70" s="331">
        <f>38880+160</f>
        <v>39040</v>
      </c>
      <c r="S70" s="331">
        <f>9226+748+53+9</f>
        <v>10036</v>
      </c>
      <c r="T70" s="331">
        <f>21183+40</f>
        <v>21223</v>
      </c>
      <c r="U70" s="331">
        <v>4028</v>
      </c>
      <c r="V70" s="331">
        <v>0</v>
      </c>
      <c r="W70" s="331"/>
      <c r="X70" s="331">
        <f>2400+149+93</f>
        <v>2642</v>
      </c>
      <c r="Y70" s="331">
        <f>788</f>
        <v>788</v>
      </c>
      <c r="Z70" s="332">
        <f t="shared" si="1"/>
        <v>73729</v>
      </c>
    </row>
    <row r="71" spans="1:26" ht="11.25" customHeight="1">
      <c r="A71" s="339"/>
      <c r="B71" s="330" t="s">
        <v>371</v>
      </c>
      <c r="C71" s="331">
        <f>4903+149+93</f>
        <v>5145</v>
      </c>
      <c r="D71" s="331">
        <v>3604</v>
      </c>
      <c r="E71" s="331">
        <v>1226</v>
      </c>
      <c r="F71" s="331"/>
      <c r="G71" s="331"/>
      <c r="H71" s="331"/>
      <c r="I71" s="331"/>
      <c r="J71" s="331"/>
      <c r="K71" s="331"/>
      <c r="L71" s="331"/>
      <c r="M71" s="331">
        <v>987</v>
      </c>
      <c r="N71" s="331"/>
      <c r="O71" s="332">
        <f t="shared" si="0"/>
        <v>7358</v>
      </c>
      <c r="P71" s="343"/>
      <c r="Q71" s="330" t="s">
        <v>371</v>
      </c>
      <c r="R71" s="331">
        <f>38880+160</f>
        <v>39040</v>
      </c>
      <c r="S71" s="331">
        <f>9226+748+53+9</f>
        <v>10036</v>
      </c>
      <c r="T71" s="331">
        <f>21183+40</f>
        <v>21223</v>
      </c>
      <c r="U71" s="331">
        <v>4028</v>
      </c>
      <c r="V71" s="331">
        <v>0</v>
      </c>
      <c r="W71" s="331"/>
      <c r="X71" s="331">
        <f>2400+149+93-242</f>
        <v>2400</v>
      </c>
      <c r="Y71" s="331">
        <f>788+242</f>
        <v>1030</v>
      </c>
      <c r="Z71" s="332">
        <f t="shared" si="1"/>
        <v>73729</v>
      </c>
    </row>
    <row r="72" spans="1:26" ht="11.25" customHeight="1">
      <c r="A72" s="339"/>
      <c r="B72" s="330" t="s">
        <v>372</v>
      </c>
      <c r="C72" s="331">
        <f>4903+149+93</f>
        <v>5145</v>
      </c>
      <c r="D72" s="331">
        <v>3604</v>
      </c>
      <c r="E72" s="331">
        <v>1226</v>
      </c>
      <c r="F72" s="331"/>
      <c r="G72" s="331"/>
      <c r="H72" s="331"/>
      <c r="I72" s="331"/>
      <c r="J72" s="331"/>
      <c r="K72" s="331"/>
      <c r="L72" s="331"/>
      <c r="M72" s="331">
        <v>987</v>
      </c>
      <c r="N72" s="331"/>
      <c r="O72" s="332">
        <f t="shared" si="0"/>
        <v>7358</v>
      </c>
      <c r="P72" s="343"/>
      <c r="Q72" s="330" t="s">
        <v>372</v>
      </c>
      <c r="R72" s="331">
        <f>38880+160-83-515</f>
        <v>38442</v>
      </c>
      <c r="S72" s="331">
        <f>9226+748+53+9+83</f>
        <v>10119</v>
      </c>
      <c r="T72" s="331">
        <f>21183+40+37</f>
        <v>21260</v>
      </c>
      <c r="U72" s="331">
        <v>4028</v>
      </c>
      <c r="V72" s="331"/>
      <c r="W72" s="331"/>
      <c r="X72" s="331">
        <f>2400+149+93-242</f>
        <v>2400</v>
      </c>
      <c r="Y72" s="331">
        <f>788+242-37</f>
        <v>993</v>
      </c>
      <c r="Z72" s="332">
        <f t="shared" si="1"/>
        <v>73214</v>
      </c>
    </row>
    <row r="73" spans="1:26" ht="11.25" customHeight="1">
      <c r="A73" s="339"/>
      <c r="B73" s="330" t="s">
        <v>373</v>
      </c>
      <c r="C73" s="331">
        <f>4903+149+93</f>
        <v>5145</v>
      </c>
      <c r="D73" s="331">
        <v>3604</v>
      </c>
      <c r="E73" s="331">
        <v>1226</v>
      </c>
      <c r="F73" s="331"/>
      <c r="G73" s="331"/>
      <c r="H73" s="331"/>
      <c r="I73" s="331"/>
      <c r="J73" s="331"/>
      <c r="K73" s="331"/>
      <c r="L73" s="331"/>
      <c r="M73" s="331">
        <v>987</v>
      </c>
      <c r="N73" s="331"/>
      <c r="O73" s="332">
        <f t="shared" si="0"/>
        <v>7358</v>
      </c>
      <c r="P73" s="343"/>
      <c r="Q73" s="330" t="s">
        <v>373</v>
      </c>
      <c r="R73" s="331">
        <f>38880+160-83-515</f>
        <v>38442</v>
      </c>
      <c r="S73" s="331">
        <f>9226+748+53+9+83</f>
        <v>10119</v>
      </c>
      <c r="T73" s="331">
        <f>21183+40+37</f>
        <v>21260</v>
      </c>
      <c r="U73" s="331">
        <v>4028</v>
      </c>
      <c r="V73" s="331"/>
      <c r="W73" s="331"/>
      <c r="X73" s="331">
        <f>2400+149+93-242</f>
        <v>2400</v>
      </c>
      <c r="Y73" s="331">
        <f>788+242-37</f>
        <v>993</v>
      </c>
      <c r="Z73" s="332">
        <f t="shared" si="1"/>
        <v>73214</v>
      </c>
    </row>
    <row r="74" spans="1:26" ht="11.25" customHeight="1">
      <c r="A74" s="339"/>
      <c r="B74" s="330" t="s">
        <v>5</v>
      </c>
      <c r="C74" s="331">
        <v>6233</v>
      </c>
      <c r="D74" s="331">
        <v>3391</v>
      </c>
      <c r="E74" s="331">
        <v>1499</v>
      </c>
      <c r="F74" s="331"/>
      <c r="G74" s="331"/>
      <c r="H74" s="331"/>
      <c r="I74" s="331"/>
      <c r="J74" s="331"/>
      <c r="K74" s="331"/>
      <c r="L74" s="331"/>
      <c r="M74" s="331">
        <v>987</v>
      </c>
      <c r="N74" s="331"/>
      <c r="O74" s="332">
        <f t="shared" si="0"/>
        <v>8719</v>
      </c>
      <c r="P74" s="343"/>
      <c r="Q74" s="330" t="s">
        <v>5</v>
      </c>
      <c r="R74" s="331">
        <v>38372</v>
      </c>
      <c r="S74" s="331">
        <v>10119</v>
      </c>
      <c r="T74" s="331">
        <v>21259</v>
      </c>
      <c r="U74" s="331">
        <v>6090</v>
      </c>
      <c r="V74" s="331"/>
      <c r="W74" s="331"/>
      <c r="X74" s="331">
        <v>2324</v>
      </c>
      <c r="Y74" s="331">
        <v>989</v>
      </c>
      <c r="Z74" s="332">
        <f t="shared" si="1"/>
        <v>73063</v>
      </c>
    </row>
    <row r="75" spans="1:26" ht="11.25" customHeight="1">
      <c r="A75" s="329" t="s">
        <v>383</v>
      </c>
      <c r="B75" s="330" t="s">
        <v>3</v>
      </c>
      <c r="C75" s="331">
        <v>19326</v>
      </c>
      <c r="D75" s="331">
        <v>14348</v>
      </c>
      <c r="E75" s="331">
        <v>3723</v>
      </c>
      <c r="F75" s="331">
        <v>0</v>
      </c>
      <c r="G75" s="331">
        <v>0</v>
      </c>
      <c r="H75" s="331">
        <v>0</v>
      </c>
      <c r="I75" s="331">
        <v>0</v>
      </c>
      <c r="J75" s="331">
        <v>0</v>
      </c>
      <c r="K75" s="331"/>
      <c r="L75" s="331">
        <v>0</v>
      </c>
      <c r="M75" s="331">
        <v>0</v>
      </c>
      <c r="N75" s="331">
        <v>0</v>
      </c>
      <c r="O75" s="332">
        <f t="shared" si="0"/>
        <v>23049</v>
      </c>
      <c r="P75" s="333" t="s">
        <v>383</v>
      </c>
      <c r="Q75" s="330" t="s">
        <v>3</v>
      </c>
      <c r="R75" s="331">
        <v>166406</v>
      </c>
      <c r="S75" s="331">
        <v>43706</v>
      </c>
      <c r="T75" s="331">
        <f>71590-6</f>
        <v>71584</v>
      </c>
      <c r="U75" s="331">
        <v>31621</v>
      </c>
      <c r="V75" s="331">
        <v>3790</v>
      </c>
      <c r="W75" s="331"/>
      <c r="X75" s="331">
        <v>0</v>
      </c>
      <c r="Y75" s="331">
        <v>2400</v>
      </c>
      <c r="Z75" s="332">
        <f t="shared" si="1"/>
        <v>287886</v>
      </c>
    </row>
    <row r="76" spans="1:26" ht="11.25" customHeight="1">
      <c r="A76" s="329"/>
      <c r="B76" s="330" t="s">
        <v>369</v>
      </c>
      <c r="C76" s="331">
        <v>19326</v>
      </c>
      <c r="D76" s="331">
        <v>14348</v>
      </c>
      <c r="E76" s="331">
        <v>3723</v>
      </c>
      <c r="F76" s="331">
        <v>0</v>
      </c>
      <c r="G76" s="331">
        <v>0</v>
      </c>
      <c r="H76" s="331">
        <v>0</v>
      </c>
      <c r="I76" s="331">
        <v>0</v>
      </c>
      <c r="J76" s="331">
        <v>0</v>
      </c>
      <c r="K76" s="331"/>
      <c r="L76" s="331">
        <v>0</v>
      </c>
      <c r="M76" s="331">
        <v>2863</v>
      </c>
      <c r="N76" s="331">
        <v>0</v>
      </c>
      <c r="O76" s="332">
        <f t="shared" si="0"/>
        <v>25912</v>
      </c>
      <c r="P76" s="333"/>
      <c r="Q76" s="330" t="s">
        <v>369</v>
      </c>
      <c r="R76" s="331">
        <f>165976+7530+1102+420+119</f>
        <v>175147</v>
      </c>
      <c r="S76" s="331">
        <f>43590+2034+298+159+113+32</f>
        <v>46226</v>
      </c>
      <c r="T76" s="331">
        <f>71590-6+375+2291+39</f>
        <v>74289</v>
      </c>
      <c r="U76" s="331">
        <v>31621</v>
      </c>
      <c r="V76" s="331">
        <v>3790</v>
      </c>
      <c r="W76" s="331"/>
      <c r="X76" s="331">
        <v>0</v>
      </c>
      <c r="Y76" s="331">
        <v>2400</v>
      </c>
      <c r="Z76" s="332">
        <f t="shared" si="1"/>
        <v>301852</v>
      </c>
    </row>
    <row r="77" spans="1:26" ht="11.25" customHeight="1">
      <c r="A77" s="329"/>
      <c r="B77" s="330" t="s">
        <v>370</v>
      </c>
      <c r="C77" s="331">
        <f>19326+279</f>
        <v>19605</v>
      </c>
      <c r="D77" s="331">
        <v>14348</v>
      </c>
      <c r="E77" s="331">
        <v>3723</v>
      </c>
      <c r="F77" s="331">
        <v>0</v>
      </c>
      <c r="G77" s="331">
        <v>50</v>
      </c>
      <c r="H77" s="331">
        <v>0</v>
      </c>
      <c r="I77" s="331">
        <f>50+50+50+250+45+700</f>
        <v>1145</v>
      </c>
      <c r="J77" s="331">
        <v>0</v>
      </c>
      <c r="K77" s="331"/>
      <c r="L77" s="331">
        <v>0</v>
      </c>
      <c r="M77" s="331">
        <v>2863</v>
      </c>
      <c r="N77" s="331">
        <v>0</v>
      </c>
      <c r="O77" s="332">
        <f t="shared" si="0"/>
        <v>27386</v>
      </c>
      <c r="P77" s="333"/>
      <c r="Q77" s="330" t="s">
        <v>370</v>
      </c>
      <c r="R77" s="331">
        <f>175147+390-1003+615+375+197+30</f>
        <v>175751</v>
      </c>
      <c r="S77" s="331">
        <f>46226-271+166+53+9</f>
        <v>46183</v>
      </c>
      <c r="T77" s="331">
        <f>74289+158+50+50+50+50+45+661+50+279+2800</f>
        <v>78482</v>
      </c>
      <c r="U77" s="331">
        <v>31621</v>
      </c>
      <c r="V77" s="331">
        <v>3790</v>
      </c>
      <c r="W77" s="331"/>
      <c r="X77" s="331">
        <v>0</v>
      </c>
      <c r="Y77" s="331">
        <f>2400+3500</f>
        <v>5900</v>
      </c>
      <c r="Z77" s="332">
        <f t="shared" si="1"/>
        <v>310106</v>
      </c>
    </row>
    <row r="78" spans="1:26" ht="11.25" customHeight="1">
      <c r="A78" s="329"/>
      <c r="B78" s="330" t="s">
        <v>371</v>
      </c>
      <c r="C78" s="331">
        <f>19326+279+78+31</f>
        <v>19714</v>
      </c>
      <c r="D78" s="331">
        <v>14348</v>
      </c>
      <c r="E78" s="331">
        <v>3723</v>
      </c>
      <c r="F78" s="331"/>
      <c r="G78" s="331">
        <f>50+25</f>
        <v>75</v>
      </c>
      <c r="H78" s="331"/>
      <c r="I78" s="331">
        <f>50+50+50+250+45+700-45</f>
        <v>1100</v>
      </c>
      <c r="J78" s="331"/>
      <c r="K78" s="331"/>
      <c r="L78" s="331"/>
      <c r="M78" s="331">
        <v>2863</v>
      </c>
      <c r="N78" s="331"/>
      <c r="O78" s="332">
        <f t="shared" si="0"/>
        <v>27475</v>
      </c>
      <c r="P78" s="333"/>
      <c r="Q78" s="330" t="s">
        <v>371</v>
      </c>
      <c r="R78" s="331">
        <f>175147+390-1003+615+375+197+30-588</f>
        <v>175163</v>
      </c>
      <c r="S78" s="331">
        <f>46226-271+166+53+9-159</f>
        <v>46024</v>
      </c>
      <c r="T78" s="331">
        <f>74289+158+50+50+50+50+661+50+279+2800+78+31+25+45-45</f>
        <v>78571</v>
      </c>
      <c r="U78" s="331">
        <v>31621</v>
      </c>
      <c r="V78" s="331">
        <v>3790</v>
      </c>
      <c r="W78" s="331"/>
      <c r="X78" s="331"/>
      <c r="Y78" s="331">
        <f>2400+3500-400</f>
        <v>5500</v>
      </c>
      <c r="Z78" s="332">
        <f t="shared" si="1"/>
        <v>309048</v>
      </c>
    </row>
    <row r="79" spans="1:26" ht="11.25" customHeight="1">
      <c r="A79" s="329"/>
      <c r="B79" s="330" t="s">
        <v>372</v>
      </c>
      <c r="C79" s="331">
        <f>19326+279+78+31</f>
        <v>19714</v>
      </c>
      <c r="D79" s="331">
        <v>14348</v>
      </c>
      <c r="E79" s="331">
        <v>3723</v>
      </c>
      <c r="F79" s="331"/>
      <c r="G79" s="331">
        <f>50+25+4</f>
        <v>79</v>
      </c>
      <c r="H79" s="331"/>
      <c r="I79" s="331">
        <f>50+50+50+250+45+700-45+5214</f>
        <v>6314</v>
      </c>
      <c r="J79" s="331"/>
      <c r="K79" s="331"/>
      <c r="L79" s="331"/>
      <c r="M79" s="331">
        <v>2863</v>
      </c>
      <c r="N79" s="331"/>
      <c r="O79" s="332">
        <f t="shared" si="0"/>
        <v>32693</v>
      </c>
      <c r="P79" s="333"/>
      <c r="Q79" s="330" t="s">
        <v>372</v>
      </c>
      <c r="R79" s="331">
        <f>175147+390-1003+615+375+197+30-588+4852+475+359+1+1831</f>
        <v>182681</v>
      </c>
      <c r="S79" s="331">
        <f>46226-271+166+53+9-159+1041+248+252+494</f>
        <v>48059</v>
      </c>
      <c r="T79" s="331">
        <f>74289+158+50+50+50+50+661+50+279+2800+78+31+25+45-45+4+661+810+637+2889</f>
        <v>83572</v>
      </c>
      <c r="U79" s="331">
        <v>31621</v>
      </c>
      <c r="V79" s="331">
        <f>3790-661</f>
        <v>3129</v>
      </c>
      <c r="W79" s="331"/>
      <c r="X79" s="331">
        <v>1173</v>
      </c>
      <c r="Y79" s="331">
        <f>2400+3500-400-1173-810</f>
        <v>3517</v>
      </c>
      <c r="Z79" s="332">
        <f t="shared" si="1"/>
        <v>322131</v>
      </c>
    </row>
    <row r="80" spans="1:26" ht="11.25" customHeight="1">
      <c r="A80" s="329"/>
      <c r="B80" s="330" t="s">
        <v>373</v>
      </c>
      <c r="C80" s="331">
        <f>19326+279+78+31</f>
        <v>19714</v>
      </c>
      <c r="D80" s="331">
        <v>14348</v>
      </c>
      <c r="E80" s="331">
        <v>3723</v>
      </c>
      <c r="F80" s="331"/>
      <c r="G80" s="331">
        <f>50+25+4</f>
        <v>79</v>
      </c>
      <c r="H80" s="331"/>
      <c r="I80" s="331">
        <f>50+50+50+250+45+700-45+5214</f>
        <v>6314</v>
      </c>
      <c r="J80" s="331"/>
      <c r="K80" s="331"/>
      <c r="L80" s="331"/>
      <c r="M80" s="331">
        <v>2863</v>
      </c>
      <c r="N80" s="331"/>
      <c r="O80" s="332">
        <f t="shared" si="0"/>
        <v>32693</v>
      </c>
      <c r="P80" s="333"/>
      <c r="Q80" s="330" t="s">
        <v>373</v>
      </c>
      <c r="R80" s="331">
        <f>175147+390-1003+615+375+197+30-588+4852+475+359+1+1831</f>
        <v>182681</v>
      </c>
      <c r="S80" s="331">
        <f>46226-271+166+53+9-159+1041+248+252+494</f>
        <v>48059</v>
      </c>
      <c r="T80" s="331">
        <f>74289+158+50+50+50+50+661+50+279+2800+78+31+25+45-45+4+661+810+637+2889</f>
        <v>83572</v>
      </c>
      <c r="U80" s="331">
        <v>31621</v>
      </c>
      <c r="V80" s="331">
        <f>3790-661</f>
        <v>3129</v>
      </c>
      <c r="W80" s="331"/>
      <c r="X80" s="331">
        <v>1173</v>
      </c>
      <c r="Y80" s="331">
        <f>2400+3500-400-1173-810</f>
        <v>3517</v>
      </c>
      <c r="Z80" s="332">
        <f t="shared" si="1"/>
        <v>322131</v>
      </c>
    </row>
    <row r="81" spans="1:26" ht="11.25" customHeight="1">
      <c r="A81" s="329"/>
      <c r="B81" s="330" t="s">
        <v>5</v>
      </c>
      <c r="C81" s="331">
        <v>16210</v>
      </c>
      <c r="D81" s="331">
        <v>11804</v>
      </c>
      <c r="E81" s="331">
        <v>3058</v>
      </c>
      <c r="F81" s="331"/>
      <c r="G81" s="331">
        <v>79</v>
      </c>
      <c r="H81" s="331"/>
      <c r="I81" s="331">
        <v>3459</v>
      </c>
      <c r="J81" s="331"/>
      <c r="K81" s="331"/>
      <c r="L81" s="331"/>
      <c r="M81" s="331">
        <v>2863</v>
      </c>
      <c r="N81" s="331"/>
      <c r="O81" s="332">
        <f t="shared" si="0"/>
        <v>25669</v>
      </c>
      <c r="P81" s="333"/>
      <c r="Q81" s="330" t="s">
        <v>5</v>
      </c>
      <c r="R81" s="331">
        <v>180851</v>
      </c>
      <c r="S81" s="331">
        <v>47565</v>
      </c>
      <c r="T81" s="331">
        <v>80682</v>
      </c>
      <c r="U81" s="331">
        <v>32449</v>
      </c>
      <c r="V81" s="331">
        <v>3093</v>
      </c>
      <c r="W81" s="331">
        <v>36</v>
      </c>
      <c r="X81" s="331">
        <v>1173</v>
      </c>
      <c r="Y81" s="331">
        <v>3516</v>
      </c>
      <c r="Z81" s="332">
        <f t="shared" si="1"/>
        <v>316916</v>
      </c>
    </row>
    <row r="82" spans="1:26" ht="11.25" customHeight="1">
      <c r="A82" s="333" t="s">
        <v>384</v>
      </c>
      <c r="B82" s="330" t="s">
        <v>3</v>
      </c>
      <c r="C82" s="331">
        <v>0</v>
      </c>
      <c r="D82" s="331">
        <v>0</v>
      </c>
      <c r="E82" s="331">
        <v>0</v>
      </c>
      <c r="F82" s="331">
        <v>0</v>
      </c>
      <c r="G82" s="331">
        <v>0</v>
      </c>
      <c r="H82" s="331">
        <v>0</v>
      </c>
      <c r="I82" s="331">
        <v>0</v>
      </c>
      <c r="J82" s="331">
        <v>0</v>
      </c>
      <c r="K82" s="331"/>
      <c r="L82" s="331">
        <v>0</v>
      </c>
      <c r="M82" s="331">
        <v>0</v>
      </c>
      <c r="N82" s="331">
        <v>0</v>
      </c>
      <c r="O82" s="332">
        <f t="shared" si="0"/>
        <v>0</v>
      </c>
      <c r="P82" s="333" t="s">
        <v>384</v>
      </c>
      <c r="Q82" s="330" t="s">
        <v>3</v>
      </c>
      <c r="R82" s="331">
        <v>20102</v>
      </c>
      <c r="S82" s="331">
        <v>5218</v>
      </c>
      <c r="T82" s="331">
        <f>2624-17</f>
        <v>2607</v>
      </c>
      <c r="U82" s="331">
        <v>0</v>
      </c>
      <c r="V82" s="331">
        <v>0</v>
      </c>
      <c r="W82" s="331"/>
      <c r="X82" s="331">
        <v>0</v>
      </c>
      <c r="Y82" s="331">
        <v>0</v>
      </c>
      <c r="Z82" s="332">
        <f t="shared" si="1"/>
        <v>27927</v>
      </c>
    </row>
    <row r="83" spans="1:26" ht="11.25" customHeight="1">
      <c r="A83" s="333"/>
      <c r="B83" s="330" t="s">
        <v>369</v>
      </c>
      <c r="C83" s="331">
        <v>0</v>
      </c>
      <c r="D83" s="331">
        <v>0</v>
      </c>
      <c r="E83" s="331">
        <v>0</v>
      </c>
      <c r="F83" s="331">
        <v>0</v>
      </c>
      <c r="G83" s="331">
        <v>0</v>
      </c>
      <c r="H83" s="331">
        <v>0</v>
      </c>
      <c r="I83" s="331">
        <v>0</v>
      </c>
      <c r="J83" s="331">
        <v>0</v>
      </c>
      <c r="K83" s="331"/>
      <c r="L83" s="331">
        <v>0</v>
      </c>
      <c r="M83" s="331">
        <v>1731</v>
      </c>
      <c r="N83" s="331">
        <v>0</v>
      </c>
      <c r="O83" s="332">
        <f t="shared" si="0"/>
        <v>1731</v>
      </c>
      <c r="P83" s="333"/>
      <c r="Q83" s="330" t="s">
        <v>369</v>
      </c>
      <c r="R83" s="331">
        <f>20532+36</f>
        <v>20568</v>
      </c>
      <c r="S83" s="331">
        <f>5334+10</f>
        <v>5344</v>
      </c>
      <c r="T83" s="331">
        <f>2624-17+1135+550</f>
        <v>4292</v>
      </c>
      <c r="U83" s="331">
        <v>0</v>
      </c>
      <c r="V83" s="331">
        <v>0</v>
      </c>
      <c r="W83" s="331"/>
      <c r="X83" s="331">
        <v>0</v>
      </c>
      <c r="Y83" s="331">
        <v>0</v>
      </c>
      <c r="Z83" s="332">
        <f t="shared" si="1"/>
        <v>30204</v>
      </c>
    </row>
    <row r="84" spans="1:26" ht="11.25" customHeight="1">
      <c r="A84" s="333"/>
      <c r="B84" s="330" t="s">
        <v>370</v>
      </c>
      <c r="C84" s="331">
        <v>0</v>
      </c>
      <c r="D84" s="331">
        <v>0</v>
      </c>
      <c r="E84" s="331">
        <v>0</v>
      </c>
      <c r="F84" s="331">
        <v>0</v>
      </c>
      <c r="G84" s="331">
        <v>0</v>
      </c>
      <c r="H84" s="331">
        <v>0</v>
      </c>
      <c r="I84" s="331">
        <f>2970+194+400</f>
        <v>3564</v>
      </c>
      <c r="J84" s="331">
        <v>0</v>
      </c>
      <c r="K84" s="331"/>
      <c r="L84" s="331">
        <v>0</v>
      </c>
      <c r="M84" s="331">
        <v>1731</v>
      </c>
      <c r="N84" s="331">
        <v>0</v>
      </c>
      <c r="O84" s="332">
        <f t="shared" si="0"/>
        <v>5295</v>
      </c>
      <c r="P84" s="333"/>
      <c r="Q84" s="330" t="s">
        <v>370</v>
      </c>
      <c r="R84" s="331">
        <f>20568+10-1391+250</f>
        <v>19437</v>
      </c>
      <c r="S84" s="331">
        <f>5344-376</f>
        <v>4968</v>
      </c>
      <c r="T84" s="331">
        <f>4292+3+1391+376+2970+194+400+240</f>
        <v>9866</v>
      </c>
      <c r="U84" s="331">
        <v>0</v>
      </c>
      <c r="V84" s="331">
        <v>0</v>
      </c>
      <c r="W84" s="331"/>
      <c r="X84" s="331">
        <v>0</v>
      </c>
      <c r="Y84" s="331">
        <v>0</v>
      </c>
      <c r="Z84" s="332">
        <f t="shared" si="1"/>
        <v>34271</v>
      </c>
    </row>
    <row r="85" spans="1:26" ht="11.25" customHeight="1">
      <c r="A85" s="333"/>
      <c r="B85" s="330" t="s">
        <v>371</v>
      </c>
      <c r="C85" s="331">
        <v>0</v>
      </c>
      <c r="D85" s="331"/>
      <c r="E85" s="331"/>
      <c r="F85" s="331"/>
      <c r="G85" s="331">
        <v>6</v>
      </c>
      <c r="H85" s="331"/>
      <c r="I85" s="331">
        <f>2970+194+400-2970-194-400</f>
        <v>0</v>
      </c>
      <c r="J85" s="331"/>
      <c r="K85" s="331"/>
      <c r="L85" s="331"/>
      <c r="M85" s="331">
        <v>1731</v>
      </c>
      <c r="N85" s="331"/>
      <c r="O85" s="332">
        <f t="shared" si="0"/>
        <v>1737</v>
      </c>
      <c r="P85" s="333"/>
      <c r="Q85" s="330" t="s">
        <v>371</v>
      </c>
      <c r="R85" s="331">
        <f>20568+10-1391+250+5+588</f>
        <v>20030</v>
      </c>
      <c r="S85" s="331">
        <f>5344-376+1+159</f>
        <v>5128</v>
      </c>
      <c r="T85" s="331">
        <f>4292+3+1391+376+240+2970+194+400-2970-194-400</f>
        <v>6302</v>
      </c>
      <c r="U85" s="331">
        <v>0</v>
      </c>
      <c r="V85" s="331">
        <v>0</v>
      </c>
      <c r="W85" s="331"/>
      <c r="X85" s="331">
        <v>0</v>
      </c>
      <c r="Y85" s="331">
        <v>0</v>
      </c>
      <c r="Z85" s="332">
        <f>SUM(R85:Y85)-U85</f>
        <v>31460</v>
      </c>
    </row>
    <row r="86" spans="1:26" ht="11.25" customHeight="1">
      <c r="A86" s="333"/>
      <c r="B86" s="330" t="s">
        <v>372</v>
      </c>
      <c r="C86" s="331">
        <v>0</v>
      </c>
      <c r="D86" s="331"/>
      <c r="E86" s="331"/>
      <c r="F86" s="331"/>
      <c r="G86" s="331">
        <f>6+5</f>
        <v>11</v>
      </c>
      <c r="H86" s="331"/>
      <c r="I86" s="331"/>
      <c r="J86" s="331"/>
      <c r="K86" s="331"/>
      <c r="L86" s="331"/>
      <c r="M86" s="331">
        <v>1731</v>
      </c>
      <c r="N86" s="331"/>
      <c r="O86" s="332">
        <f t="shared" si="0"/>
        <v>1742</v>
      </c>
      <c r="P86" s="333"/>
      <c r="Q86" s="330" t="s">
        <v>372</v>
      </c>
      <c r="R86" s="331">
        <f>20568+10-1391+250+5+588+4-475</f>
        <v>19559</v>
      </c>
      <c r="S86" s="331">
        <f>5344-376+1+159+1</f>
        <v>5129</v>
      </c>
      <c r="T86" s="331">
        <f>4292+3+1391+376+240+2970+194+400-2970-194-400-500</f>
        <v>5802</v>
      </c>
      <c r="U86" s="331"/>
      <c r="V86" s="331"/>
      <c r="W86" s="331"/>
      <c r="X86" s="331"/>
      <c r="Y86" s="331"/>
      <c r="Z86" s="332">
        <f>SUM(R86:Y86)-U86</f>
        <v>30490</v>
      </c>
    </row>
    <row r="87" spans="1:26" ht="11.25" customHeight="1">
      <c r="A87" s="333"/>
      <c r="B87" s="330" t="s">
        <v>373</v>
      </c>
      <c r="C87" s="331">
        <v>0</v>
      </c>
      <c r="D87" s="331"/>
      <c r="E87" s="331"/>
      <c r="F87" s="331"/>
      <c r="G87" s="331">
        <f>6+5</f>
        <v>11</v>
      </c>
      <c r="H87" s="331"/>
      <c r="I87" s="331"/>
      <c r="J87" s="331"/>
      <c r="K87" s="331"/>
      <c r="L87" s="331"/>
      <c r="M87" s="331">
        <v>1731</v>
      </c>
      <c r="N87" s="331"/>
      <c r="O87" s="332">
        <f t="shared" si="0"/>
        <v>1742</v>
      </c>
      <c r="P87" s="333"/>
      <c r="Q87" s="330" t="s">
        <v>373</v>
      </c>
      <c r="R87" s="331">
        <f>20568+10-1391+250+5+588+4-475</f>
        <v>19559</v>
      </c>
      <c r="S87" s="331">
        <f>5344-376+1+159+1</f>
        <v>5129</v>
      </c>
      <c r="T87" s="331">
        <f>4292+3+1391+376+240+2970+194+400-2970-194-400-500</f>
        <v>5802</v>
      </c>
      <c r="U87" s="331"/>
      <c r="V87" s="331"/>
      <c r="W87" s="331"/>
      <c r="X87" s="331"/>
      <c r="Y87" s="331"/>
      <c r="Z87" s="332">
        <f>SUM(R87:Y87)-U87</f>
        <v>30490</v>
      </c>
    </row>
    <row r="88" spans="1:26" ht="11.25" customHeight="1">
      <c r="A88" s="333"/>
      <c r="B88" s="330" t="s">
        <v>5</v>
      </c>
      <c r="C88" s="331">
        <f>42-8</f>
        <v>34</v>
      </c>
      <c r="D88" s="331"/>
      <c r="E88" s="331">
        <v>8</v>
      </c>
      <c r="F88" s="331"/>
      <c r="G88" s="331">
        <v>11</v>
      </c>
      <c r="H88" s="331"/>
      <c r="I88" s="331"/>
      <c r="J88" s="331"/>
      <c r="K88" s="331"/>
      <c r="L88" s="331"/>
      <c r="M88" s="331">
        <v>1731</v>
      </c>
      <c r="N88" s="331"/>
      <c r="O88" s="332">
        <f t="shared" si="0"/>
        <v>1784</v>
      </c>
      <c r="P88" s="333"/>
      <c r="Q88" s="330" t="s">
        <v>5</v>
      </c>
      <c r="R88" s="331">
        <v>19558</v>
      </c>
      <c r="S88" s="331">
        <v>5113</v>
      </c>
      <c r="T88" s="331">
        <v>5802</v>
      </c>
      <c r="U88" s="331"/>
      <c r="V88" s="331"/>
      <c r="W88" s="331"/>
      <c r="X88" s="331"/>
      <c r="Y88" s="331"/>
      <c r="Z88" s="332">
        <f>SUM(R88:Y88)-U88</f>
        <v>30473</v>
      </c>
    </row>
    <row r="89" spans="1:26" ht="11.25" customHeight="1">
      <c r="A89" s="333" t="s">
        <v>385</v>
      </c>
      <c r="B89" s="330" t="s">
        <v>3</v>
      </c>
      <c r="C89" s="331">
        <v>8021</v>
      </c>
      <c r="D89" s="331">
        <v>7351</v>
      </c>
      <c r="E89" s="331">
        <v>1963</v>
      </c>
      <c r="F89" s="331">
        <v>0</v>
      </c>
      <c r="G89" s="331">
        <v>0</v>
      </c>
      <c r="H89" s="331">
        <v>0</v>
      </c>
      <c r="I89" s="331">
        <v>0</v>
      </c>
      <c r="J89" s="331">
        <v>0</v>
      </c>
      <c r="K89" s="331"/>
      <c r="L89" s="331">
        <v>0</v>
      </c>
      <c r="M89" s="331">
        <v>0</v>
      </c>
      <c r="N89" s="331">
        <v>0</v>
      </c>
      <c r="O89" s="332">
        <f t="shared" si="0"/>
        <v>9984</v>
      </c>
      <c r="P89" s="333" t="s">
        <v>385</v>
      </c>
      <c r="Q89" s="330" t="s">
        <v>3</v>
      </c>
      <c r="R89" s="331">
        <v>42695</v>
      </c>
      <c r="S89" s="331">
        <v>11251</v>
      </c>
      <c r="T89" s="331">
        <v>25598</v>
      </c>
      <c r="U89" s="331">
        <v>15195</v>
      </c>
      <c r="V89" s="331">
        <v>945</v>
      </c>
      <c r="W89" s="331"/>
      <c r="X89" s="331">
        <v>0</v>
      </c>
      <c r="Y89" s="331">
        <v>0</v>
      </c>
      <c r="Z89" s="332">
        <f t="shared" si="1"/>
        <v>80489</v>
      </c>
    </row>
    <row r="90" spans="1:26" ht="11.25" customHeight="1">
      <c r="A90" s="333"/>
      <c r="B90" s="330" t="s">
        <v>369</v>
      </c>
      <c r="C90" s="331">
        <v>8021</v>
      </c>
      <c r="D90" s="331">
        <v>7351</v>
      </c>
      <c r="E90" s="331">
        <v>1963</v>
      </c>
      <c r="F90" s="331">
        <v>0</v>
      </c>
      <c r="G90" s="331">
        <v>0</v>
      </c>
      <c r="H90" s="331">
        <v>0</v>
      </c>
      <c r="I90" s="331">
        <v>0</v>
      </c>
      <c r="J90" s="331">
        <v>0</v>
      </c>
      <c r="K90" s="331"/>
      <c r="L90" s="331">
        <v>0</v>
      </c>
      <c r="M90" s="331">
        <v>0</v>
      </c>
      <c r="N90" s="331">
        <v>0</v>
      </c>
      <c r="O90" s="332">
        <f t="shared" si="0"/>
        <v>9984</v>
      </c>
      <c r="P90" s="333"/>
      <c r="Q90" s="330" t="s">
        <v>369</v>
      </c>
      <c r="R90" s="331">
        <f>42695+1936+1030</f>
        <v>45661</v>
      </c>
      <c r="S90" s="331">
        <f>11251+523+278+41</f>
        <v>12093</v>
      </c>
      <c r="T90" s="331">
        <f>25598+225</f>
        <v>25823</v>
      </c>
      <c r="U90" s="331">
        <v>15195</v>
      </c>
      <c r="V90" s="331">
        <v>945</v>
      </c>
      <c r="W90" s="331"/>
      <c r="X90" s="331">
        <v>750</v>
      </c>
      <c r="Y90" s="331">
        <v>0</v>
      </c>
      <c r="Z90" s="332">
        <f t="shared" si="1"/>
        <v>85272</v>
      </c>
    </row>
    <row r="91" spans="1:26" ht="11.25" customHeight="1">
      <c r="A91" s="333"/>
      <c r="B91" s="330" t="s">
        <v>370</v>
      </c>
      <c r="C91" s="331">
        <f>8021+495+8</f>
        <v>8524</v>
      </c>
      <c r="D91" s="331">
        <v>7351</v>
      </c>
      <c r="E91" s="331">
        <v>1963</v>
      </c>
      <c r="F91" s="331">
        <v>0</v>
      </c>
      <c r="G91" s="331">
        <v>0</v>
      </c>
      <c r="H91" s="331">
        <v>0</v>
      </c>
      <c r="I91" s="331">
        <v>165</v>
      </c>
      <c r="J91" s="331">
        <v>0</v>
      </c>
      <c r="K91" s="331"/>
      <c r="L91" s="331">
        <v>0</v>
      </c>
      <c r="M91" s="331">
        <v>0</v>
      </c>
      <c r="N91" s="331">
        <v>0</v>
      </c>
      <c r="O91" s="332">
        <f t="shared" si="0"/>
        <v>10652</v>
      </c>
      <c r="P91" s="333"/>
      <c r="Q91" s="330" t="s">
        <v>370</v>
      </c>
      <c r="R91" s="331">
        <f>45661+390+130+29+1003+158+131</f>
        <v>47502</v>
      </c>
      <c r="S91" s="331">
        <f>12093+105+8+271+43+34</f>
        <v>12554</v>
      </c>
      <c r="T91" s="331">
        <f>25823+8+33+50</f>
        <v>25914</v>
      </c>
      <c r="U91" s="331">
        <v>15195</v>
      </c>
      <c r="V91" s="331">
        <v>945</v>
      </c>
      <c r="W91" s="331"/>
      <c r="X91" s="331">
        <v>750</v>
      </c>
      <c r="Y91" s="331">
        <v>0</v>
      </c>
      <c r="Z91" s="332">
        <f t="shared" si="1"/>
        <v>87665</v>
      </c>
    </row>
    <row r="92" spans="1:26" ht="11.25" customHeight="1">
      <c r="A92" s="333"/>
      <c r="B92" s="330" t="s">
        <v>371</v>
      </c>
      <c r="C92" s="331">
        <f>8021+495+8+19+37</f>
        <v>8580</v>
      </c>
      <c r="D92" s="331">
        <v>7351</v>
      </c>
      <c r="E92" s="331">
        <v>1963</v>
      </c>
      <c r="F92" s="331"/>
      <c r="G92" s="331"/>
      <c r="H92" s="331"/>
      <c r="I92" s="331">
        <v>165</v>
      </c>
      <c r="J92" s="331"/>
      <c r="K92" s="331"/>
      <c r="L92" s="331"/>
      <c r="M92" s="331"/>
      <c r="N92" s="331"/>
      <c r="O92" s="332">
        <f t="shared" si="0"/>
        <v>10708</v>
      </c>
      <c r="P92" s="333"/>
      <c r="Q92" s="330" t="s">
        <v>371</v>
      </c>
      <c r="R92" s="331">
        <f>45661+390+130+29+1003+158+131-450</f>
        <v>47052</v>
      </c>
      <c r="S92" s="331">
        <f>12093+105+8+271+43+34</f>
        <v>12554</v>
      </c>
      <c r="T92" s="331">
        <f>25823+8+33+50+19+450</f>
        <v>26383</v>
      </c>
      <c r="U92" s="331">
        <v>15195</v>
      </c>
      <c r="V92" s="331">
        <v>945</v>
      </c>
      <c r="W92" s="331"/>
      <c r="X92" s="331">
        <f>750</f>
        <v>750</v>
      </c>
      <c r="Y92" s="331">
        <f>400</f>
        <v>400</v>
      </c>
      <c r="Z92" s="332">
        <f t="shared" si="1"/>
        <v>88084</v>
      </c>
    </row>
    <row r="93" spans="1:26" ht="11.25" customHeight="1">
      <c r="A93" s="333"/>
      <c r="B93" s="330" t="s">
        <v>372</v>
      </c>
      <c r="C93" s="331">
        <f>8021+495+8+19+37</f>
        <v>8580</v>
      </c>
      <c r="D93" s="331">
        <v>7351</v>
      </c>
      <c r="E93" s="331">
        <v>1963</v>
      </c>
      <c r="F93" s="331"/>
      <c r="G93" s="331"/>
      <c r="H93" s="331"/>
      <c r="I93" s="331">
        <v>165</v>
      </c>
      <c r="J93" s="331"/>
      <c r="K93" s="331"/>
      <c r="L93" s="331"/>
      <c r="M93" s="331"/>
      <c r="N93" s="331"/>
      <c r="O93" s="332">
        <f t="shared" si="0"/>
        <v>10708</v>
      </c>
      <c r="P93" s="333"/>
      <c r="Q93" s="330" t="s">
        <v>372</v>
      </c>
      <c r="R93" s="331">
        <f>45661+390+130+29+1003+158+131-450+515</f>
        <v>47567</v>
      </c>
      <c r="S93" s="331">
        <f>12093+105+8+271+43+34-248</f>
        <v>12306</v>
      </c>
      <c r="T93" s="331">
        <f>25823+8+33+50+19+450+116+750+400+1025+500</f>
        <v>29174</v>
      </c>
      <c r="U93" s="331">
        <v>15195</v>
      </c>
      <c r="V93" s="331">
        <f>945-116</f>
        <v>829</v>
      </c>
      <c r="W93" s="331"/>
      <c r="X93" s="331">
        <f>750-750</f>
        <v>0</v>
      </c>
      <c r="Y93" s="331">
        <f>400-400</f>
        <v>0</v>
      </c>
      <c r="Z93" s="332">
        <f t="shared" si="1"/>
        <v>89876</v>
      </c>
    </row>
    <row r="94" spans="1:26" ht="11.25" customHeight="1">
      <c r="A94" s="333"/>
      <c r="B94" s="330" t="s">
        <v>373</v>
      </c>
      <c r="C94" s="331">
        <f>8021+495+8+19+37</f>
        <v>8580</v>
      </c>
      <c r="D94" s="331">
        <v>7351</v>
      </c>
      <c r="E94" s="331">
        <v>1963</v>
      </c>
      <c r="F94" s="331"/>
      <c r="G94" s="331"/>
      <c r="H94" s="331"/>
      <c r="I94" s="331">
        <v>165</v>
      </c>
      <c r="J94" s="331"/>
      <c r="K94" s="331"/>
      <c r="L94" s="331"/>
      <c r="M94" s="331"/>
      <c r="N94" s="331"/>
      <c r="O94" s="332">
        <f t="shared" si="0"/>
        <v>10708</v>
      </c>
      <c r="P94" s="333"/>
      <c r="Q94" s="330" t="s">
        <v>373</v>
      </c>
      <c r="R94" s="331">
        <f>45661+390+130+29+1003+158+131-450+515</f>
        <v>47567</v>
      </c>
      <c r="S94" s="331">
        <f>12093+105+8+271+43+34-248</f>
        <v>12306</v>
      </c>
      <c r="T94" s="331">
        <f>25823+8+33+50+19+450+116+750+400+1025+500</f>
        <v>29174</v>
      </c>
      <c r="U94" s="331">
        <v>15195</v>
      </c>
      <c r="V94" s="331">
        <f>945-116</f>
        <v>829</v>
      </c>
      <c r="W94" s="331"/>
      <c r="X94" s="331">
        <f>750-750</f>
        <v>0</v>
      </c>
      <c r="Y94" s="331">
        <f>400-400</f>
        <v>0</v>
      </c>
      <c r="Z94" s="332">
        <f t="shared" si="1"/>
        <v>89876</v>
      </c>
    </row>
    <row r="95" spans="1:26" ht="11.25" customHeight="1">
      <c r="A95" s="333"/>
      <c r="B95" s="330" t="s">
        <v>5</v>
      </c>
      <c r="C95" s="331">
        <v>8541</v>
      </c>
      <c r="D95" s="331">
        <v>7062</v>
      </c>
      <c r="E95" s="331">
        <v>2065</v>
      </c>
      <c r="F95" s="331"/>
      <c r="G95" s="331"/>
      <c r="H95" s="331"/>
      <c r="I95" s="331">
        <v>165</v>
      </c>
      <c r="J95" s="331"/>
      <c r="K95" s="331"/>
      <c r="L95" s="331"/>
      <c r="M95" s="331"/>
      <c r="N95" s="331"/>
      <c r="O95" s="332">
        <f t="shared" si="0"/>
        <v>10771</v>
      </c>
      <c r="P95" s="333"/>
      <c r="Q95" s="330" t="s">
        <v>5</v>
      </c>
      <c r="R95" s="331">
        <v>47566</v>
      </c>
      <c r="S95" s="331">
        <v>12306</v>
      </c>
      <c r="T95" s="331">
        <v>29173</v>
      </c>
      <c r="U95" s="331">
        <v>17360</v>
      </c>
      <c r="V95" s="331">
        <v>829</v>
      </c>
      <c r="W95" s="331"/>
      <c r="X95" s="331"/>
      <c r="Y95" s="331"/>
      <c r="Z95" s="332">
        <f t="shared" si="1"/>
        <v>89874</v>
      </c>
    </row>
    <row r="96" spans="1:26" ht="11.25" customHeight="1">
      <c r="A96" s="344" t="s">
        <v>386</v>
      </c>
      <c r="B96" s="330" t="s">
        <v>3</v>
      </c>
      <c r="C96" s="331">
        <v>1966</v>
      </c>
      <c r="D96" s="331">
        <v>1966</v>
      </c>
      <c r="E96" s="331">
        <v>492</v>
      </c>
      <c r="F96" s="331">
        <v>0</v>
      </c>
      <c r="G96" s="331">
        <v>0</v>
      </c>
      <c r="H96" s="331">
        <v>0</v>
      </c>
      <c r="I96" s="331">
        <v>0</v>
      </c>
      <c r="J96" s="331">
        <v>0</v>
      </c>
      <c r="K96" s="331"/>
      <c r="L96" s="331">
        <v>0</v>
      </c>
      <c r="M96" s="331">
        <v>0</v>
      </c>
      <c r="N96" s="331">
        <v>0</v>
      </c>
      <c r="O96" s="332">
        <f t="shared" si="0"/>
        <v>2458</v>
      </c>
      <c r="P96" s="344" t="s">
        <v>386</v>
      </c>
      <c r="Q96" s="330" t="s">
        <v>3</v>
      </c>
      <c r="R96" s="331">
        <v>33490</v>
      </c>
      <c r="S96" s="331">
        <v>8793</v>
      </c>
      <c r="T96" s="331">
        <v>12562</v>
      </c>
      <c r="U96" s="331">
        <v>4230</v>
      </c>
      <c r="V96" s="331">
        <v>637</v>
      </c>
      <c r="W96" s="331"/>
      <c r="X96" s="331">
        <v>0</v>
      </c>
      <c r="Y96" s="331">
        <v>0</v>
      </c>
      <c r="Z96" s="332">
        <f t="shared" si="1"/>
        <v>55482</v>
      </c>
    </row>
    <row r="97" spans="1:26" ht="11.25" customHeight="1">
      <c r="A97" s="344"/>
      <c r="B97" s="330" t="s">
        <v>369</v>
      </c>
      <c r="C97" s="331">
        <v>1966</v>
      </c>
      <c r="D97" s="331">
        <v>1966</v>
      </c>
      <c r="E97" s="331">
        <v>492</v>
      </c>
      <c r="F97" s="331">
        <v>0</v>
      </c>
      <c r="G97" s="331">
        <v>0</v>
      </c>
      <c r="H97" s="331">
        <v>0</v>
      </c>
      <c r="I97" s="331">
        <v>0</v>
      </c>
      <c r="J97" s="331">
        <v>0</v>
      </c>
      <c r="K97" s="331"/>
      <c r="L97" s="331">
        <v>0</v>
      </c>
      <c r="M97" s="331">
        <v>102</v>
      </c>
      <c r="N97" s="331">
        <v>0</v>
      </c>
      <c r="O97" s="332">
        <f t="shared" si="0"/>
        <v>2560</v>
      </c>
      <c r="P97" s="344"/>
      <c r="Q97" s="330" t="s">
        <v>369</v>
      </c>
      <c r="R97" s="331">
        <f>33490+1291+72</f>
        <v>34853</v>
      </c>
      <c r="S97" s="331">
        <f>8793+348+27+19</f>
        <v>9187</v>
      </c>
      <c r="T97" s="331">
        <f>12562+11</f>
        <v>12573</v>
      </c>
      <c r="U97" s="331">
        <v>4230</v>
      </c>
      <c r="V97" s="331">
        <v>637</v>
      </c>
      <c r="W97" s="331"/>
      <c r="X97" s="331">
        <v>0</v>
      </c>
      <c r="Y97" s="331">
        <v>0</v>
      </c>
      <c r="Z97" s="332">
        <f t="shared" si="1"/>
        <v>57250</v>
      </c>
    </row>
    <row r="98" spans="1:26" ht="11.25" customHeight="1">
      <c r="A98" s="344"/>
      <c r="B98" s="330" t="s">
        <v>370</v>
      </c>
      <c r="C98" s="331">
        <v>1966</v>
      </c>
      <c r="D98" s="331">
        <v>1966</v>
      </c>
      <c r="E98" s="331">
        <v>492</v>
      </c>
      <c r="F98" s="331">
        <v>0</v>
      </c>
      <c r="G98" s="331">
        <v>0</v>
      </c>
      <c r="H98" s="331">
        <v>0</v>
      </c>
      <c r="I98" s="331">
        <f>166+562+40</f>
        <v>768</v>
      </c>
      <c r="J98" s="331">
        <v>0</v>
      </c>
      <c r="K98" s="331"/>
      <c r="L98" s="331">
        <v>0</v>
      </c>
      <c r="M98" s="331">
        <v>102</v>
      </c>
      <c r="N98" s="331">
        <v>0</v>
      </c>
      <c r="O98" s="332">
        <f t="shared" si="0"/>
        <v>3328</v>
      </c>
      <c r="P98" s="344"/>
      <c r="Q98" s="330" t="s">
        <v>370</v>
      </c>
      <c r="R98" s="331">
        <f>34853+90+627+159+131+443</f>
        <v>36303</v>
      </c>
      <c r="S98" s="331">
        <f>9187+169+43+35+119</f>
        <v>9553</v>
      </c>
      <c r="T98" s="331">
        <f>12573+22+40</f>
        <v>12635</v>
      </c>
      <c r="U98" s="331">
        <v>4230</v>
      </c>
      <c r="V98" s="331">
        <v>637</v>
      </c>
      <c r="W98" s="331"/>
      <c r="X98" s="331">
        <v>0</v>
      </c>
      <c r="Y98" s="331">
        <v>0</v>
      </c>
      <c r="Z98" s="332">
        <f t="shared" si="1"/>
        <v>59128</v>
      </c>
    </row>
    <row r="99" spans="1:26" ht="11.25" customHeight="1">
      <c r="A99" s="344"/>
      <c r="B99" s="330" t="s">
        <v>371</v>
      </c>
      <c r="C99" s="331">
        <v>1966</v>
      </c>
      <c r="D99" s="331">
        <v>1966</v>
      </c>
      <c r="E99" s="331">
        <v>492</v>
      </c>
      <c r="F99" s="331"/>
      <c r="G99" s="331"/>
      <c r="H99" s="331"/>
      <c r="I99" s="331">
        <f>166+562+40</f>
        <v>768</v>
      </c>
      <c r="J99" s="331"/>
      <c r="K99" s="331"/>
      <c r="L99" s="331"/>
      <c r="M99" s="331">
        <v>102</v>
      </c>
      <c r="N99" s="331"/>
      <c r="O99" s="332">
        <f t="shared" si="0"/>
        <v>3328</v>
      </c>
      <c r="P99" s="344"/>
      <c r="Q99" s="330" t="s">
        <v>371</v>
      </c>
      <c r="R99" s="331">
        <f>34853+90+627+159+131+443-774</f>
        <v>35529</v>
      </c>
      <c r="S99" s="331">
        <f>9187+169+43+35+119</f>
        <v>9553</v>
      </c>
      <c r="T99" s="331">
        <f>12573+22+40+774</f>
        <v>13409</v>
      </c>
      <c r="U99" s="331">
        <v>4230</v>
      </c>
      <c r="V99" s="331">
        <v>637</v>
      </c>
      <c r="W99" s="331"/>
      <c r="X99" s="331">
        <v>0</v>
      </c>
      <c r="Y99" s="331">
        <v>0</v>
      </c>
      <c r="Z99" s="332">
        <f t="shared" si="1"/>
        <v>59128</v>
      </c>
    </row>
    <row r="100" spans="1:26" ht="11.25" customHeight="1">
      <c r="A100" s="344"/>
      <c r="B100" s="330" t="s">
        <v>372</v>
      </c>
      <c r="C100" s="331">
        <v>1966</v>
      </c>
      <c r="D100" s="331">
        <v>1966</v>
      </c>
      <c r="E100" s="331">
        <v>492</v>
      </c>
      <c r="F100" s="331"/>
      <c r="G100" s="331">
        <v>4</v>
      </c>
      <c r="H100" s="331"/>
      <c r="I100" s="331">
        <f>166+562+40</f>
        <v>768</v>
      </c>
      <c r="J100" s="331"/>
      <c r="K100" s="331"/>
      <c r="L100" s="331"/>
      <c r="M100" s="331">
        <v>102</v>
      </c>
      <c r="N100" s="331"/>
      <c r="O100" s="332">
        <f t="shared" si="0"/>
        <v>3332</v>
      </c>
      <c r="P100" s="344"/>
      <c r="Q100" s="330" t="s">
        <v>372</v>
      </c>
      <c r="R100" s="331">
        <f>34853+90+627+159+131+443-774</f>
        <v>35529</v>
      </c>
      <c r="S100" s="331">
        <f>9187+169+43+35+119</f>
        <v>9553</v>
      </c>
      <c r="T100" s="331">
        <f>12573+22+40+774+4+73</f>
        <v>13486</v>
      </c>
      <c r="U100" s="331">
        <v>4230</v>
      </c>
      <c r="V100" s="331">
        <f>637-73</f>
        <v>564</v>
      </c>
      <c r="W100" s="331"/>
      <c r="X100" s="331"/>
      <c r="Y100" s="331"/>
      <c r="Z100" s="332">
        <f t="shared" si="1"/>
        <v>59132</v>
      </c>
    </row>
    <row r="101" spans="1:26" ht="11.25" customHeight="1">
      <c r="A101" s="344"/>
      <c r="B101" s="330" t="s">
        <v>373</v>
      </c>
      <c r="C101" s="331">
        <v>1966</v>
      </c>
      <c r="D101" s="331">
        <v>1966</v>
      </c>
      <c r="E101" s="331">
        <v>492</v>
      </c>
      <c r="F101" s="331"/>
      <c r="G101" s="331">
        <v>4</v>
      </c>
      <c r="H101" s="331"/>
      <c r="I101" s="331">
        <f>166+562+40</f>
        <v>768</v>
      </c>
      <c r="J101" s="331"/>
      <c r="K101" s="331"/>
      <c r="L101" s="331"/>
      <c r="M101" s="331">
        <v>102</v>
      </c>
      <c r="N101" s="331"/>
      <c r="O101" s="332">
        <f t="shared" si="0"/>
        <v>3332</v>
      </c>
      <c r="P101" s="344"/>
      <c r="Q101" s="330" t="s">
        <v>373</v>
      </c>
      <c r="R101" s="331">
        <f>34853+90+627+159+131+443-774</f>
        <v>35529</v>
      </c>
      <c r="S101" s="331">
        <f>9187+169+43+35+119</f>
        <v>9553</v>
      </c>
      <c r="T101" s="331">
        <f>12573+22+40+774+4+73</f>
        <v>13486</v>
      </c>
      <c r="U101" s="331">
        <v>4230</v>
      </c>
      <c r="V101" s="331">
        <f>637-73</f>
        <v>564</v>
      </c>
      <c r="W101" s="331"/>
      <c r="X101" s="331"/>
      <c r="Y101" s="331"/>
      <c r="Z101" s="332">
        <f t="shared" si="1"/>
        <v>59132</v>
      </c>
    </row>
    <row r="102" spans="1:26" ht="11.25" customHeight="1">
      <c r="A102" s="344"/>
      <c r="B102" s="330" t="s">
        <v>5</v>
      </c>
      <c r="C102" s="331">
        <v>1404</v>
      </c>
      <c r="D102" s="331">
        <v>1129</v>
      </c>
      <c r="E102" s="331">
        <v>351</v>
      </c>
      <c r="F102" s="331"/>
      <c r="G102" s="331">
        <v>4</v>
      </c>
      <c r="H102" s="331"/>
      <c r="I102" s="331">
        <v>768</v>
      </c>
      <c r="J102" s="331"/>
      <c r="K102" s="331"/>
      <c r="L102" s="331"/>
      <c r="M102" s="331">
        <v>102</v>
      </c>
      <c r="N102" s="331"/>
      <c r="O102" s="332">
        <f t="shared" si="0"/>
        <v>2629</v>
      </c>
      <c r="P102" s="344"/>
      <c r="Q102" s="330" t="s">
        <v>5</v>
      </c>
      <c r="R102" s="331">
        <v>34581</v>
      </c>
      <c r="S102" s="331">
        <v>9229</v>
      </c>
      <c r="T102" s="331">
        <v>11061</v>
      </c>
      <c r="U102" s="331">
        <v>3898</v>
      </c>
      <c r="V102" s="331">
        <v>564</v>
      </c>
      <c r="W102" s="331"/>
      <c r="X102" s="331"/>
      <c r="Y102" s="331"/>
      <c r="Z102" s="332">
        <f t="shared" si="1"/>
        <v>55435</v>
      </c>
    </row>
    <row r="103" spans="1:26" s="319" customFormat="1" ht="11.25" customHeight="1">
      <c r="A103" s="345" t="s">
        <v>387</v>
      </c>
      <c r="B103" s="330" t="s">
        <v>3</v>
      </c>
      <c r="C103" s="346">
        <f aca="true" t="shared" si="2" ref="C103:O103">+C75+C82+C89+C96</f>
        <v>29313</v>
      </c>
      <c r="D103" s="346">
        <f t="shared" si="2"/>
        <v>23665</v>
      </c>
      <c r="E103" s="346">
        <f t="shared" si="2"/>
        <v>6178</v>
      </c>
      <c r="F103" s="346">
        <f t="shared" si="2"/>
        <v>0</v>
      </c>
      <c r="G103" s="346">
        <f t="shared" si="2"/>
        <v>0</v>
      </c>
      <c r="H103" s="346">
        <f t="shared" si="2"/>
        <v>0</v>
      </c>
      <c r="I103" s="346">
        <f t="shared" si="2"/>
        <v>0</v>
      </c>
      <c r="J103" s="346">
        <f t="shared" si="2"/>
        <v>0</v>
      </c>
      <c r="K103" s="346">
        <f t="shared" si="2"/>
        <v>0</v>
      </c>
      <c r="L103" s="346">
        <f t="shared" si="2"/>
        <v>0</v>
      </c>
      <c r="M103" s="346">
        <f t="shared" si="2"/>
        <v>0</v>
      </c>
      <c r="N103" s="346">
        <f t="shared" si="2"/>
        <v>0</v>
      </c>
      <c r="O103" s="332">
        <f t="shared" si="2"/>
        <v>35491</v>
      </c>
      <c r="P103" s="347" t="s">
        <v>387</v>
      </c>
      <c r="Q103" s="330" t="s">
        <v>3</v>
      </c>
      <c r="R103" s="346">
        <f aca="true" t="shared" si="3" ref="R103:Z107">+R75+R82+R89+R96</f>
        <v>262693</v>
      </c>
      <c r="S103" s="346">
        <f t="shared" si="3"/>
        <v>68968</v>
      </c>
      <c r="T103" s="346">
        <f t="shared" si="3"/>
        <v>112351</v>
      </c>
      <c r="U103" s="346">
        <f t="shared" si="3"/>
        <v>51046</v>
      </c>
      <c r="V103" s="346">
        <f t="shared" si="3"/>
        <v>5372</v>
      </c>
      <c r="W103" s="346"/>
      <c r="X103" s="346">
        <f t="shared" si="3"/>
        <v>0</v>
      </c>
      <c r="Y103" s="346">
        <f t="shared" si="3"/>
        <v>2400</v>
      </c>
      <c r="Z103" s="332">
        <f t="shared" si="3"/>
        <v>451784</v>
      </c>
    </row>
    <row r="104" spans="1:26" s="319" customFormat="1" ht="11.25" customHeight="1">
      <c r="A104" s="345"/>
      <c r="B104" s="330" t="s">
        <v>369</v>
      </c>
      <c r="C104" s="346">
        <f aca="true" t="shared" si="4" ref="C104:O104">+C76+C83+C90+C97</f>
        <v>29313</v>
      </c>
      <c r="D104" s="346">
        <f t="shared" si="4"/>
        <v>23665</v>
      </c>
      <c r="E104" s="346">
        <f t="shared" si="4"/>
        <v>6178</v>
      </c>
      <c r="F104" s="346">
        <f t="shared" si="4"/>
        <v>0</v>
      </c>
      <c r="G104" s="346">
        <f t="shared" si="4"/>
        <v>0</v>
      </c>
      <c r="H104" s="346">
        <f t="shared" si="4"/>
        <v>0</v>
      </c>
      <c r="I104" s="346">
        <f t="shared" si="4"/>
        <v>0</v>
      </c>
      <c r="J104" s="346">
        <f t="shared" si="4"/>
        <v>0</v>
      </c>
      <c r="K104" s="346">
        <f t="shared" si="4"/>
        <v>0</v>
      </c>
      <c r="L104" s="346">
        <f t="shared" si="4"/>
        <v>0</v>
      </c>
      <c r="M104" s="346">
        <f t="shared" si="4"/>
        <v>4696</v>
      </c>
      <c r="N104" s="346">
        <f t="shared" si="4"/>
        <v>0</v>
      </c>
      <c r="O104" s="332">
        <f t="shared" si="4"/>
        <v>40187</v>
      </c>
      <c r="P104" s="347"/>
      <c r="Q104" s="330" t="s">
        <v>369</v>
      </c>
      <c r="R104" s="346">
        <f t="shared" si="3"/>
        <v>276229</v>
      </c>
      <c r="S104" s="346">
        <f t="shared" si="3"/>
        <v>72850</v>
      </c>
      <c r="T104" s="346">
        <f t="shared" si="3"/>
        <v>116977</v>
      </c>
      <c r="U104" s="346">
        <f t="shared" si="3"/>
        <v>51046</v>
      </c>
      <c r="V104" s="346">
        <f t="shared" si="3"/>
        <v>5372</v>
      </c>
      <c r="W104" s="346"/>
      <c r="X104" s="346">
        <f t="shared" si="3"/>
        <v>750</v>
      </c>
      <c r="Y104" s="346">
        <f t="shared" si="3"/>
        <v>2400</v>
      </c>
      <c r="Z104" s="332">
        <f t="shared" si="3"/>
        <v>474578</v>
      </c>
    </row>
    <row r="105" spans="1:26" s="319" customFormat="1" ht="11.25" customHeight="1">
      <c r="A105" s="345"/>
      <c r="B105" s="330" t="s">
        <v>370</v>
      </c>
      <c r="C105" s="346">
        <f>+C77+C84+C91+C98</f>
        <v>30095</v>
      </c>
      <c r="D105" s="346">
        <v>23665</v>
      </c>
      <c r="E105" s="346">
        <v>6178</v>
      </c>
      <c r="F105" s="346">
        <f aca="true" t="shared" si="5" ref="F105:O105">+F77+F84+F91+F98</f>
        <v>0</v>
      </c>
      <c r="G105" s="346">
        <f t="shared" si="5"/>
        <v>50</v>
      </c>
      <c r="H105" s="346">
        <f t="shared" si="5"/>
        <v>0</v>
      </c>
      <c r="I105" s="346">
        <f t="shared" si="5"/>
        <v>5642</v>
      </c>
      <c r="J105" s="346">
        <f t="shared" si="5"/>
        <v>0</v>
      </c>
      <c r="K105" s="346">
        <f t="shared" si="5"/>
        <v>0</v>
      </c>
      <c r="L105" s="346">
        <f t="shared" si="5"/>
        <v>0</v>
      </c>
      <c r="M105" s="346">
        <f t="shared" si="5"/>
        <v>4696</v>
      </c>
      <c r="N105" s="346">
        <f t="shared" si="5"/>
        <v>0</v>
      </c>
      <c r="O105" s="332">
        <f t="shared" si="5"/>
        <v>46661</v>
      </c>
      <c r="P105" s="347"/>
      <c r="Q105" s="330" t="s">
        <v>370</v>
      </c>
      <c r="R105" s="346">
        <f t="shared" si="3"/>
        <v>278993</v>
      </c>
      <c r="S105" s="346">
        <f t="shared" si="3"/>
        <v>73258</v>
      </c>
      <c r="T105" s="346">
        <f t="shared" si="3"/>
        <v>126897</v>
      </c>
      <c r="U105" s="346">
        <f t="shared" si="3"/>
        <v>51046</v>
      </c>
      <c r="V105" s="346">
        <f t="shared" si="3"/>
        <v>5372</v>
      </c>
      <c r="W105" s="346"/>
      <c r="X105" s="346">
        <f t="shared" si="3"/>
        <v>750</v>
      </c>
      <c r="Y105" s="346">
        <f t="shared" si="3"/>
        <v>5900</v>
      </c>
      <c r="Z105" s="332">
        <f t="shared" si="3"/>
        <v>491170</v>
      </c>
    </row>
    <row r="106" spans="1:26" s="319" customFormat="1" ht="11.25" customHeight="1">
      <c r="A106" s="345"/>
      <c r="B106" s="330" t="s">
        <v>371</v>
      </c>
      <c r="C106" s="346">
        <f>+C78+C85+C92+C99</f>
        <v>30260</v>
      </c>
      <c r="D106" s="346">
        <f>+D78+D85+D92+D99</f>
        <v>23665</v>
      </c>
      <c r="E106" s="346">
        <f>+E78+E85+E92+E99</f>
        <v>6178</v>
      </c>
      <c r="F106" s="346">
        <f aca="true" t="shared" si="6" ref="F106:O106">+F78+F85+F92+F99</f>
        <v>0</v>
      </c>
      <c r="G106" s="346">
        <f t="shared" si="6"/>
        <v>81</v>
      </c>
      <c r="H106" s="346">
        <f t="shared" si="6"/>
        <v>0</v>
      </c>
      <c r="I106" s="346">
        <f t="shared" si="6"/>
        <v>2033</v>
      </c>
      <c r="J106" s="346">
        <f t="shared" si="6"/>
        <v>0</v>
      </c>
      <c r="K106" s="346">
        <f t="shared" si="6"/>
        <v>0</v>
      </c>
      <c r="L106" s="346">
        <f t="shared" si="6"/>
        <v>0</v>
      </c>
      <c r="M106" s="346">
        <f t="shared" si="6"/>
        <v>4696</v>
      </c>
      <c r="N106" s="346">
        <f t="shared" si="6"/>
        <v>0</v>
      </c>
      <c r="O106" s="332">
        <f t="shared" si="6"/>
        <v>43248</v>
      </c>
      <c r="P106" s="347"/>
      <c r="Q106" s="330" t="s">
        <v>371</v>
      </c>
      <c r="R106" s="346">
        <f t="shared" si="3"/>
        <v>277774</v>
      </c>
      <c r="S106" s="346">
        <f t="shared" si="3"/>
        <v>73259</v>
      </c>
      <c r="T106" s="346">
        <f t="shared" si="3"/>
        <v>124665</v>
      </c>
      <c r="U106" s="346">
        <f t="shared" si="3"/>
        <v>51046</v>
      </c>
      <c r="V106" s="346">
        <f t="shared" si="3"/>
        <v>5372</v>
      </c>
      <c r="W106" s="346"/>
      <c r="X106" s="346">
        <f t="shared" si="3"/>
        <v>750</v>
      </c>
      <c r="Y106" s="346">
        <f t="shared" si="3"/>
        <v>5900</v>
      </c>
      <c r="Z106" s="332">
        <f t="shared" si="3"/>
        <v>487720</v>
      </c>
    </row>
    <row r="107" spans="1:26" s="319" customFormat="1" ht="11.25" customHeight="1">
      <c r="A107" s="345"/>
      <c r="B107" s="330" t="s">
        <v>372</v>
      </c>
      <c r="C107" s="346">
        <f>+C79+C86+C93+C100</f>
        <v>30260</v>
      </c>
      <c r="D107" s="346">
        <f>+D79+D86+D93+D100</f>
        <v>23665</v>
      </c>
      <c r="E107" s="346">
        <f>+E79+E86+E93+E100</f>
        <v>6178</v>
      </c>
      <c r="F107" s="346"/>
      <c r="G107" s="346">
        <f>+G79+G86+G93+G100</f>
        <v>94</v>
      </c>
      <c r="H107" s="346"/>
      <c r="I107" s="346">
        <f>+I79+I86+I93+I100</f>
        <v>7247</v>
      </c>
      <c r="J107" s="346"/>
      <c r="K107" s="346"/>
      <c r="L107" s="346"/>
      <c r="M107" s="346">
        <f>+M79+M86+M93+M100</f>
        <v>4696</v>
      </c>
      <c r="N107" s="346"/>
      <c r="O107" s="332">
        <f>+O79+O86+O93+O100</f>
        <v>48475</v>
      </c>
      <c r="P107" s="347"/>
      <c r="Q107" s="330" t="s">
        <v>372</v>
      </c>
      <c r="R107" s="346">
        <f t="shared" si="3"/>
        <v>285336</v>
      </c>
      <c r="S107" s="346">
        <f t="shared" si="3"/>
        <v>75047</v>
      </c>
      <c r="T107" s="346">
        <f t="shared" si="3"/>
        <v>132034</v>
      </c>
      <c r="U107" s="346">
        <f t="shared" si="3"/>
        <v>51046</v>
      </c>
      <c r="V107" s="346">
        <f t="shared" si="3"/>
        <v>4522</v>
      </c>
      <c r="W107" s="346"/>
      <c r="X107" s="346">
        <f t="shared" si="3"/>
        <v>1173</v>
      </c>
      <c r="Y107" s="346">
        <f t="shared" si="3"/>
        <v>3517</v>
      </c>
      <c r="Z107" s="332">
        <f t="shared" si="3"/>
        <v>501629</v>
      </c>
    </row>
    <row r="108" spans="1:26" s="319" customFormat="1" ht="11.25" customHeight="1">
      <c r="A108" s="345"/>
      <c r="B108" s="330" t="s">
        <v>373</v>
      </c>
      <c r="C108" s="346">
        <f>+C80+C87+C94+C101</f>
        <v>30260</v>
      </c>
      <c r="D108" s="346">
        <f aca="true" t="shared" si="7" ref="D108:O108">+D80+D87+D94+D101</f>
        <v>23665</v>
      </c>
      <c r="E108" s="346">
        <f t="shared" si="7"/>
        <v>6178</v>
      </c>
      <c r="F108" s="346">
        <f t="shared" si="7"/>
        <v>0</v>
      </c>
      <c r="G108" s="346">
        <f t="shared" si="7"/>
        <v>94</v>
      </c>
      <c r="H108" s="346">
        <f t="shared" si="7"/>
        <v>0</v>
      </c>
      <c r="I108" s="346">
        <f t="shared" si="7"/>
        <v>7247</v>
      </c>
      <c r="J108" s="346">
        <f t="shared" si="7"/>
        <v>0</v>
      </c>
      <c r="K108" s="346">
        <f t="shared" si="7"/>
        <v>0</v>
      </c>
      <c r="L108" s="346">
        <f t="shared" si="7"/>
        <v>0</v>
      </c>
      <c r="M108" s="346">
        <f t="shared" si="7"/>
        <v>4696</v>
      </c>
      <c r="N108" s="346">
        <f t="shared" si="7"/>
        <v>0</v>
      </c>
      <c r="O108" s="332">
        <f t="shared" si="7"/>
        <v>48475</v>
      </c>
      <c r="P108" s="347"/>
      <c r="Q108" s="330" t="s">
        <v>373</v>
      </c>
      <c r="R108" s="346">
        <f>+R80+R87+R94+R101</f>
        <v>285336</v>
      </c>
      <c r="S108" s="346">
        <f aca="true" t="shared" si="8" ref="S108:Y108">+S80+S87+S94+S101</f>
        <v>75047</v>
      </c>
      <c r="T108" s="346">
        <f t="shared" si="8"/>
        <v>132034</v>
      </c>
      <c r="U108" s="346">
        <f t="shared" si="8"/>
        <v>51046</v>
      </c>
      <c r="V108" s="346">
        <f t="shared" si="8"/>
        <v>4522</v>
      </c>
      <c r="W108" s="346"/>
      <c r="X108" s="346">
        <f t="shared" si="8"/>
        <v>1173</v>
      </c>
      <c r="Y108" s="346">
        <f t="shared" si="8"/>
        <v>3517</v>
      </c>
      <c r="Z108" s="332">
        <f>+Z80+Z87+Z94+Z101</f>
        <v>501629</v>
      </c>
    </row>
    <row r="109" spans="1:26" s="319" customFormat="1" ht="11.25" customHeight="1">
      <c r="A109" s="345"/>
      <c r="B109" s="330" t="s">
        <v>5</v>
      </c>
      <c r="C109" s="346">
        <f>+C81+C88+C95+C102</f>
        <v>26189</v>
      </c>
      <c r="D109" s="346">
        <f aca="true" t="shared" si="9" ref="D109:Z109">+D81+D88+D95+D102</f>
        <v>19995</v>
      </c>
      <c r="E109" s="346">
        <f t="shared" si="9"/>
        <v>5482</v>
      </c>
      <c r="F109" s="346">
        <f t="shared" si="9"/>
        <v>0</v>
      </c>
      <c r="G109" s="346">
        <f t="shared" si="9"/>
        <v>94</v>
      </c>
      <c r="H109" s="346">
        <f t="shared" si="9"/>
        <v>0</v>
      </c>
      <c r="I109" s="346">
        <f t="shared" si="9"/>
        <v>4392</v>
      </c>
      <c r="J109" s="346">
        <f t="shared" si="9"/>
        <v>0</v>
      </c>
      <c r="K109" s="346">
        <f t="shared" si="9"/>
        <v>0</v>
      </c>
      <c r="L109" s="346">
        <f t="shared" si="9"/>
        <v>0</v>
      </c>
      <c r="M109" s="346">
        <f t="shared" si="9"/>
        <v>4696</v>
      </c>
      <c r="N109" s="346">
        <f t="shared" si="9"/>
        <v>0</v>
      </c>
      <c r="O109" s="332">
        <f t="shared" si="9"/>
        <v>40853</v>
      </c>
      <c r="P109" s="347"/>
      <c r="Q109" s="330" t="s">
        <v>5</v>
      </c>
      <c r="R109" s="346">
        <f t="shared" si="9"/>
        <v>282556</v>
      </c>
      <c r="S109" s="346">
        <f t="shared" si="9"/>
        <v>74213</v>
      </c>
      <c r="T109" s="346">
        <f t="shared" si="9"/>
        <v>126718</v>
      </c>
      <c r="U109" s="346">
        <f t="shared" si="9"/>
        <v>53707</v>
      </c>
      <c r="V109" s="346">
        <f t="shared" si="9"/>
        <v>4486</v>
      </c>
      <c r="W109" s="346"/>
      <c r="X109" s="346">
        <f t="shared" si="9"/>
        <v>1173</v>
      </c>
      <c r="Y109" s="346">
        <f t="shared" si="9"/>
        <v>3516</v>
      </c>
      <c r="Z109" s="332">
        <f t="shared" si="9"/>
        <v>492698</v>
      </c>
    </row>
    <row r="110" spans="1:26" ht="11.25" customHeight="1">
      <c r="A110" s="329" t="s">
        <v>388</v>
      </c>
      <c r="B110" s="330" t="s">
        <v>3</v>
      </c>
      <c r="C110" s="331">
        <v>21426</v>
      </c>
      <c r="D110" s="331">
        <v>18326</v>
      </c>
      <c r="E110" s="331">
        <v>4781</v>
      </c>
      <c r="F110" s="331">
        <v>0</v>
      </c>
      <c r="G110" s="331">
        <v>0</v>
      </c>
      <c r="H110" s="331">
        <v>0</v>
      </c>
      <c r="I110" s="331">
        <v>0</v>
      </c>
      <c r="J110" s="331">
        <v>0</v>
      </c>
      <c r="K110" s="331"/>
      <c r="L110" s="331">
        <v>0</v>
      </c>
      <c r="M110" s="331">
        <v>0</v>
      </c>
      <c r="N110" s="331">
        <v>0</v>
      </c>
      <c r="O110" s="332">
        <f aca="true" t="shared" si="10" ref="O110:O123">SUM(C110:N110)-D110</f>
        <v>26207</v>
      </c>
      <c r="P110" s="333" t="s">
        <v>388</v>
      </c>
      <c r="Q110" s="330" t="s">
        <v>3</v>
      </c>
      <c r="R110" s="331">
        <f>145073-24</f>
        <v>145049</v>
      </c>
      <c r="S110" s="331">
        <v>38130</v>
      </c>
      <c r="T110" s="331">
        <f>78288-6</f>
        <v>78282</v>
      </c>
      <c r="U110" s="331">
        <v>38096</v>
      </c>
      <c r="V110" s="331">
        <v>2720</v>
      </c>
      <c r="W110" s="331"/>
      <c r="X110" s="331">
        <v>0</v>
      </c>
      <c r="Y110" s="331">
        <v>8250</v>
      </c>
      <c r="Z110" s="332">
        <f aca="true" t="shared" si="11" ref="Z110:Z123">SUM(R110:Y110)-U110</f>
        <v>272431</v>
      </c>
    </row>
    <row r="111" spans="1:26" ht="11.25" customHeight="1">
      <c r="A111" s="329"/>
      <c r="B111" s="330" t="s">
        <v>369</v>
      </c>
      <c r="C111" s="331">
        <v>21426</v>
      </c>
      <c r="D111" s="331">
        <v>18326</v>
      </c>
      <c r="E111" s="331">
        <v>4781</v>
      </c>
      <c r="F111" s="331">
        <v>0</v>
      </c>
      <c r="G111" s="331">
        <v>0</v>
      </c>
      <c r="H111" s="331">
        <v>0</v>
      </c>
      <c r="I111" s="331">
        <v>0</v>
      </c>
      <c r="J111" s="331">
        <v>0</v>
      </c>
      <c r="K111" s="331"/>
      <c r="L111" s="331">
        <v>0</v>
      </c>
      <c r="M111" s="331">
        <v>328</v>
      </c>
      <c r="N111" s="331">
        <v>0</v>
      </c>
      <c r="O111" s="332">
        <f t="shared" si="10"/>
        <v>26535</v>
      </c>
      <c r="P111" s="333"/>
      <c r="Q111" s="330" t="s">
        <v>369</v>
      </c>
      <c r="R111" s="331">
        <f>145073-24+5709+121+100</f>
        <v>150979</v>
      </c>
      <c r="S111" s="331">
        <f>38130+1542+115+33+27</f>
        <v>39847</v>
      </c>
      <c r="T111" s="331">
        <f>78288-6+720+174</f>
        <v>79176</v>
      </c>
      <c r="U111" s="331">
        <v>38096</v>
      </c>
      <c r="V111" s="331">
        <v>2720</v>
      </c>
      <c r="W111" s="331"/>
      <c r="X111" s="331">
        <v>0</v>
      </c>
      <c r="Y111" s="331">
        <v>8250</v>
      </c>
      <c r="Z111" s="332">
        <f t="shared" si="11"/>
        <v>280972</v>
      </c>
    </row>
    <row r="112" spans="1:26" ht="11.25" customHeight="1">
      <c r="A112" s="329"/>
      <c r="B112" s="330" t="s">
        <v>370</v>
      </c>
      <c r="C112" s="331">
        <f>21426+1239</f>
        <v>22665</v>
      </c>
      <c r="D112" s="331">
        <v>18326</v>
      </c>
      <c r="E112" s="331">
        <v>4781</v>
      </c>
      <c r="F112" s="331">
        <v>0</v>
      </c>
      <c r="G112" s="331">
        <f>100+1620+1608</f>
        <v>3328</v>
      </c>
      <c r="H112" s="331">
        <v>0</v>
      </c>
      <c r="I112" s="331">
        <f>50+50+166</f>
        <v>266</v>
      </c>
      <c r="J112" s="331">
        <v>0</v>
      </c>
      <c r="K112" s="331"/>
      <c r="L112" s="331">
        <v>0</v>
      </c>
      <c r="M112" s="331">
        <v>328</v>
      </c>
      <c r="N112" s="331">
        <v>0</v>
      </c>
      <c r="O112" s="332">
        <f t="shared" si="10"/>
        <v>31368</v>
      </c>
      <c r="P112" s="333"/>
      <c r="Q112" s="330" t="s">
        <v>370</v>
      </c>
      <c r="R112" s="331">
        <f>150979+354+250-181+476+500+131</f>
        <v>152509</v>
      </c>
      <c r="S112" s="331">
        <f>39847+96-49+129+35</f>
        <v>40058</v>
      </c>
      <c r="T112" s="331">
        <f>79176+789+63+200+181+49+250+50+50+1620+1608+2100</f>
        <v>86136</v>
      </c>
      <c r="U112" s="331">
        <v>38096</v>
      </c>
      <c r="V112" s="331">
        <v>2720</v>
      </c>
      <c r="W112" s="331"/>
      <c r="X112" s="331">
        <v>350</v>
      </c>
      <c r="Y112" s="331">
        <v>8250</v>
      </c>
      <c r="Z112" s="332">
        <f t="shared" si="11"/>
        <v>290023</v>
      </c>
    </row>
    <row r="113" spans="1:26" ht="11.25" customHeight="1">
      <c r="A113" s="329"/>
      <c r="B113" s="330" t="s">
        <v>371</v>
      </c>
      <c r="C113" s="331">
        <f>21426+1239</f>
        <v>22665</v>
      </c>
      <c r="D113" s="331">
        <v>18326</v>
      </c>
      <c r="E113" s="331">
        <v>4781</v>
      </c>
      <c r="F113" s="331">
        <v>0</v>
      </c>
      <c r="G113" s="331">
        <f>100+1620+1608+106</f>
        <v>3434</v>
      </c>
      <c r="H113" s="331">
        <v>0</v>
      </c>
      <c r="I113" s="331">
        <f>50+50+166</f>
        <v>266</v>
      </c>
      <c r="J113" s="331">
        <v>0</v>
      </c>
      <c r="K113" s="331">
        <v>2120</v>
      </c>
      <c r="L113" s="331">
        <v>0</v>
      </c>
      <c r="M113" s="331">
        <v>328</v>
      </c>
      <c r="N113" s="331">
        <v>0</v>
      </c>
      <c r="O113" s="332">
        <f t="shared" si="10"/>
        <v>33594</v>
      </c>
      <c r="P113" s="333"/>
      <c r="Q113" s="330" t="s">
        <v>371</v>
      </c>
      <c r="R113" s="331">
        <f>150979+354+250-181+476+500+131</f>
        <v>152509</v>
      </c>
      <c r="S113" s="331">
        <f>39847+96-49+129+35</f>
        <v>40058</v>
      </c>
      <c r="T113" s="331">
        <f>79176+789+63+200+181+49+250+50+50+1620+1608+2100+106+1870</f>
        <v>88112</v>
      </c>
      <c r="U113" s="331">
        <v>38096</v>
      </c>
      <c r="V113" s="331">
        <v>2720</v>
      </c>
      <c r="W113" s="331"/>
      <c r="X113" s="331">
        <v>350</v>
      </c>
      <c r="Y113" s="331">
        <v>8250</v>
      </c>
      <c r="Z113" s="332">
        <f t="shared" si="11"/>
        <v>291999</v>
      </c>
    </row>
    <row r="114" spans="1:26" ht="11.25" customHeight="1">
      <c r="A114" s="329"/>
      <c r="B114" s="330" t="s">
        <v>372</v>
      </c>
      <c r="C114" s="331">
        <f>21426+1239</f>
        <v>22665</v>
      </c>
      <c r="D114" s="331">
        <v>18326</v>
      </c>
      <c r="E114" s="331">
        <v>4781</v>
      </c>
      <c r="F114" s="331"/>
      <c r="G114" s="331">
        <f>100+1620+1608+106+1586+3</f>
        <v>5023</v>
      </c>
      <c r="H114" s="331"/>
      <c r="I114" s="331">
        <f>50+50+166+226+7530</f>
        <v>8022</v>
      </c>
      <c r="J114" s="331"/>
      <c r="K114" s="331">
        <v>2120</v>
      </c>
      <c r="L114" s="331"/>
      <c r="M114" s="331">
        <v>328</v>
      </c>
      <c r="N114" s="331"/>
      <c r="O114" s="332">
        <f>SUM(C114:N114)-D114</f>
        <v>42939</v>
      </c>
      <c r="P114" s="333"/>
      <c r="Q114" s="330" t="s">
        <v>372</v>
      </c>
      <c r="R114" s="331">
        <f>150979+354+250-181+476+500+131-1415+178+3545</f>
        <v>154817</v>
      </c>
      <c r="S114" s="331">
        <f>39847+96-49+129+35+48+120+957</f>
        <v>41183</v>
      </c>
      <c r="T114" s="331">
        <f>79176+789+63+200+181+49+250+50+50+1620+1608+2100+106+1870+1586+3-573+1415-1082+200+1243+739+1350+3028</f>
        <v>96021</v>
      </c>
      <c r="U114" s="331">
        <v>38096</v>
      </c>
      <c r="V114" s="331">
        <f>2720+573</f>
        <v>3293</v>
      </c>
      <c r="W114" s="331"/>
      <c r="X114" s="331">
        <f>350+1082-350</f>
        <v>1082</v>
      </c>
      <c r="Y114" s="331">
        <f>8250+150</f>
        <v>8400</v>
      </c>
      <c r="Z114" s="332">
        <f t="shared" si="11"/>
        <v>304796</v>
      </c>
    </row>
    <row r="115" spans="1:26" ht="11.25" customHeight="1">
      <c r="A115" s="329"/>
      <c r="B115" s="330" t="s">
        <v>373</v>
      </c>
      <c r="C115" s="331">
        <f>21426+1239</f>
        <v>22665</v>
      </c>
      <c r="D115" s="331">
        <v>18326</v>
      </c>
      <c r="E115" s="331">
        <v>4781</v>
      </c>
      <c r="F115" s="331"/>
      <c r="G115" s="331">
        <f>100+1620+1608+106+1586+3</f>
        <v>5023</v>
      </c>
      <c r="H115" s="331"/>
      <c r="I115" s="331">
        <f>50+50+166+226+7530</f>
        <v>8022</v>
      </c>
      <c r="J115" s="331"/>
      <c r="K115" s="331">
        <v>2120</v>
      </c>
      <c r="L115" s="331"/>
      <c r="M115" s="331">
        <v>328</v>
      </c>
      <c r="N115" s="331"/>
      <c r="O115" s="332">
        <f>SUM(C115:N115)-D115</f>
        <v>42939</v>
      </c>
      <c r="P115" s="333"/>
      <c r="Q115" s="330" t="s">
        <v>373</v>
      </c>
      <c r="R115" s="331">
        <f>150979+354+250-181+476+500+131-1415+178+3545</f>
        <v>154817</v>
      </c>
      <c r="S115" s="331">
        <f>39847+96-49+129+35+48+120+957</f>
        <v>41183</v>
      </c>
      <c r="T115" s="331">
        <f>79176+789+63+200+181+49+250+50+50+1620+1608+2100+106+1870+1586+3-573+1415-1082+200+1243+739+1350+3028</f>
        <v>96021</v>
      </c>
      <c r="U115" s="331">
        <v>38096</v>
      </c>
      <c r="V115" s="331">
        <f>2720+573</f>
        <v>3293</v>
      </c>
      <c r="W115" s="331"/>
      <c r="X115" s="331">
        <f>350+1082-350</f>
        <v>1082</v>
      </c>
      <c r="Y115" s="331">
        <f>8250+150</f>
        <v>8400</v>
      </c>
      <c r="Z115" s="332">
        <f t="shared" si="11"/>
        <v>304796</v>
      </c>
    </row>
    <row r="116" spans="1:26" ht="11.25" customHeight="1">
      <c r="A116" s="329"/>
      <c r="B116" s="330" t="s">
        <v>5</v>
      </c>
      <c r="C116" s="331">
        <v>19033</v>
      </c>
      <c r="D116" s="331">
        <v>16126</v>
      </c>
      <c r="E116" s="331">
        <v>4378</v>
      </c>
      <c r="F116" s="331"/>
      <c r="G116" s="331">
        <v>4923</v>
      </c>
      <c r="H116" s="331"/>
      <c r="I116" s="331">
        <v>3748</v>
      </c>
      <c r="J116" s="331"/>
      <c r="K116" s="331">
        <v>2120</v>
      </c>
      <c r="L116" s="331"/>
      <c r="M116" s="331">
        <v>328</v>
      </c>
      <c r="N116" s="331"/>
      <c r="O116" s="332">
        <f>SUM(C116:N116)-D116</f>
        <v>34530</v>
      </c>
      <c r="P116" s="333"/>
      <c r="Q116" s="330" t="s">
        <v>5</v>
      </c>
      <c r="R116" s="331">
        <v>151272</v>
      </c>
      <c r="S116" s="331">
        <v>40225</v>
      </c>
      <c r="T116" s="331">
        <v>92993</v>
      </c>
      <c r="U116" s="331">
        <v>39591</v>
      </c>
      <c r="V116" s="331">
        <v>3293</v>
      </c>
      <c r="W116" s="331"/>
      <c r="X116" s="331">
        <v>1082</v>
      </c>
      <c r="Y116" s="331">
        <v>8400</v>
      </c>
      <c r="Z116" s="332">
        <f t="shared" si="11"/>
        <v>297265</v>
      </c>
    </row>
    <row r="117" spans="1:26" ht="11.25" customHeight="1">
      <c r="A117" s="333" t="s">
        <v>389</v>
      </c>
      <c r="B117" s="330" t="s">
        <v>3</v>
      </c>
      <c r="C117" s="331">
        <v>4902</v>
      </c>
      <c r="D117" s="331">
        <v>4232</v>
      </c>
      <c r="E117" s="331">
        <v>1168</v>
      </c>
      <c r="F117" s="331">
        <v>0</v>
      </c>
      <c r="G117" s="331">
        <v>0</v>
      </c>
      <c r="H117" s="331">
        <v>0</v>
      </c>
      <c r="I117" s="331">
        <v>0</v>
      </c>
      <c r="J117" s="331">
        <v>0</v>
      </c>
      <c r="K117" s="331"/>
      <c r="L117" s="331">
        <v>0</v>
      </c>
      <c r="M117" s="331">
        <v>0</v>
      </c>
      <c r="N117" s="331">
        <v>0</v>
      </c>
      <c r="O117" s="332">
        <f t="shared" si="10"/>
        <v>6070</v>
      </c>
      <c r="P117" s="333" t="s">
        <v>389</v>
      </c>
      <c r="Q117" s="330" t="s">
        <v>3</v>
      </c>
      <c r="R117" s="331">
        <v>51036</v>
      </c>
      <c r="S117" s="331">
        <v>13344</v>
      </c>
      <c r="T117" s="331">
        <f>26953</f>
        <v>26953</v>
      </c>
      <c r="U117" s="331">
        <v>12061</v>
      </c>
      <c r="V117" s="331">
        <v>1286</v>
      </c>
      <c r="W117" s="331"/>
      <c r="X117" s="331"/>
      <c r="Y117" s="331">
        <v>0</v>
      </c>
      <c r="Z117" s="332">
        <f t="shared" si="11"/>
        <v>92619</v>
      </c>
    </row>
    <row r="118" spans="1:26" ht="11.25" customHeight="1">
      <c r="A118" s="333"/>
      <c r="B118" s="330" t="s">
        <v>369</v>
      </c>
      <c r="C118" s="331">
        <v>4902</v>
      </c>
      <c r="D118" s="331">
        <v>4232</v>
      </c>
      <c r="E118" s="331">
        <v>1168</v>
      </c>
      <c r="F118" s="331">
        <v>0</v>
      </c>
      <c r="G118" s="331">
        <v>0</v>
      </c>
      <c r="H118" s="331">
        <v>0</v>
      </c>
      <c r="I118" s="331">
        <v>0</v>
      </c>
      <c r="J118" s="331">
        <v>0</v>
      </c>
      <c r="K118" s="331"/>
      <c r="L118" s="331">
        <v>0</v>
      </c>
      <c r="M118" s="331">
        <v>244</v>
      </c>
      <c r="N118" s="331">
        <v>0</v>
      </c>
      <c r="O118" s="332">
        <f t="shared" si="10"/>
        <v>6314</v>
      </c>
      <c r="P118" s="333"/>
      <c r="Q118" s="330" t="s">
        <v>369</v>
      </c>
      <c r="R118" s="331">
        <f>51036+2079+240</f>
        <v>53355</v>
      </c>
      <c r="S118" s="331">
        <f>13344+561+42</f>
        <v>13947</v>
      </c>
      <c r="T118" s="331">
        <f>26953+50+4</f>
        <v>27007</v>
      </c>
      <c r="U118" s="331">
        <v>12061</v>
      </c>
      <c r="V118" s="331">
        <v>1286</v>
      </c>
      <c r="W118" s="331"/>
      <c r="X118" s="331">
        <v>0</v>
      </c>
      <c r="Y118" s="331">
        <v>0</v>
      </c>
      <c r="Z118" s="332">
        <f t="shared" si="11"/>
        <v>95595</v>
      </c>
    </row>
    <row r="119" spans="1:26" ht="11.25" customHeight="1">
      <c r="A119" s="333"/>
      <c r="B119" s="330" t="s">
        <v>370</v>
      </c>
      <c r="C119" s="331">
        <v>4902</v>
      </c>
      <c r="D119" s="331">
        <v>4232</v>
      </c>
      <c r="E119" s="331">
        <v>1168</v>
      </c>
      <c r="F119" s="331">
        <v>0</v>
      </c>
      <c r="G119" s="331">
        <v>0</v>
      </c>
      <c r="H119" s="331">
        <v>0</v>
      </c>
      <c r="I119" s="331">
        <f>166+50</f>
        <v>216</v>
      </c>
      <c r="J119" s="331">
        <v>0</v>
      </c>
      <c r="K119" s="331"/>
      <c r="L119" s="331">
        <v>0</v>
      </c>
      <c r="M119" s="331">
        <v>244</v>
      </c>
      <c r="N119" s="331">
        <v>0</v>
      </c>
      <c r="O119" s="332">
        <f t="shared" si="10"/>
        <v>6530</v>
      </c>
      <c r="P119" s="333"/>
      <c r="Q119" s="330" t="s">
        <v>370</v>
      </c>
      <c r="R119" s="331">
        <f>53355+100+179+131</f>
        <v>53765</v>
      </c>
      <c r="S119" s="331">
        <f>13344+561+42+48+35</f>
        <v>14030</v>
      </c>
      <c r="T119" s="331">
        <f>27007+25+50+50+100</f>
        <v>27232</v>
      </c>
      <c r="U119" s="331">
        <v>12061</v>
      </c>
      <c r="V119" s="331">
        <v>1286</v>
      </c>
      <c r="W119" s="331"/>
      <c r="X119" s="331">
        <v>0</v>
      </c>
      <c r="Y119" s="331">
        <v>2000</v>
      </c>
      <c r="Z119" s="332">
        <f t="shared" si="11"/>
        <v>98313</v>
      </c>
    </row>
    <row r="120" spans="1:26" ht="11.25" customHeight="1">
      <c r="A120" s="333"/>
      <c r="B120" s="330" t="s">
        <v>371</v>
      </c>
      <c r="C120" s="331">
        <f>4902+22+3</f>
        <v>4927</v>
      </c>
      <c r="D120" s="331">
        <v>4232</v>
      </c>
      <c r="E120" s="331">
        <v>1168</v>
      </c>
      <c r="F120" s="331">
        <v>0</v>
      </c>
      <c r="G120" s="331">
        <v>0</v>
      </c>
      <c r="H120" s="331">
        <v>0</v>
      </c>
      <c r="I120" s="331">
        <f>166+50</f>
        <v>216</v>
      </c>
      <c r="J120" s="331">
        <v>0</v>
      </c>
      <c r="K120" s="331"/>
      <c r="L120" s="331">
        <v>0</v>
      </c>
      <c r="M120" s="331">
        <v>244</v>
      </c>
      <c r="N120" s="331">
        <v>0</v>
      </c>
      <c r="O120" s="332">
        <f t="shared" si="10"/>
        <v>6555</v>
      </c>
      <c r="P120" s="333"/>
      <c r="Q120" s="330" t="s">
        <v>371</v>
      </c>
      <c r="R120" s="331">
        <f>53355+100+179+131</f>
        <v>53765</v>
      </c>
      <c r="S120" s="331">
        <f>13344+561+42+48+35</f>
        <v>14030</v>
      </c>
      <c r="T120" s="331">
        <f>27007+25+50+50+100+22+3+91</f>
        <v>27348</v>
      </c>
      <c r="U120" s="331">
        <v>12061</v>
      </c>
      <c r="V120" s="331">
        <v>1286</v>
      </c>
      <c r="W120" s="331"/>
      <c r="X120" s="331">
        <v>0</v>
      </c>
      <c r="Y120" s="331">
        <f>2000</f>
        <v>2000</v>
      </c>
      <c r="Z120" s="332">
        <f t="shared" si="11"/>
        <v>98429</v>
      </c>
    </row>
    <row r="121" spans="1:26" ht="11.25" customHeight="1">
      <c r="A121" s="333"/>
      <c r="B121" s="330" t="s">
        <v>372</v>
      </c>
      <c r="C121" s="331">
        <f>4902+22+3</f>
        <v>4927</v>
      </c>
      <c r="D121" s="331">
        <v>4232</v>
      </c>
      <c r="E121" s="331">
        <v>1168</v>
      </c>
      <c r="F121" s="331"/>
      <c r="G121" s="331"/>
      <c r="H121" s="331"/>
      <c r="I121" s="331">
        <f>166+50</f>
        <v>216</v>
      </c>
      <c r="J121" s="331"/>
      <c r="K121" s="331"/>
      <c r="L121" s="331"/>
      <c r="M121" s="331">
        <v>244</v>
      </c>
      <c r="N121" s="331"/>
      <c r="O121" s="332">
        <f t="shared" si="10"/>
        <v>6555</v>
      </c>
      <c r="P121" s="333"/>
      <c r="Q121" s="330" t="s">
        <v>372</v>
      </c>
      <c r="R121" s="331">
        <f>53355+100+179+131-2539-36-481</f>
        <v>50709</v>
      </c>
      <c r="S121" s="331">
        <f>13344+561+42+48+35-252-230-120</f>
        <v>13428</v>
      </c>
      <c r="T121" s="331">
        <f>27007+25+50+50+100+22+3+91-115+2539</f>
        <v>29772</v>
      </c>
      <c r="U121" s="331">
        <v>12061</v>
      </c>
      <c r="V121" s="331">
        <f>1286+115</f>
        <v>1401</v>
      </c>
      <c r="W121" s="331"/>
      <c r="X121" s="331">
        <f>36+263</f>
        <v>299</v>
      </c>
      <c r="Y121" s="331">
        <f>2000-263</f>
        <v>1737</v>
      </c>
      <c r="Z121" s="332">
        <f t="shared" si="11"/>
        <v>97346</v>
      </c>
    </row>
    <row r="122" spans="1:26" ht="11.25" customHeight="1">
      <c r="A122" s="333"/>
      <c r="B122" s="330" t="s">
        <v>373</v>
      </c>
      <c r="C122" s="331">
        <f>4902+22+3</f>
        <v>4927</v>
      </c>
      <c r="D122" s="331">
        <v>4232</v>
      </c>
      <c r="E122" s="331">
        <v>1168</v>
      </c>
      <c r="F122" s="331"/>
      <c r="G122" s="331"/>
      <c r="H122" s="331"/>
      <c r="I122" s="331">
        <f>166+50</f>
        <v>216</v>
      </c>
      <c r="J122" s="331"/>
      <c r="K122" s="331"/>
      <c r="L122" s="331"/>
      <c r="M122" s="331">
        <v>244</v>
      </c>
      <c r="N122" s="331"/>
      <c r="O122" s="332">
        <f t="shared" si="10"/>
        <v>6555</v>
      </c>
      <c r="P122" s="333"/>
      <c r="Q122" s="330" t="s">
        <v>373</v>
      </c>
      <c r="R122" s="331">
        <f>53355+100+179+131-2539-36-481</f>
        <v>50709</v>
      </c>
      <c r="S122" s="331">
        <f>13344+561+42+48+35-252-230-120</f>
        <v>13428</v>
      </c>
      <c r="T122" s="331">
        <f>27007+25+50+50+100+22+3+91-115+2539</f>
        <v>29772</v>
      </c>
      <c r="U122" s="331">
        <v>12061</v>
      </c>
      <c r="V122" s="331">
        <f>1286+115</f>
        <v>1401</v>
      </c>
      <c r="W122" s="331"/>
      <c r="X122" s="331">
        <f>36+263</f>
        <v>299</v>
      </c>
      <c r="Y122" s="331">
        <f>2000-263</f>
        <v>1737</v>
      </c>
      <c r="Z122" s="332">
        <f t="shared" si="11"/>
        <v>97346</v>
      </c>
    </row>
    <row r="123" spans="1:26" ht="11.25" customHeight="1">
      <c r="A123" s="333"/>
      <c r="B123" s="330" t="s">
        <v>5</v>
      </c>
      <c r="C123" s="331">
        <v>5796</v>
      </c>
      <c r="D123" s="331">
        <v>3958</v>
      </c>
      <c r="E123" s="331">
        <v>1073</v>
      </c>
      <c r="F123" s="331"/>
      <c r="G123" s="331">
        <v>100</v>
      </c>
      <c r="H123" s="331"/>
      <c r="I123" s="331">
        <v>216</v>
      </c>
      <c r="J123" s="331"/>
      <c r="K123" s="331"/>
      <c r="L123" s="331"/>
      <c r="M123" s="331">
        <v>244</v>
      </c>
      <c r="N123" s="331"/>
      <c r="O123" s="332">
        <f t="shared" si="10"/>
        <v>7429</v>
      </c>
      <c r="P123" s="333"/>
      <c r="Q123" s="330" t="s">
        <v>5</v>
      </c>
      <c r="R123" s="331">
        <v>50455</v>
      </c>
      <c r="S123" s="331">
        <v>13427</v>
      </c>
      <c r="T123" s="331">
        <v>29772</v>
      </c>
      <c r="U123" s="331">
        <v>13734</v>
      </c>
      <c r="V123" s="331">
        <v>1401</v>
      </c>
      <c r="W123" s="331"/>
      <c r="X123" s="331">
        <v>299</v>
      </c>
      <c r="Y123" s="331">
        <v>1737</v>
      </c>
      <c r="Z123" s="332">
        <f t="shared" si="11"/>
        <v>97091</v>
      </c>
    </row>
    <row r="124" spans="1:26" s="319" customFormat="1" ht="11.25" customHeight="1">
      <c r="A124" s="347" t="s">
        <v>390</v>
      </c>
      <c r="B124" s="330" t="s">
        <v>3</v>
      </c>
      <c r="C124" s="346">
        <f aca="true" t="shared" si="12" ref="C124:O124">+C110+C117</f>
        <v>26328</v>
      </c>
      <c r="D124" s="346">
        <f t="shared" si="12"/>
        <v>22558</v>
      </c>
      <c r="E124" s="346">
        <f t="shared" si="12"/>
        <v>5949</v>
      </c>
      <c r="F124" s="346">
        <f t="shared" si="12"/>
        <v>0</v>
      </c>
      <c r="G124" s="346">
        <f t="shared" si="12"/>
        <v>0</v>
      </c>
      <c r="H124" s="346">
        <f t="shared" si="12"/>
        <v>0</v>
      </c>
      <c r="I124" s="346">
        <f t="shared" si="12"/>
        <v>0</v>
      </c>
      <c r="J124" s="346">
        <f t="shared" si="12"/>
        <v>0</v>
      </c>
      <c r="K124" s="346">
        <f t="shared" si="12"/>
        <v>0</v>
      </c>
      <c r="L124" s="346">
        <f t="shared" si="12"/>
        <v>0</v>
      </c>
      <c r="M124" s="346">
        <f t="shared" si="12"/>
        <v>0</v>
      </c>
      <c r="N124" s="346">
        <f t="shared" si="12"/>
        <v>0</v>
      </c>
      <c r="O124" s="332">
        <f t="shared" si="12"/>
        <v>32277</v>
      </c>
      <c r="P124" s="347" t="s">
        <v>390</v>
      </c>
      <c r="Q124" s="330" t="s">
        <v>3</v>
      </c>
      <c r="R124" s="346">
        <f aca="true" t="shared" si="13" ref="R124:Z128">+R110+R117</f>
        <v>196085</v>
      </c>
      <c r="S124" s="346">
        <f t="shared" si="13"/>
        <v>51474</v>
      </c>
      <c r="T124" s="346">
        <f t="shared" si="13"/>
        <v>105235</v>
      </c>
      <c r="U124" s="346">
        <f t="shared" si="13"/>
        <v>50157</v>
      </c>
      <c r="V124" s="346">
        <f t="shared" si="13"/>
        <v>4006</v>
      </c>
      <c r="W124" s="346"/>
      <c r="X124" s="346">
        <f t="shared" si="13"/>
        <v>0</v>
      </c>
      <c r="Y124" s="346">
        <f t="shared" si="13"/>
        <v>8250</v>
      </c>
      <c r="Z124" s="332">
        <f t="shared" si="13"/>
        <v>365050</v>
      </c>
    </row>
    <row r="125" spans="1:26" s="319" customFormat="1" ht="11.25" customHeight="1">
      <c r="A125" s="347"/>
      <c r="B125" s="330" t="s">
        <v>369</v>
      </c>
      <c r="C125" s="346">
        <f aca="true" t="shared" si="14" ref="C125:O125">+C111+C118</f>
        <v>26328</v>
      </c>
      <c r="D125" s="346">
        <f t="shared" si="14"/>
        <v>22558</v>
      </c>
      <c r="E125" s="346">
        <f t="shared" si="14"/>
        <v>5949</v>
      </c>
      <c r="F125" s="346">
        <f t="shared" si="14"/>
        <v>0</v>
      </c>
      <c r="G125" s="346">
        <f t="shared" si="14"/>
        <v>0</v>
      </c>
      <c r="H125" s="346">
        <f t="shared" si="14"/>
        <v>0</v>
      </c>
      <c r="I125" s="346">
        <f t="shared" si="14"/>
        <v>0</v>
      </c>
      <c r="J125" s="346">
        <f t="shared" si="14"/>
        <v>0</v>
      </c>
      <c r="K125" s="346">
        <f t="shared" si="14"/>
        <v>0</v>
      </c>
      <c r="L125" s="346">
        <f t="shared" si="14"/>
        <v>0</v>
      </c>
      <c r="M125" s="346">
        <f t="shared" si="14"/>
        <v>572</v>
      </c>
      <c r="N125" s="346">
        <f t="shared" si="14"/>
        <v>0</v>
      </c>
      <c r="O125" s="332">
        <f t="shared" si="14"/>
        <v>32849</v>
      </c>
      <c r="P125" s="347"/>
      <c r="Q125" s="330" t="s">
        <v>369</v>
      </c>
      <c r="R125" s="346">
        <f t="shared" si="13"/>
        <v>204334</v>
      </c>
      <c r="S125" s="346">
        <f t="shared" si="13"/>
        <v>53794</v>
      </c>
      <c r="T125" s="346">
        <f t="shared" si="13"/>
        <v>106183</v>
      </c>
      <c r="U125" s="346">
        <f t="shared" si="13"/>
        <v>50157</v>
      </c>
      <c r="V125" s="346">
        <f t="shared" si="13"/>
        <v>4006</v>
      </c>
      <c r="W125" s="346"/>
      <c r="X125" s="346">
        <f t="shared" si="13"/>
        <v>0</v>
      </c>
      <c r="Y125" s="346">
        <f t="shared" si="13"/>
        <v>8250</v>
      </c>
      <c r="Z125" s="332">
        <f t="shared" si="13"/>
        <v>376567</v>
      </c>
    </row>
    <row r="126" spans="1:26" s="319" customFormat="1" ht="11.25" customHeight="1">
      <c r="A126" s="347"/>
      <c r="B126" s="330" t="s">
        <v>370</v>
      </c>
      <c r="C126" s="346">
        <f aca="true" t="shared" si="15" ref="C126:O126">+C112+C119</f>
        <v>27567</v>
      </c>
      <c r="D126" s="346">
        <f t="shared" si="15"/>
        <v>22558</v>
      </c>
      <c r="E126" s="346">
        <f t="shared" si="15"/>
        <v>5949</v>
      </c>
      <c r="F126" s="346">
        <f t="shared" si="15"/>
        <v>0</v>
      </c>
      <c r="G126" s="346">
        <f t="shared" si="15"/>
        <v>3328</v>
      </c>
      <c r="H126" s="346">
        <f t="shared" si="15"/>
        <v>0</v>
      </c>
      <c r="I126" s="346">
        <f t="shared" si="15"/>
        <v>482</v>
      </c>
      <c r="J126" s="346">
        <f t="shared" si="15"/>
        <v>0</v>
      </c>
      <c r="K126" s="346">
        <f t="shared" si="15"/>
        <v>0</v>
      </c>
      <c r="L126" s="346">
        <f t="shared" si="15"/>
        <v>0</v>
      </c>
      <c r="M126" s="346">
        <f t="shared" si="15"/>
        <v>572</v>
      </c>
      <c r="N126" s="346">
        <f t="shared" si="15"/>
        <v>0</v>
      </c>
      <c r="O126" s="332">
        <f t="shared" si="15"/>
        <v>37898</v>
      </c>
      <c r="P126" s="347"/>
      <c r="Q126" s="330" t="s">
        <v>370</v>
      </c>
      <c r="R126" s="346">
        <f t="shared" si="13"/>
        <v>206274</v>
      </c>
      <c r="S126" s="346">
        <f t="shared" si="13"/>
        <v>54088</v>
      </c>
      <c r="T126" s="346">
        <f t="shared" si="13"/>
        <v>113368</v>
      </c>
      <c r="U126" s="346">
        <f t="shared" si="13"/>
        <v>50157</v>
      </c>
      <c r="V126" s="346">
        <f t="shared" si="13"/>
        <v>4006</v>
      </c>
      <c r="W126" s="346"/>
      <c r="X126" s="346">
        <f t="shared" si="13"/>
        <v>350</v>
      </c>
      <c r="Y126" s="346">
        <f t="shared" si="13"/>
        <v>10250</v>
      </c>
      <c r="Z126" s="332">
        <f t="shared" si="13"/>
        <v>388336</v>
      </c>
    </row>
    <row r="127" spans="1:26" s="319" customFormat="1" ht="11.25" customHeight="1">
      <c r="A127" s="347"/>
      <c r="B127" s="330" t="s">
        <v>371</v>
      </c>
      <c r="C127" s="346">
        <f aca="true" t="shared" si="16" ref="C127:O127">+C113+C120</f>
        <v>27592</v>
      </c>
      <c r="D127" s="346">
        <f t="shared" si="16"/>
        <v>22558</v>
      </c>
      <c r="E127" s="346">
        <f t="shared" si="16"/>
        <v>5949</v>
      </c>
      <c r="F127" s="346">
        <f t="shared" si="16"/>
        <v>0</v>
      </c>
      <c r="G127" s="346">
        <f t="shared" si="16"/>
        <v>3434</v>
      </c>
      <c r="H127" s="346">
        <f t="shared" si="16"/>
        <v>0</v>
      </c>
      <c r="I127" s="346">
        <f t="shared" si="16"/>
        <v>482</v>
      </c>
      <c r="J127" s="346">
        <f t="shared" si="16"/>
        <v>0</v>
      </c>
      <c r="K127" s="346">
        <f t="shared" si="16"/>
        <v>2120</v>
      </c>
      <c r="L127" s="346">
        <f t="shared" si="16"/>
        <v>0</v>
      </c>
      <c r="M127" s="346">
        <f t="shared" si="16"/>
        <v>572</v>
      </c>
      <c r="N127" s="346">
        <f t="shared" si="16"/>
        <v>0</v>
      </c>
      <c r="O127" s="332">
        <f t="shared" si="16"/>
        <v>40149</v>
      </c>
      <c r="P127" s="347"/>
      <c r="Q127" s="330" t="s">
        <v>371</v>
      </c>
      <c r="R127" s="346">
        <f t="shared" si="13"/>
        <v>206274</v>
      </c>
      <c r="S127" s="346">
        <f t="shared" si="13"/>
        <v>54088</v>
      </c>
      <c r="T127" s="346">
        <f t="shared" si="13"/>
        <v>115460</v>
      </c>
      <c r="U127" s="346">
        <f t="shared" si="13"/>
        <v>50157</v>
      </c>
      <c r="V127" s="346">
        <f t="shared" si="13"/>
        <v>4006</v>
      </c>
      <c r="W127" s="346"/>
      <c r="X127" s="346">
        <f t="shared" si="13"/>
        <v>350</v>
      </c>
      <c r="Y127" s="346">
        <f t="shared" si="13"/>
        <v>10250</v>
      </c>
      <c r="Z127" s="332">
        <f t="shared" si="13"/>
        <v>390428</v>
      </c>
    </row>
    <row r="128" spans="1:26" s="319" customFormat="1" ht="11.25" customHeight="1">
      <c r="A128" s="347"/>
      <c r="B128" s="330" t="s">
        <v>372</v>
      </c>
      <c r="C128" s="346">
        <f aca="true" t="shared" si="17" ref="C128:O128">+C114+C121</f>
        <v>27592</v>
      </c>
      <c r="D128" s="346">
        <f t="shared" si="17"/>
        <v>22558</v>
      </c>
      <c r="E128" s="346">
        <f t="shared" si="17"/>
        <v>5949</v>
      </c>
      <c r="F128" s="346">
        <f t="shared" si="17"/>
        <v>0</v>
      </c>
      <c r="G128" s="346">
        <f t="shared" si="17"/>
        <v>5023</v>
      </c>
      <c r="H128" s="346">
        <f t="shared" si="17"/>
        <v>0</v>
      </c>
      <c r="I128" s="346">
        <f t="shared" si="17"/>
        <v>8238</v>
      </c>
      <c r="J128" s="346">
        <f t="shared" si="17"/>
        <v>0</v>
      </c>
      <c r="K128" s="346">
        <f t="shared" si="17"/>
        <v>2120</v>
      </c>
      <c r="L128" s="346">
        <f t="shared" si="17"/>
        <v>0</v>
      </c>
      <c r="M128" s="346">
        <f t="shared" si="17"/>
        <v>572</v>
      </c>
      <c r="N128" s="346">
        <f t="shared" si="17"/>
        <v>0</v>
      </c>
      <c r="O128" s="332">
        <f t="shared" si="17"/>
        <v>49494</v>
      </c>
      <c r="P128" s="347"/>
      <c r="Q128" s="330" t="s">
        <v>372</v>
      </c>
      <c r="R128" s="346">
        <f t="shared" si="13"/>
        <v>205526</v>
      </c>
      <c r="S128" s="346">
        <f t="shared" si="13"/>
        <v>54611</v>
      </c>
      <c r="T128" s="346">
        <f t="shared" si="13"/>
        <v>125793</v>
      </c>
      <c r="U128" s="346">
        <f t="shared" si="13"/>
        <v>50157</v>
      </c>
      <c r="V128" s="346">
        <f t="shared" si="13"/>
        <v>4694</v>
      </c>
      <c r="W128" s="346"/>
      <c r="X128" s="346">
        <f t="shared" si="13"/>
        <v>1381</v>
      </c>
      <c r="Y128" s="346">
        <f t="shared" si="13"/>
        <v>10137</v>
      </c>
      <c r="Z128" s="332">
        <f t="shared" si="13"/>
        <v>402142</v>
      </c>
    </row>
    <row r="129" spans="1:26" s="319" customFormat="1" ht="11.25" customHeight="1">
      <c r="A129" s="347"/>
      <c r="B129" s="330" t="s">
        <v>373</v>
      </c>
      <c r="C129" s="346">
        <f>+C115+C122</f>
        <v>27592</v>
      </c>
      <c r="D129" s="346">
        <f aca="true" t="shared" si="18" ref="D129:N129">+D115+D122</f>
        <v>22558</v>
      </c>
      <c r="E129" s="346">
        <f t="shared" si="18"/>
        <v>5949</v>
      </c>
      <c r="F129" s="346">
        <f t="shared" si="18"/>
        <v>0</v>
      </c>
      <c r="G129" s="346">
        <f t="shared" si="18"/>
        <v>5023</v>
      </c>
      <c r="H129" s="346">
        <f t="shared" si="18"/>
        <v>0</v>
      </c>
      <c r="I129" s="346">
        <f t="shared" si="18"/>
        <v>8238</v>
      </c>
      <c r="J129" s="346">
        <f t="shared" si="18"/>
        <v>0</v>
      </c>
      <c r="K129" s="346">
        <f t="shared" si="18"/>
        <v>2120</v>
      </c>
      <c r="L129" s="346">
        <f t="shared" si="18"/>
        <v>0</v>
      </c>
      <c r="M129" s="346">
        <f t="shared" si="18"/>
        <v>572</v>
      </c>
      <c r="N129" s="346">
        <f t="shared" si="18"/>
        <v>0</v>
      </c>
      <c r="O129" s="332">
        <f>+O115+O122</f>
        <v>49494</v>
      </c>
      <c r="P129" s="347"/>
      <c r="Q129" s="330" t="s">
        <v>373</v>
      </c>
      <c r="R129" s="346">
        <f>+R115+R122</f>
        <v>205526</v>
      </c>
      <c r="S129" s="346">
        <f aca="true" t="shared" si="19" ref="S129:Y129">+S115+S122</f>
        <v>54611</v>
      </c>
      <c r="T129" s="346">
        <f t="shared" si="19"/>
        <v>125793</v>
      </c>
      <c r="U129" s="346">
        <f t="shared" si="19"/>
        <v>50157</v>
      </c>
      <c r="V129" s="346">
        <f t="shared" si="19"/>
        <v>4694</v>
      </c>
      <c r="W129" s="346"/>
      <c r="X129" s="346">
        <f t="shared" si="19"/>
        <v>1381</v>
      </c>
      <c r="Y129" s="346">
        <f t="shared" si="19"/>
        <v>10137</v>
      </c>
      <c r="Z129" s="332">
        <f>+Z115+Z122</f>
        <v>402142</v>
      </c>
    </row>
    <row r="130" spans="1:26" s="319" customFormat="1" ht="11.25" customHeight="1">
      <c r="A130" s="347"/>
      <c r="B130" s="330" t="s">
        <v>5</v>
      </c>
      <c r="C130" s="346">
        <f aca="true" t="shared" si="20" ref="C130:Z130">+C116+C123</f>
        <v>24829</v>
      </c>
      <c r="D130" s="346">
        <f t="shared" si="20"/>
        <v>20084</v>
      </c>
      <c r="E130" s="346">
        <f t="shared" si="20"/>
        <v>5451</v>
      </c>
      <c r="F130" s="346">
        <f t="shared" si="20"/>
        <v>0</v>
      </c>
      <c r="G130" s="346">
        <f t="shared" si="20"/>
        <v>5023</v>
      </c>
      <c r="H130" s="346">
        <f t="shared" si="20"/>
        <v>0</v>
      </c>
      <c r="I130" s="346">
        <f t="shared" si="20"/>
        <v>3964</v>
      </c>
      <c r="J130" s="346">
        <f t="shared" si="20"/>
        <v>0</v>
      </c>
      <c r="K130" s="346">
        <f t="shared" si="20"/>
        <v>2120</v>
      </c>
      <c r="L130" s="346">
        <f t="shared" si="20"/>
        <v>0</v>
      </c>
      <c r="M130" s="346">
        <f t="shared" si="20"/>
        <v>572</v>
      </c>
      <c r="N130" s="346">
        <f t="shared" si="20"/>
        <v>0</v>
      </c>
      <c r="O130" s="332">
        <f>+O116+O123</f>
        <v>41959</v>
      </c>
      <c r="P130" s="347"/>
      <c r="Q130" s="330" t="s">
        <v>5</v>
      </c>
      <c r="R130" s="346">
        <f t="shared" si="20"/>
        <v>201727</v>
      </c>
      <c r="S130" s="346">
        <f t="shared" si="20"/>
        <v>53652</v>
      </c>
      <c r="T130" s="346">
        <f t="shared" si="20"/>
        <v>122765</v>
      </c>
      <c r="U130" s="346">
        <f t="shared" si="20"/>
        <v>53325</v>
      </c>
      <c r="V130" s="346">
        <f t="shared" si="20"/>
        <v>4694</v>
      </c>
      <c r="W130" s="346"/>
      <c r="X130" s="346">
        <f t="shared" si="20"/>
        <v>1381</v>
      </c>
      <c r="Y130" s="346">
        <f t="shared" si="20"/>
        <v>10137</v>
      </c>
      <c r="Z130" s="332">
        <f t="shared" si="20"/>
        <v>394356</v>
      </c>
    </row>
    <row r="131" spans="1:26" ht="11.25" customHeight="1">
      <c r="A131" s="334" t="s">
        <v>391</v>
      </c>
      <c r="B131" s="330" t="s">
        <v>3</v>
      </c>
      <c r="C131" s="331">
        <v>4400</v>
      </c>
      <c r="D131" s="331">
        <v>0</v>
      </c>
      <c r="E131" s="331">
        <v>0</v>
      </c>
      <c r="F131" s="331">
        <v>0</v>
      </c>
      <c r="G131" s="331">
        <v>0</v>
      </c>
      <c r="H131" s="331">
        <v>0</v>
      </c>
      <c r="I131" s="331">
        <v>0</v>
      </c>
      <c r="J131" s="331">
        <v>0</v>
      </c>
      <c r="K131" s="331"/>
      <c r="L131" s="331">
        <v>0</v>
      </c>
      <c r="M131" s="331">
        <v>0</v>
      </c>
      <c r="N131" s="331">
        <v>0</v>
      </c>
      <c r="O131" s="332">
        <f aca="true" t="shared" si="21" ref="O131:O183">SUM(C131:N131)-D131</f>
        <v>4400</v>
      </c>
      <c r="P131" s="335" t="s">
        <v>391</v>
      </c>
      <c r="Q131" s="330" t="s">
        <v>3</v>
      </c>
      <c r="R131" s="331">
        <v>48040</v>
      </c>
      <c r="S131" s="331">
        <v>10365</v>
      </c>
      <c r="T131" s="331">
        <v>6343</v>
      </c>
      <c r="U131" s="331">
        <v>0</v>
      </c>
      <c r="V131" s="331">
        <v>0</v>
      </c>
      <c r="W131" s="331"/>
      <c r="X131" s="331">
        <v>0</v>
      </c>
      <c r="Y131" s="331">
        <v>0</v>
      </c>
      <c r="Z131" s="332">
        <f aca="true" t="shared" si="22" ref="Z131:Z186">SUM(R131:Y131)-U131</f>
        <v>64748</v>
      </c>
    </row>
    <row r="132" spans="1:26" ht="11.25" customHeight="1">
      <c r="A132" s="334"/>
      <c r="B132" s="330" t="s">
        <v>369</v>
      </c>
      <c r="C132" s="331">
        <v>4400</v>
      </c>
      <c r="D132" s="331">
        <v>0</v>
      </c>
      <c r="E132" s="331">
        <v>0</v>
      </c>
      <c r="F132" s="331">
        <v>0</v>
      </c>
      <c r="G132" s="331">
        <v>0</v>
      </c>
      <c r="H132" s="331">
        <v>0</v>
      </c>
      <c r="I132" s="331">
        <v>0</v>
      </c>
      <c r="J132" s="331">
        <v>0</v>
      </c>
      <c r="K132" s="331"/>
      <c r="L132" s="331">
        <v>0</v>
      </c>
      <c r="M132" s="331">
        <v>107</v>
      </c>
      <c r="N132" s="331">
        <v>0</v>
      </c>
      <c r="O132" s="332">
        <f t="shared" si="21"/>
        <v>4507</v>
      </c>
      <c r="P132" s="335"/>
      <c r="Q132" s="330" t="s">
        <v>369</v>
      </c>
      <c r="R132" s="331">
        <f>48040+2109+84</f>
        <v>50233</v>
      </c>
      <c r="S132" s="331">
        <f>10365+570+2176+27+23</f>
        <v>13161</v>
      </c>
      <c r="T132" s="331">
        <f>6343+170</f>
        <v>6513</v>
      </c>
      <c r="U132" s="331">
        <v>0</v>
      </c>
      <c r="V132" s="331">
        <v>0</v>
      </c>
      <c r="W132" s="331"/>
      <c r="X132" s="331">
        <v>0</v>
      </c>
      <c r="Y132" s="331">
        <v>0</v>
      </c>
      <c r="Z132" s="332">
        <f t="shared" si="22"/>
        <v>69907</v>
      </c>
    </row>
    <row r="133" spans="1:26" ht="11.25" customHeight="1">
      <c r="A133" s="334"/>
      <c r="B133" s="330" t="s">
        <v>370</v>
      </c>
      <c r="C133" s="331">
        <v>4400</v>
      </c>
      <c r="D133" s="331">
        <v>0</v>
      </c>
      <c r="E133" s="331">
        <v>0</v>
      </c>
      <c r="F133" s="331">
        <v>0</v>
      </c>
      <c r="G133" s="331">
        <f>100</f>
        <v>100</v>
      </c>
      <c r="H133" s="331">
        <v>0</v>
      </c>
      <c r="I133" s="331">
        <v>0</v>
      </c>
      <c r="J133" s="331">
        <v>0</v>
      </c>
      <c r="K133" s="331"/>
      <c r="L133" s="331">
        <v>0</v>
      </c>
      <c r="M133" s="331">
        <v>107</v>
      </c>
      <c r="N133" s="331">
        <v>0</v>
      </c>
      <c r="O133" s="332">
        <f t="shared" si="21"/>
        <v>4607</v>
      </c>
      <c r="P133" s="335"/>
      <c r="Q133" s="330" t="s">
        <v>370</v>
      </c>
      <c r="R133" s="331">
        <f>50233+602+125</f>
        <v>50960</v>
      </c>
      <c r="S133" s="331">
        <f>13161+138</f>
        <v>13299</v>
      </c>
      <c r="T133" s="331">
        <f>6513+22+100+1404</f>
        <v>8039</v>
      </c>
      <c r="U133" s="331">
        <v>0</v>
      </c>
      <c r="V133" s="331">
        <v>0</v>
      </c>
      <c r="W133" s="331"/>
      <c r="X133" s="331">
        <v>0</v>
      </c>
      <c r="Y133" s="331">
        <v>0</v>
      </c>
      <c r="Z133" s="332">
        <f t="shared" si="22"/>
        <v>72298</v>
      </c>
    </row>
    <row r="134" spans="1:26" ht="11.25" customHeight="1">
      <c r="A134" s="334"/>
      <c r="B134" s="330" t="s">
        <v>371</v>
      </c>
      <c r="C134" s="331">
        <v>4400</v>
      </c>
      <c r="D134" s="331">
        <v>0</v>
      </c>
      <c r="E134" s="331">
        <v>0</v>
      </c>
      <c r="F134" s="331">
        <v>0</v>
      </c>
      <c r="G134" s="331">
        <f>100</f>
        <v>100</v>
      </c>
      <c r="H134" s="331">
        <v>0</v>
      </c>
      <c r="I134" s="331">
        <v>0</v>
      </c>
      <c r="J134" s="331">
        <v>0</v>
      </c>
      <c r="K134" s="331"/>
      <c r="L134" s="331">
        <v>0</v>
      </c>
      <c r="M134" s="331">
        <v>107</v>
      </c>
      <c r="N134" s="331">
        <v>0</v>
      </c>
      <c r="O134" s="332">
        <f t="shared" si="21"/>
        <v>4607</v>
      </c>
      <c r="P134" s="335"/>
      <c r="Q134" s="330" t="s">
        <v>371</v>
      </c>
      <c r="R134" s="331">
        <f>50233+602+125</f>
        <v>50960</v>
      </c>
      <c r="S134" s="331">
        <f>13161+138</f>
        <v>13299</v>
      </c>
      <c r="T134" s="331">
        <f>6513+22+100+1404</f>
        <v>8039</v>
      </c>
      <c r="U134" s="331">
        <v>0</v>
      </c>
      <c r="V134" s="331">
        <v>0</v>
      </c>
      <c r="W134" s="331"/>
      <c r="X134" s="331">
        <v>0</v>
      </c>
      <c r="Y134" s="331">
        <v>0</v>
      </c>
      <c r="Z134" s="332">
        <f t="shared" si="22"/>
        <v>72298</v>
      </c>
    </row>
    <row r="135" spans="1:26" ht="11.25" customHeight="1">
      <c r="A135" s="334"/>
      <c r="B135" s="330" t="s">
        <v>372</v>
      </c>
      <c r="C135" s="331">
        <v>4400</v>
      </c>
      <c r="D135" s="331"/>
      <c r="E135" s="331"/>
      <c r="F135" s="331"/>
      <c r="G135" s="331">
        <f>100</f>
        <v>100</v>
      </c>
      <c r="H135" s="331"/>
      <c r="I135" s="331"/>
      <c r="J135" s="331"/>
      <c r="K135" s="331"/>
      <c r="L135" s="331"/>
      <c r="M135" s="331">
        <v>107</v>
      </c>
      <c r="N135" s="331"/>
      <c r="O135" s="332">
        <f t="shared" si="21"/>
        <v>4607</v>
      </c>
      <c r="P135" s="335"/>
      <c r="Q135" s="330" t="s">
        <v>372</v>
      </c>
      <c r="R135" s="331">
        <f>50233+602+125+481</f>
        <v>51441</v>
      </c>
      <c r="S135" s="331">
        <f>13161+138+145+97+230+7</f>
        <v>13778</v>
      </c>
      <c r="T135" s="331">
        <f>6513+22+100+1404+650+312+229</f>
        <v>9230</v>
      </c>
      <c r="U135" s="331"/>
      <c r="V135" s="331"/>
      <c r="W135" s="331"/>
      <c r="X135" s="331">
        <v>132</v>
      </c>
      <c r="Y135" s="331"/>
      <c r="Z135" s="332">
        <f t="shared" si="22"/>
        <v>74581</v>
      </c>
    </row>
    <row r="136" spans="1:26" ht="11.25" customHeight="1">
      <c r="A136" s="334"/>
      <c r="B136" s="330" t="s">
        <v>373</v>
      </c>
      <c r="C136" s="331">
        <v>4400</v>
      </c>
      <c r="D136" s="331"/>
      <c r="E136" s="331"/>
      <c r="F136" s="331"/>
      <c r="G136" s="331">
        <f>100</f>
        <v>100</v>
      </c>
      <c r="H136" s="331"/>
      <c r="I136" s="331"/>
      <c r="J136" s="331"/>
      <c r="K136" s="331"/>
      <c r="L136" s="331"/>
      <c r="M136" s="331">
        <v>107</v>
      </c>
      <c r="N136" s="331"/>
      <c r="O136" s="332">
        <f t="shared" si="21"/>
        <v>4607</v>
      </c>
      <c r="P136" s="335"/>
      <c r="Q136" s="330" t="s">
        <v>373</v>
      </c>
      <c r="R136" s="331">
        <f>50233+602+125+481</f>
        <v>51441</v>
      </c>
      <c r="S136" s="331">
        <f>13161+138+145+97+230+7</f>
        <v>13778</v>
      </c>
      <c r="T136" s="331">
        <f>6513+22+100+1404+650+312+229</f>
        <v>9230</v>
      </c>
      <c r="U136" s="331"/>
      <c r="V136" s="331"/>
      <c r="W136" s="331"/>
      <c r="X136" s="331">
        <v>132</v>
      </c>
      <c r="Y136" s="331"/>
      <c r="Z136" s="332">
        <f t="shared" si="22"/>
        <v>74581</v>
      </c>
    </row>
    <row r="137" spans="1:26" ht="11.25" customHeight="1">
      <c r="A137" s="334"/>
      <c r="B137" s="336" t="s">
        <v>5</v>
      </c>
      <c r="C137" s="337">
        <v>4439</v>
      </c>
      <c r="D137" s="337"/>
      <c r="E137" s="337"/>
      <c r="F137" s="337"/>
      <c r="G137" s="337">
        <v>100</v>
      </c>
      <c r="H137" s="337"/>
      <c r="I137" s="337"/>
      <c r="J137" s="337"/>
      <c r="K137" s="337"/>
      <c r="L137" s="337"/>
      <c r="M137" s="337">
        <v>107</v>
      </c>
      <c r="N137" s="337"/>
      <c r="O137" s="338">
        <f t="shared" si="21"/>
        <v>4646</v>
      </c>
      <c r="P137" s="335"/>
      <c r="Q137" s="336" t="s">
        <v>5</v>
      </c>
      <c r="R137" s="337">
        <v>51441</v>
      </c>
      <c r="S137" s="337">
        <v>13771</v>
      </c>
      <c r="T137" s="337">
        <v>9230</v>
      </c>
      <c r="U137" s="337"/>
      <c r="V137" s="337"/>
      <c r="W137" s="337"/>
      <c r="X137" s="337">
        <v>132</v>
      </c>
      <c r="Y137" s="337"/>
      <c r="Z137" s="338">
        <f t="shared" si="22"/>
        <v>74574</v>
      </c>
    </row>
    <row r="138" spans="1:26" ht="11.25" customHeight="1">
      <c r="A138" s="339" t="s">
        <v>392</v>
      </c>
      <c r="B138" s="340" t="s">
        <v>3</v>
      </c>
      <c r="C138" s="341">
        <v>1130</v>
      </c>
      <c r="D138" s="341">
        <v>0</v>
      </c>
      <c r="E138" s="341">
        <v>283</v>
      </c>
      <c r="F138" s="341">
        <v>0</v>
      </c>
      <c r="G138" s="341">
        <v>0</v>
      </c>
      <c r="H138" s="341">
        <v>0</v>
      </c>
      <c r="I138" s="341">
        <v>0</v>
      </c>
      <c r="J138" s="341">
        <v>0</v>
      </c>
      <c r="K138" s="341"/>
      <c r="L138" s="341">
        <v>0</v>
      </c>
      <c r="M138" s="341">
        <v>0</v>
      </c>
      <c r="N138" s="341">
        <v>0</v>
      </c>
      <c r="O138" s="342">
        <f t="shared" si="21"/>
        <v>1413</v>
      </c>
      <c r="P138" s="343" t="s">
        <v>392</v>
      </c>
      <c r="Q138" s="340" t="s">
        <v>3</v>
      </c>
      <c r="R138" s="341">
        <f>20063-72</f>
        <v>19991</v>
      </c>
      <c r="S138" s="341">
        <v>5196</v>
      </c>
      <c r="T138" s="341">
        <f>18144-18</f>
        <v>18126</v>
      </c>
      <c r="U138" s="341">
        <v>0</v>
      </c>
      <c r="V138" s="341">
        <v>0</v>
      </c>
      <c r="W138" s="341"/>
      <c r="X138" s="341">
        <v>0</v>
      </c>
      <c r="Y138" s="341">
        <v>0</v>
      </c>
      <c r="Z138" s="342">
        <f t="shared" si="22"/>
        <v>43313</v>
      </c>
    </row>
    <row r="139" spans="1:26" ht="11.25" customHeight="1">
      <c r="A139" s="339"/>
      <c r="B139" s="330" t="s">
        <v>369</v>
      </c>
      <c r="C139" s="331">
        <f>1130+1352</f>
        <v>2482</v>
      </c>
      <c r="D139" s="331">
        <v>0</v>
      </c>
      <c r="E139" s="331">
        <v>283</v>
      </c>
      <c r="F139" s="331">
        <v>0</v>
      </c>
      <c r="G139" s="331">
        <v>0</v>
      </c>
      <c r="H139" s="331">
        <v>0</v>
      </c>
      <c r="I139" s="331">
        <v>0</v>
      </c>
      <c r="J139" s="331">
        <v>1600</v>
      </c>
      <c r="K139" s="331"/>
      <c r="L139" s="331">
        <v>0</v>
      </c>
      <c r="M139" s="331">
        <v>1118</v>
      </c>
      <c r="N139" s="331">
        <v>0</v>
      </c>
      <c r="O139" s="332">
        <f t="shared" si="21"/>
        <v>5483</v>
      </c>
      <c r="P139" s="343"/>
      <c r="Q139" s="330" t="s">
        <v>369</v>
      </c>
      <c r="R139" s="331">
        <f>20063-72+976+8+40</f>
        <v>21015</v>
      </c>
      <c r="S139" s="331">
        <f>5196+264+19+2+11</f>
        <v>5492</v>
      </c>
      <c r="T139" s="331">
        <f>18144-18+535+573</f>
        <v>19234</v>
      </c>
      <c r="U139" s="331">
        <v>0</v>
      </c>
      <c r="V139" s="331">
        <v>0</v>
      </c>
      <c r="W139" s="331"/>
      <c r="X139" s="331">
        <f>1600+1352</f>
        <v>2952</v>
      </c>
      <c r="Y139" s="331">
        <v>0</v>
      </c>
      <c r="Z139" s="332">
        <f t="shared" si="22"/>
        <v>48693</v>
      </c>
    </row>
    <row r="140" spans="1:26" ht="11.25" customHeight="1">
      <c r="A140" s="339"/>
      <c r="B140" s="330" t="s">
        <v>370</v>
      </c>
      <c r="C140" s="331">
        <f>2482+126+784</f>
        <v>3392</v>
      </c>
      <c r="D140" s="331">
        <v>0</v>
      </c>
      <c r="E140" s="331">
        <v>283</v>
      </c>
      <c r="F140" s="331">
        <v>0</v>
      </c>
      <c r="G140" s="331">
        <v>0</v>
      </c>
      <c r="H140" s="331">
        <v>0</v>
      </c>
      <c r="I140" s="331">
        <v>0</v>
      </c>
      <c r="J140" s="331">
        <v>1600</v>
      </c>
      <c r="K140" s="331"/>
      <c r="L140" s="331">
        <v>0</v>
      </c>
      <c r="M140" s="331">
        <v>1118</v>
      </c>
      <c r="N140" s="331">
        <v>0</v>
      </c>
      <c r="O140" s="332">
        <f t="shared" si="21"/>
        <v>6393</v>
      </c>
      <c r="P140" s="343"/>
      <c r="Q140" s="330" t="s">
        <v>370</v>
      </c>
      <c r="R140" s="331">
        <f>21015+50+1602</f>
        <v>22667</v>
      </c>
      <c r="S140" s="331">
        <f>5196+264+19+2+11+425</f>
        <v>5917</v>
      </c>
      <c r="T140" s="331">
        <f>19234+126+13+2570+7+996</f>
        <v>22946</v>
      </c>
      <c r="U140" s="331">
        <v>0</v>
      </c>
      <c r="V140" s="331">
        <v>0</v>
      </c>
      <c r="W140" s="331"/>
      <c r="X140" s="331">
        <f>1600+1352</f>
        <v>2952</v>
      </c>
      <c r="Y140" s="331">
        <v>0</v>
      </c>
      <c r="Z140" s="332">
        <f t="shared" si="22"/>
        <v>54482</v>
      </c>
    </row>
    <row r="141" spans="1:26" ht="11.25" customHeight="1">
      <c r="A141" s="339"/>
      <c r="B141" s="330" t="s">
        <v>371</v>
      </c>
      <c r="C141" s="331">
        <f>2482+126+784</f>
        <v>3392</v>
      </c>
      <c r="D141" s="331">
        <v>0</v>
      </c>
      <c r="E141" s="331">
        <f>283+1600</f>
        <v>1883</v>
      </c>
      <c r="F141" s="331">
        <v>0</v>
      </c>
      <c r="G141" s="331">
        <v>0</v>
      </c>
      <c r="H141" s="331">
        <v>0</v>
      </c>
      <c r="I141" s="331">
        <v>0</v>
      </c>
      <c r="J141" s="331">
        <f>1600-1600</f>
        <v>0</v>
      </c>
      <c r="K141" s="331">
        <v>2313</v>
      </c>
      <c r="L141" s="331">
        <v>0</v>
      </c>
      <c r="M141" s="331">
        <v>1118</v>
      </c>
      <c r="N141" s="331">
        <v>0</v>
      </c>
      <c r="O141" s="332">
        <f t="shared" si="21"/>
        <v>8706</v>
      </c>
      <c r="P141" s="343"/>
      <c r="Q141" s="330" t="s">
        <v>371</v>
      </c>
      <c r="R141" s="331">
        <f>21015+50+1602-1602+350</f>
        <v>21415</v>
      </c>
      <c r="S141" s="331">
        <f>5196+264+19+2+11+425-425+94</f>
        <v>5586</v>
      </c>
      <c r="T141" s="331">
        <f>19234+126+13+2570+7+996-7+90</f>
        <v>23029</v>
      </c>
      <c r="U141" s="331">
        <v>0</v>
      </c>
      <c r="V141" s="331">
        <v>0</v>
      </c>
      <c r="W141" s="331"/>
      <c r="X141" s="331">
        <f>1600+1352+1779-1600+1600</f>
        <v>4731</v>
      </c>
      <c r="Y141" s="331">
        <v>0</v>
      </c>
      <c r="Z141" s="332">
        <f t="shared" si="22"/>
        <v>54761</v>
      </c>
    </row>
    <row r="142" spans="1:26" ht="11.25" customHeight="1">
      <c r="A142" s="339"/>
      <c r="B142" s="330" t="s">
        <v>372</v>
      </c>
      <c r="C142" s="331">
        <f>2482+126+784</f>
        <v>3392</v>
      </c>
      <c r="D142" s="331"/>
      <c r="E142" s="331">
        <f>283+1600</f>
        <v>1883</v>
      </c>
      <c r="F142" s="331"/>
      <c r="G142" s="331"/>
      <c r="H142" s="331"/>
      <c r="I142" s="331">
        <v>6944</v>
      </c>
      <c r="J142" s="331">
        <v>3179</v>
      </c>
      <c r="K142" s="331">
        <v>2313</v>
      </c>
      <c r="L142" s="331"/>
      <c r="M142" s="331">
        <v>1118</v>
      </c>
      <c r="N142" s="331"/>
      <c r="O142" s="332">
        <f t="shared" si="21"/>
        <v>18829</v>
      </c>
      <c r="P142" s="343"/>
      <c r="Q142" s="330" t="s">
        <v>393</v>
      </c>
      <c r="R142" s="331">
        <f>21015+50+1602-1602+350+300+1170</f>
        <v>22885</v>
      </c>
      <c r="S142" s="331">
        <f>5196+264+19+2+11+425-425+94+81+316</f>
        <v>5983</v>
      </c>
      <c r="T142" s="331">
        <f>19234+126+13+2570+7+996-7+90+625+4452</f>
        <v>28106</v>
      </c>
      <c r="U142" s="331"/>
      <c r="V142" s="331"/>
      <c r="W142" s="331"/>
      <c r="X142" s="331">
        <f>1600+1352+1779-1600+1600+3179</f>
        <v>7910</v>
      </c>
      <c r="Y142" s="331"/>
      <c r="Z142" s="332">
        <f t="shared" si="22"/>
        <v>64884</v>
      </c>
    </row>
    <row r="143" spans="1:26" ht="11.25" customHeight="1">
      <c r="A143" s="339"/>
      <c r="B143" s="330" t="s">
        <v>373</v>
      </c>
      <c r="C143" s="331">
        <f>2482+126+784</f>
        <v>3392</v>
      </c>
      <c r="D143" s="331"/>
      <c r="E143" s="331">
        <f>283+1600</f>
        <v>1883</v>
      </c>
      <c r="F143" s="331"/>
      <c r="G143" s="331"/>
      <c r="H143" s="331"/>
      <c r="I143" s="331">
        <v>6944</v>
      </c>
      <c r="J143" s="331">
        <v>3179</v>
      </c>
      <c r="K143" s="331">
        <v>2313</v>
      </c>
      <c r="L143" s="331"/>
      <c r="M143" s="331">
        <v>1118</v>
      </c>
      <c r="N143" s="331"/>
      <c r="O143" s="332">
        <f t="shared" si="21"/>
        <v>18829</v>
      </c>
      <c r="P143" s="343"/>
      <c r="Q143" s="330" t="s">
        <v>373</v>
      </c>
      <c r="R143" s="331">
        <f>21015+50+1602-1602+350+300+1170</f>
        <v>22885</v>
      </c>
      <c r="S143" s="331">
        <f>5196+264+19+2+11+425-425+94+81+316</f>
        <v>5983</v>
      </c>
      <c r="T143" s="331">
        <f>19234+126+13+2570+7+996-7+90+625+4452</f>
        <v>28106</v>
      </c>
      <c r="U143" s="331"/>
      <c r="V143" s="331"/>
      <c r="W143" s="331"/>
      <c r="X143" s="331">
        <f>1600+1352+1779-1600+1600+3179</f>
        <v>7910</v>
      </c>
      <c r="Y143" s="331"/>
      <c r="Z143" s="332">
        <f t="shared" si="22"/>
        <v>64884</v>
      </c>
    </row>
    <row r="144" spans="1:26" ht="11.25" customHeight="1">
      <c r="A144" s="339"/>
      <c r="B144" s="330" t="s">
        <v>5</v>
      </c>
      <c r="C144" s="331">
        <v>3241</v>
      </c>
      <c r="D144" s="331"/>
      <c r="E144" s="331">
        <v>2064</v>
      </c>
      <c r="F144" s="331"/>
      <c r="G144" s="331"/>
      <c r="H144" s="331"/>
      <c r="I144" s="331">
        <v>13191</v>
      </c>
      <c r="J144" s="331">
        <v>3179</v>
      </c>
      <c r="K144" s="331">
        <v>2313</v>
      </c>
      <c r="L144" s="331"/>
      <c r="M144" s="331">
        <v>1118</v>
      </c>
      <c r="N144" s="331"/>
      <c r="O144" s="332">
        <f t="shared" si="21"/>
        <v>25106</v>
      </c>
      <c r="P144" s="343"/>
      <c r="Q144" s="330" t="s">
        <v>5</v>
      </c>
      <c r="R144" s="331">
        <v>22299</v>
      </c>
      <c r="S144" s="331">
        <v>5599</v>
      </c>
      <c r="T144" s="331">
        <v>21541</v>
      </c>
      <c r="U144" s="331"/>
      <c r="V144" s="331"/>
      <c r="W144" s="331"/>
      <c r="X144" s="331">
        <v>2370</v>
      </c>
      <c r="Y144" s="331"/>
      <c r="Z144" s="332">
        <f t="shared" si="22"/>
        <v>51809</v>
      </c>
    </row>
    <row r="145" spans="1:26" ht="11.25" customHeight="1">
      <c r="A145" s="348" t="s">
        <v>394</v>
      </c>
      <c r="B145" s="330" t="s">
        <v>3</v>
      </c>
      <c r="C145" s="331">
        <v>480</v>
      </c>
      <c r="D145" s="331"/>
      <c r="E145" s="331">
        <v>120</v>
      </c>
      <c r="F145" s="331"/>
      <c r="G145" s="331"/>
      <c r="H145" s="331"/>
      <c r="I145" s="331"/>
      <c r="J145" s="331"/>
      <c r="K145" s="331"/>
      <c r="L145" s="331"/>
      <c r="M145" s="331"/>
      <c r="N145" s="331"/>
      <c r="O145" s="332">
        <f t="shared" si="21"/>
        <v>600</v>
      </c>
      <c r="P145" s="348" t="s">
        <v>394</v>
      </c>
      <c r="Q145" s="330" t="s">
        <v>3</v>
      </c>
      <c r="R145" s="331">
        <v>1220</v>
      </c>
      <c r="S145" s="331">
        <v>329</v>
      </c>
      <c r="T145" s="331">
        <v>1052</v>
      </c>
      <c r="U145" s="331"/>
      <c r="V145" s="331"/>
      <c r="W145" s="331"/>
      <c r="X145" s="331"/>
      <c r="Y145" s="331"/>
      <c r="Z145" s="332">
        <f t="shared" si="22"/>
        <v>2601</v>
      </c>
    </row>
    <row r="146" spans="1:26" ht="11.25" customHeight="1">
      <c r="A146" s="348"/>
      <c r="B146" s="330" t="s">
        <v>369</v>
      </c>
      <c r="C146" s="331">
        <v>480</v>
      </c>
      <c r="D146" s="331"/>
      <c r="E146" s="331">
        <v>120</v>
      </c>
      <c r="F146" s="331"/>
      <c r="G146" s="331"/>
      <c r="H146" s="331"/>
      <c r="I146" s="331"/>
      <c r="J146" s="331"/>
      <c r="K146" s="331"/>
      <c r="L146" s="331"/>
      <c r="M146" s="331">
        <v>85</v>
      </c>
      <c r="N146" s="331"/>
      <c r="O146" s="332">
        <f t="shared" si="21"/>
        <v>685</v>
      </c>
      <c r="P146" s="348"/>
      <c r="Q146" s="330" t="s">
        <v>369</v>
      </c>
      <c r="R146" s="331">
        <v>1220</v>
      </c>
      <c r="S146" s="331">
        <v>329</v>
      </c>
      <c r="T146" s="331">
        <f>1052+85</f>
        <v>1137</v>
      </c>
      <c r="U146" s="331"/>
      <c r="V146" s="331"/>
      <c r="W146" s="331"/>
      <c r="X146" s="331"/>
      <c r="Y146" s="331"/>
      <c r="Z146" s="332">
        <f t="shared" si="22"/>
        <v>2686</v>
      </c>
    </row>
    <row r="147" spans="1:26" ht="11.25" customHeight="1">
      <c r="A147" s="348"/>
      <c r="B147" s="330" t="s">
        <v>370</v>
      </c>
      <c r="C147" s="331">
        <v>480</v>
      </c>
      <c r="D147" s="331"/>
      <c r="E147" s="331">
        <v>120</v>
      </c>
      <c r="F147" s="331"/>
      <c r="G147" s="331"/>
      <c r="H147" s="331"/>
      <c r="I147" s="331"/>
      <c r="J147" s="331"/>
      <c r="K147" s="331"/>
      <c r="L147" s="331"/>
      <c r="M147" s="331">
        <v>85</v>
      </c>
      <c r="N147" s="331"/>
      <c r="O147" s="332">
        <f t="shared" si="21"/>
        <v>685</v>
      </c>
      <c r="P147" s="348"/>
      <c r="Q147" s="330" t="s">
        <v>370</v>
      </c>
      <c r="R147" s="331">
        <v>1220</v>
      </c>
      <c r="S147" s="331">
        <v>329</v>
      </c>
      <c r="T147" s="331">
        <f>1052+85+1050</f>
        <v>2187</v>
      </c>
      <c r="U147" s="331"/>
      <c r="V147" s="331"/>
      <c r="W147" s="331"/>
      <c r="X147" s="331"/>
      <c r="Y147" s="331"/>
      <c r="Z147" s="332">
        <f t="shared" si="22"/>
        <v>3736</v>
      </c>
    </row>
    <row r="148" spans="1:26" ht="11.25" customHeight="1">
      <c r="A148" s="348"/>
      <c r="B148" s="330" t="s">
        <v>371</v>
      </c>
      <c r="C148" s="331">
        <v>480</v>
      </c>
      <c r="D148" s="331"/>
      <c r="E148" s="331">
        <v>120</v>
      </c>
      <c r="F148" s="331"/>
      <c r="G148" s="331"/>
      <c r="H148" s="331"/>
      <c r="I148" s="331"/>
      <c r="J148" s="331"/>
      <c r="K148" s="331"/>
      <c r="L148" s="331"/>
      <c r="M148" s="331">
        <v>85</v>
      </c>
      <c r="N148" s="331"/>
      <c r="O148" s="332">
        <f t="shared" si="21"/>
        <v>685</v>
      </c>
      <c r="P148" s="348"/>
      <c r="Q148" s="330" t="s">
        <v>371</v>
      </c>
      <c r="R148" s="331">
        <v>1220</v>
      </c>
      <c r="S148" s="331">
        <v>329</v>
      </c>
      <c r="T148" s="331">
        <f>1052+85+1050</f>
        <v>2187</v>
      </c>
      <c r="U148" s="331"/>
      <c r="V148" s="331"/>
      <c r="W148" s="331"/>
      <c r="X148" s="331"/>
      <c r="Y148" s="331"/>
      <c r="Z148" s="332">
        <f t="shared" si="22"/>
        <v>3736</v>
      </c>
    </row>
    <row r="149" spans="1:26" ht="11.25" customHeight="1">
      <c r="A149" s="348"/>
      <c r="B149" s="330" t="s">
        <v>372</v>
      </c>
      <c r="C149" s="331">
        <v>480</v>
      </c>
      <c r="D149" s="331"/>
      <c r="E149" s="331">
        <v>120</v>
      </c>
      <c r="F149" s="331"/>
      <c r="G149" s="331"/>
      <c r="H149" s="331"/>
      <c r="I149" s="331"/>
      <c r="J149" s="331"/>
      <c r="K149" s="331"/>
      <c r="L149" s="331"/>
      <c r="M149" s="331">
        <v>85</v>
      </c>
      <c r="N149" s="331"/>
      <c r="O149" s="332">
        <f t="shared" si="21"/>
        <v>685</v>
      </c>
      <c r="P149" s="348"/>
      <c r="Q149" s="330" t="s">
        <v>372</v>
      </c>
      <c r="R149" s="331">
        <f>1220+67</f>
        <v>1287</v>
      </c>
      <c r="S149" s="331">
        <f>329+18</f>
        <v>347</v>
      </c>
      <c r="T149" s="331">
        <f>1052+85+1050</f>
        <v>2187</v>
      </c>
      <c r="U149" s="331"/>
      <c r="V149" s="331"/>
      <c r="W149" s="331"/>
      <c r="X149" s="331"/>
      <c r="Y149" s="331"/>
      <c r="Z149" s="332">
        <f t="shared" si="22"/>
        <v>3821</v>
      </c>
    </row>
    <row r="150" spans="1:26" ht="11.25" customHeight="1">
      <c r="A150" s="348"/>
      <c r="B150" s="330" t="s">
        <v>373</v>
      </c>
      <c r="C150" s="331">
        <v>480</v>
      </c>
      <c r="D150" s="331"/>
      <c r="E150" s="331">
        <v>120</v>
      </c>
      <c r="F150" s="331"/>
      <c r="G150" s="331"/>
      <c r="H150" s="331"/>
      <c r="I150" s="331"/>
      <c r="J150" s="331"/>
      <c r="K150" s="331"/>
      <c r="L150" s="331"/>
      <c r="M150" s="331">
        <v>85</v>
      </c>
      <c r="N150" s="331"/>
      <c r="O150" s="332">
        <f t="shared" si="21"/>
        <v>685</v>
      </c>
      <c r="P150" s="348"/>
      <c r="Q150" s="330" t="s">
        <v>373</v>
      </c>
      <c r="R150" s="331">
        <f>1220+67</f>
        <v>1287</v>
      </c>
      <c r="S150" s="331">
        <f>329+18</f>
        <v>347</v>
      </c>
      <c r="T150" s="331">
        <f>1052+85+1050</f>
        <v>2187</v>
      </c>
      <c r="U150" s="331"/>
      <c r="V150" s="331"/>
      <c r="W150" s="331"/>
      <c r="X150" s="331"/>
      <c r="Y150" s="331"/>
      <c r="Z150" s="332">
        <f t="shared" si="22"/>
        <v>3821</v>
      </c>
    </row>
    <row r="151" spans="1:26" ht="11.25" customHeight="1">
      <c r="A151" s="348"/>
      <c r="B151" s="330" t="s">
        <v>5</v>
      </c>
      <c r="C151" s="331"/>
      <c r="D151" s="331"/>
      <c r="E151" s="331"/>
      <c r="F151" s="331"/>
      <c r="G151" s="331"/>
      <c r="H151" s="331"/>
      <c r="I151" s="331"/>
      <c r="J151" s="331"/>
      <c r="K151" s="331"/>
      <c r="L151" s="331"/>
      <c r="M151" s="331">
        <v>85</v>
      </c>
      <c r="N151" s="331"/>
      <c r="O151" s="332">
        <f t="shared" si="21"/>
        <v>85</v>
      </c>
      <c r="P151" s="348"/>
      <c r="Q151" s="330" t="s">
        <v>5</v>
      </c>
      <c r="R151" s="331">
        <v>1004</v>
      </c>
      <c r="S151" s="331">
        <v>0</v>
      </c>
      <c r="T151" s="331">
        <v>2168</v>
      </c>
      <c r="U151" s="331"/>
      <c r="V151" s="331"/>
      <c r="W151" s="331"/>
      <c r="X151" s="331">
        <v>437</v>
      </c>
      <c r="Y151" s="331"/>
      <c r="Z151" s="332">
        <f t="shared" si="22"/>
        <v>3609</v>
      </c>
    </row>
    <row r="152" spans="1:26" ht="11.25" customHeight="1">
      <c r="A152" s="349" t="s">
        <v>395</v>
      </c>
      <c r="B152" s="330" t="s">
        <v>3</v>
      </c>
      <c r="C152" s="331">
        <v>38</v>
      </c>
      <c r="D152" s="331"/>
      <c r="E152" s="331">
        <v>10</v>
      </c>
      <c r="F152" s="331"/>
      <c r="G152" s="331"/>
      <c r="H152" s="331"/>
      <c r="I152" s="331"/>
      <c r="J152" s="331"/>
      <c r="K152" s="331"/>
      <c r="L152" s="331"/>
      <c r="M152" s="331"/>
      <c r="N152" s="331"/>
      <c r="O152" s="332">
        <f t="shared" si="21"/>
        <v>48</v>
      </c>
      <c r="P152" s="348" t="s">
        <v>395</v>
      </c>
      <c r="Q152" s="330" t="s">
        <v>3</v>
      </c>
      <c r="R152" s="331">
        <v>9933</v>
      </c>
      <c r="S152" s="331">
        <v>2549</v>
      </c>
      <c r="T152" s="331">
        <v>4004</v>
      </c>
      <c r="U152" s="331"/>
      <c r="V152" s="331"/>
      <c r="W152" s="331"/>
      <c r="X152" s="331"/>
      <c r="Y152" s="331"/>
      <c r="Z152" s="332">
        <f t="shared" si="22"/>
        <v>16486</v>
      </c>
    </row>
    <row r="153" spans="1:26" ht="11.25" customHeight="1">
      <c r="A153" s="349"/>
      <c r="B153" s="330" t="s">
        <v>369</v>
      </c>
      <c r="C153" s="331">
        <v>38</v>
      </c>
      <c r="D153" s="331"/>
      <c r="E153" s="331">
        <v>10</v>
      </c>
      <c r="F153" s="331"/>
      <c r="G153" s="331"/>
      <c r="H153" s="331"/>
      <c r="I153" s="331"/>
      <c r="J153" s="331"/>
      <c r="K153" s="331"/>
      <c r="L153" s="331"/>
      <c r="M153" s="331">
        <v>8</v>
      </c>
      <c r="N153" s="331"/>
      <c r="O153" s="332">
        <f t="shared" si="21"/>
        <v>56</v>
      </c>
      <c r="P153" s="348"/>
      <c r="Q153" s="330" t="s">
        <v>369</v>
      </c>
      <c r="R153" s="331">
        <v>9933</v>
      </c>
      <c r="S153" s="331">
        <v>2549</v>
      </c>
      <c r="T153" s="331">
        <f>4004+8</f>
        <v>4012</v>
      </c>
      <c r="U153" s="331"/>
      <c r="V153" s="331"/>
      <c r="W153" s="331"/>
      <c r="X153" s="331"/>
      <c r="Y153" s="331"/>
      <c r="Z153" s="332">
        <f t="shared" si="22"/>
        <v>16494</v>
      </c>
    </row>
    <row r="154" spans="1:26" ht="11.25" customHeight="1">
      <c r="A154" s="349"/>
      <c r="B154" s="330" t="s">
        <v>370</v>
      </c>
      <c r="C154" s="331">
        <v>38</v>
      </c>
      <c r="D154" s="331"/>
      <c r="E154" s="331">
        <v>10</v>
      </c>
      <c r="F154" s="331"/>
      <c r="G154" s="331"/>
      <c r="H154" s="331"/>
      <c r="I154" s="331"/>
      <c r="J154" s="331"/>
      <c r="K154" s="331"/>
      <c r="L154" s="331"/>
      <c r="M154" s="331">
        <v>8</v>
      </c>
      <c r="N154" s="331"/>
      <c r="O154" s="332">
        <f t="shared" si="21"/>
        <v>56</v>
      </c>
      <c r="P154" s="348"/>
      <c r="Q154" s="330" t="s">
        <v>370</v>
      </c>
      <c r="R154" s="331">
        <v>9933</v>
      </c>
      <c r="S154" s="331">
        <v>2549</v>
      </c>
      <c r="T154" s="331">
        <f>4004+8</f>
        <v>4012</v>
      </c>
      <c r="U154" s="331"/>
      <c r="V154" s="331"/>
      <c r="W154" s="331"/>
      <c r="X154" s="331"/>
      <c r="Y154" s="331"/>
      <c r="Z154" s="332">
        <f t="shared" si="22"/>
        <v>16494</v>
      </c>
    </row>
    <row r="155" spans="1:26" ht="11.25" customHeight="1">
      <c r="A155" s="349"/>
      <c r="B155" s="330" t="s">
        <v>371</v>
      </c>
      <c r="C155" s="331">
        <v>38</v>
      </c>
      <c r="D155" s="331"/>
      <c r="E155" s="331">
        <v>10</v>
      </c>
      <c r="F155" s="331"/>
      <c r="G155" s="331"/>
      <c r="H155" s="331"/>
      <c r="I155" s="331"/>
      <c r="J155" s="331"/>
      <c r="K155" s="331"/>
      <c r="L155" s="331"/>
      <c r="M155" s="331">
        <v>8</v>
      </c>
      <c r="N155" s="331"/>
      <c r="O155" s="332">
        <f t="shared" si="21"/>
        <v>56</v>
      </c>
      <c r="P155" s="348"/>
      <c r="Q155" s="330" t="s">
        <v>371</v>
      </c>
      <c r="R155" s="331">
        <v>9933</v>
      </c>
      <c r="S155" s="331">
        <v>2549</v>
      </c>
      <c r="T155" s="331">
        <f>4004+8</f>
        <v>4012</v>
      </c>
      <c r="U155" s="331"/>
      <c r="V155" s="331"/>
      <c r="W155" s="331"/>
      <c r="X155" s="331"/>
      <c r="Y155" s="331"/>
      <c r="Z155" s="332">
        <f t="shared" si="22"/>
        <v>16494</v>
      </c>
    </row>
    <row r="156" spans="1:26" ht="11.25" customHeight="1">
      <c r="A156" s="349"/>
      <c r="B156" s="330" t="s">
        <v>372</v>
      </c>
      <c r="C156" s="331">
        <v>38</v>
      </c>
      <c r="D156" s="331"/>
      <c r="E156" s="331">
        <v>10</v>
      </c>
      <c r="F156" s="331"/>
      <c r="G156" s="331"/>
      <c r="H156" s="331"/>
      <c r="I156" s="331"/>
      <c r="J156" s="331"/>
      <c r="K156" s="331"/>
      <c r="L156" s="331"/>
      <c r="M156" s="331">
        <v>8</v>
      </c>
      <c r="N156" s="331"/>
      <c r="O156" s="332">
        <f t="shared" si="21"/>
        <v>56</v>
      </c>
      <c r="P156" s="348"/>
      <c r="Q156" s="330" t="s">
        <v>372</v>
      </c>
      <c r="R156" s="331">
        <f>9933+603</f>
        <v>10536</v>
      </c>
      <c r="S156" s="331">
        <f>2549+160</f>
        <v>2709</v>
      </c>
      <c r="T156" s="331">
        <f>4004+8</f>
        <v>4012</v>
      </c>
      <c r="U156" s="331"/>
      <c r="V156" s="331"/>
      <c r="W156" s="331"/>
      <c r="X156" s="331"/>
      <c r="Y156" s="331"/>
      <c r="Z156" s="332">
        <f t="shared" si="22"/>
        <v>17257</v>
      </c>
    </row>
    <row r="157" spans="1:26" ht="11.25" customHeight="1">
      <c r="A157" s="349"/>
      <c r="B157" s="330" t="s">
        <v>373</v>
      </c>
      <c r="C157" s="331">
        <v>38</v>
      </c>
      <c r="D157" s="331"/>
      <c r="E157" s="331">
        <v>10</v>
      </c>
      <c r="F157" s="331"/>
      <c r="G157" s="331"/>
      <c r="H157" s="331"/>
      <c r="I157" s="331"/>
      <c r="J157" s="331"/>
      <c r="K157" s="331"/>
      <c r="L157" s="331"/>
      <c r="M157" s="331">
        <v>8</v>
      </c>
      <c r="N157" s="331"/>
      <c r="O157" s="332">
        <f t="shared" si="21"/>
        <v>56</v>
      </c>
      <c r="P157" s="348"/>
      <c r="Q157" s="330" t="s">
        <v>373</v>
      </c>
      <c r="R157" s="331">
        <f>9933+603</f>
        <v>10536</v>
      </c>
      <c r="S157" s="331">
        <f>2549+160</f>
        <v>2709</v>
      </c>
      <c r="T157" s="331">
        <f>4004+8</f>
        <v>4012</v>
      </c>
      <c r="U157" s="331"/>
      <c r="V157" s="331"/>
      <c r="W157" s="331"/>
      <c r="X157" s="331"/>
      <c r="Y157" s="331"/>
      <c r="Z157" s="332">
        <f t="shared" si="22"/>
        <v>17257</v>
      </c>
    </row>
    <row r="158" spans="1:26" ht="11.25" customHeight="1">
      <c r="A158" s="349"/>
      <c r="B158" s="330" t="s">
        <v>5</v>
      </c>
      <c r="C158" s="331">
        <v>0</v>
      </c>
      <c r="D158" s="331"/>
      <c r="E158" s="331">
        <v>0</v>
      </c>
      <c r="F158" s="331"/>
      <c r="G158" s="331"/>
      <c r="H158" s="331"/>
      <c r="I158" s="331"/>
      <c r="J158" s="331"/>
      <c r="K158" s="331"/>
      <c r="L158" s="331"/>
      <c r="M158" s="331">
        <v>8</v>
      </c>
      <c r="N158" s="331"/>
      <c r="O158" s="332">
        <f t="shared" si="21"/>
        <v>8</v>
      </c>
      <c r="P158" s="348"/>
      <c r="Q158" s="330" t="s">
        <v>5</v>
      </c>
      <c r="R158" s="331">
        <v>10038</v>
      </c>
      <c r="S158" s="331">
        <v>2559</v>
      </c>
      <c r="T158" s="331">
        <v>4769</v>
      </c>
      <c r="U158" s="331"/>
      <c r="V158" s="331"/>
      <c r="W158" s="331"/>
      <c r="X158" s="331"/>
      <c r="Y158" s="331"/>
      <c r="Z158" s="332">
        <f t="shared" si="22"/>
        <v>17366</v>
      </c>
    </row>
    <row r="159" spans="1:26" ht="11.25" customHeight="1">
      <c r="A159" s="349" t="s">
        <v>396</v>
      </c>
      <c r="B159" s="330" t="s">
        <v>3</v>
      </c>
      <c r="C159" s="331">
        <v>115</v>
      </c>
      <c r="D159" s="331"/>
      <c r="E159" s="331">
        <v>29</v>
      </c>
      <c r="F159" s="331"/>
      <c r="G159" s="331"/>
      <c r="H159" s="331"/>
      <c r="I159" s="331"/>
      <c r="J159" s="331"/>
      <c r="K159" s="331"/>
      <c r="L159" s="331"/>
      <c r="M159" s="331"/>
      <c r="N159" s="331"/>
      <c r="O159" s="332">
        <f t="shared" si="21"/>
        <v>144</v>
      </c>
      <c r="P159" s="348" t="s">
        <v>396</v>
      </c>
      <c r="Q159" s="330" t="s">
        <v>3</v>
      </c>
      <c r="R159" s="331">
        <v>3974</v>
      </c>
      <c r="S159" s="331">
        <v>1034</v>
      </c>
      <c r="T159" s="331">
        <v>1976</v>
      </c>
      <c r="U159" s="331"/>
      <c r="V159" s="331"/>
      <c r="W159" s="331"/>
      <c r="X159" s="331"/>
      <c r="Y159" s="331"/>
      <c r="Z159" s="332">
        <f t="shared" si="22"/>
        <v>6984</v>
      </c>
    </row>
    <row r="160" spans="1:26" ht="11.25" customHeight="1">
      <c r="A160" s="349"/>
      <c r="B160" s="330" t="s">
        <v>369</v>
      </c>
      <c r="C160" s="331">
        <v>115</v>
      </c>
      <c r="D160" s="331"/>
      <c r="E160" s="331">
        <v>29</v>
      </c>
      <c r="F160" s="331"/>
      <c r="G160" s="331"/>
      <c r="H160" s="331"/>
      <c r="I160" s="331"/>
      <c r="J160" s="331"/>
      <c r="K160" s="331"/>
      <c r="L160" s="331"/>
      <c r="M160" s="331"/>
      <c r="N160" s="331"/>
      <c r="O160" s="332">
        <f t="shared" si="21"/>
        <v>144</v>
      </c>
      <c r="P160" s="348"/>
      <c r="Q160" s="330" t="s">
        <v>369</v>
      </c>
      <c r="R160" s="331">
        <v>3974</v>
      </c>
      <c r="S160" s="331">
        <v>1034</v>
      </c>
      <c r="T160" s="331">
        <v>1976</v>
      </c>
      <c r="U160" s="331"/>
      <c r="V160" s="331"/>
      <c r="W160" s="331"/>
      <c r="X160" s="331"/>
      <c r="Y160" s="331"/>
      <c r="Z160" s="332">
        <f t="shared" si="22"/>
        <v>6984</v>
      </c>
    </row>
    <row r="161" spans="1:26" ht="11.25" customHeight="1">
      <c r="A161" s="349"/>
      <c r="B161" s="330" t="s">
        <v>370</v>
      </c>
      <c r="C161" s="331">
        <v>115</v>
      </c>
      <c r="D161" s="331"/>
      <c r="E161" s="331">
        <v>29</v>
      </c>
      <c r="F161" s="331"/>
      <c r="G161" s="331">
        <f>779+3766</f>
        <v>4545</v>
      </c>
      <c r="H161" s="331"/>
      <c r="I161" s="331">
        <v>1002</v>
      </c>
      <c r="J161" s="331"/>
      <c r="K161" s="331"/>
      <c r="L161" s="331"/>
      <c r="M161" s="331"/>
      <c r="N161" s="331"/>
      <c r="O161" s="332">
        <f t="shared" si="21"/>
        <v>5691</v>
      </c>
      <c r="P161" s="348"/>
      <c r="Q161" s="330" t="s">
        <v>370</v>
      </c>
      <c r="R161" s="331">
        <f>3974+789</f>
        <v>4763</v>
      </c>
      <c r="S161" s="331">
        <f>1034+213</f>
        <v>1247</v>
      </c>
      <c r="T161" s="331">
        <v>1976</v>
      </c>
      <c r="U161" s="331"/>
      <c r="V161" s="331"/>
      <c r="W161" s="331"/>
      <c r="X161" s="331"/>
      <c r="Y161" s="331"/>
      <c r="Z161" s="332">
        <f t="shared" si="22"/>
        <v>7986</v>
      </c>
    </row>
    <row r="162" spans="1:26" ht="11.25" customHeight="1">
      <c r="A162" s="349"/>
      <c r="B162" s="330" t="s">
        <v>371</v>
      </c>
      <c r="C162" s="331">
        <v>115</v>
      </c>
      <c r="D162" s="331"/>
      <c r="E162" s="331">
        <v>29</v>
      </c>
      <c r="F162" s="331"/>
      <c r="G162" s="331">
        <f>779+3766</f>
        <v>4545</v>
      </c>
      <c r="H162" s="331"/>
      <c r="I162" s="331">
        <f>1002+96</f>
        <v>1098</v>
      </c>
      <c r="J162" s="331"/>
      <c r="K162" s="331"/>
      <c r="L162" s="331"/>
      <c r="M162" s="331"/>
      <c r="N162" s="331"/>
      <c r="O162" s="332">
        <f t="shared" si="21"/>
        <v>5787</v>
      </c>
      <c r="P162" s="348"/>
      <c r="Q162" s="330" t="s">
        <v>371</v>
      </c>
      <c r="R162" s="331">
        <f>3974+789+76</f>
        <v>4839</v>
      </c>
      <c r="S162" s="331">
        <f>1034+213+20</f>
        <v>1267</v>
      </c>
      <c r="T162" s="331">
        <v>1976</v>
      </c>
      <c r="U162" s="331"/>
      <c r="V162" s="331"/>
      <c r="W162" s="331"/>
      <c r="X162" s="331"/>
      <c r="Y162" s="331"/>
      <c r="Z162" s="332">
        <f t="shared" si="22"/>
        <v>8082</v>
      </c>
    </row>
    <row r="163" spans="1:26" ht="11.25" customHeight="1">
      <c r="A163" s="349"/>
      <c r="B163" s="330" t="s">
        <v>372</v>
      </c>
      <c r="C163" s="331">
        <v>115</v>
      </c>
      <c r="D163" s="331"/>
      <c r="E163" s="331">
        <v>29</v>
      </c>
      <c r="F163" s="331"/>
      <c r="G163" s="331">
        <f>779+3766</f>
        <v>4545</v>
      </c>
      <c r="H163" s="331"/>
      <c r="I163" s="331">
        <f>1002+96</f>
        <v>1098</v>
      </c>
      <c r="J163" s="331"/>
      <c r="K163" s="331"/>
      <c r="L163" s="331"/>
      <c r="M163" s="331"/>
      <c r="N163" s="331"/>
      <c r="O163" s="332">
        <f>SUM(C163:N163)-D163</f>
        <v>5787</v>
      </c>
      <c r="P163" s="348"/>
      <c r="Q163" s="330" t="s">
        <v>372</v>
      </c>
      <c r="R163" s="331">
        <f>3974+789+76+227</f>
        <v>5066</v>
      </c>
      <c r="S163" s="331">
        <f>1034+213+20+65</f>
        <v>1332</v>
      </c>
      <c r="T163" s="331">
        <v>1976</v>
      </c>
      <c r="U163" s="331"/>
      <c r="V163" s="331"/>
      <c r="W163" s="331"/>
      <c r="X163" s="331"/>
      <c r="Y163" s="331"/>
      <c r="Z163" s="332">
        <f t="shared" si="22"/>
        <v>8374</v>
      </c>
    </row>
    <row r="164" spans="1:26" ht="11.25" customHeight="1">
      <c r="A164" s="349"/>
      <c r="B164" s="330" t="s">
        <v>373</v>
      </c>
      <c r="C164" s="331">
        <v>115</v>
      </c>
      <c r="D164" s="331"/>
      <c r="E164" s="331">
        <v>29</v>
      </c>
      <c r="F164" s="331"/>
      <c r="G164" s="331">
        <f>779+3766</f>
        <v>4545</v>
      </c>
      <c r="H164" s="331"/>
      <c r="I164" s="331">
        <f>1002+96</f>
        <v>1098</v>
      </c>
      <c r="J164" s="331"/>
      <c r="K164" s="331"/>
      <c r="L164" s="331"/>
      <c r="M164" s="331"/>
      <c r="N164" s="331"/>
      <c r="O164" s="332">
        <f>SUM(C164:N164)-D164</f>
        <v>5787</v>
      </c>
      <c r="P164" s="348"/>
      <c r="Q164" s="330" t="s">
        <v>373</v>
      </c>
      <c r="R164" s="331">
        <f>3974+789+76+227</f>
        <v>5066</v>
      </c>
      <c r="S164" s="331">
        <f>1034+213+20+65</f>
        <v>1332</v>
      </c>
      <c r="T164" s="331">
        <v>1976</v>
      </c>
      <c r="U164" s="331"/>
      <c r="V164" s="331"/>
      <c r="W164" s="331"/>
      <c r="X164" s="331"/>
      <c r="Y164" s="331"/>
      <c r="Z164" s="332">
        <f t="shared" si="22"/>
        <v>8374</v>
      </c>
    </row>
    <row r="165" spans="1:26" ht="11.25" customHeight="1">
      <c r="A165" s="349"/>
      <c r="B165" s="330" t="s">
        <v>5</v>
      </c>
      <c r="C165" s="331"/>
      <c r="D165" s="331"/>
      <c r="E165" s="331"/>
      <c r="F165" s="331"/>
      <c r="G165" s="331"/>
      <c r="H165" s="331"/>
      <c r="I165" s="331">
        <v>1098</v>
      </c>
      <c r="J165" s="331"/>
      <c r="K165" s="331"/>
      <c r="L165" s="331"/>
      <c r="M165" s="331"/>
      <c r="N165" s="331"/>
      <c r="O165" s="332">
        <f t="shared" si="21"/>
        <v>1098</v>
      </c>
      <c r="P165" s="348"/>
      <c r="Q165" s="330" t="s">
        <v>5</v>
      </c>
      <c r="R165" s="331">
        <f>5827+86</f>
        <v>5913</v>
      </c>
      <c r="S165" s="331">
        <v>1482</v>
      </c>
      <c r="T165" s="331">
        <f>1007+716</f>
        <v>1723</v>
      </c>
      <c r="U165" s="331"/>
      <c r="V165" s="331"/>
      <c r="W165" s="331"/>
      <c r="X165" s="331">
        <v>130</v>
      </c>
      <c r="Y165" s="331"/>
      <c r="Z165" s="332">
        <f t="shared" si="22"/>
        <v>9248</v>
      </c>
    </row>
    <row r="166" spans="1:26" ht="11.25" customHeight="1">
      <c r="A166" s="348" t="s">
        <v>397</v>
      </c>
      <c r="B166" s="330" t="s">
        <v>3</v>
      </c>
      <c r="C166" s="331">
        <v>8893</v>
      </c>
      <c r="D166" s="331"/>
      <c r="E166" s="331">
        <v>105</v>
      </c>
      <c r="F166" s="331"/>
      <c r="G166" s="331"/>
      <c r="H166" s="331"/>
      <c r="I166" s="331"/>
      <c r="J166" s="331"/>
      <c r="K166" s="331"/>
      <c r="L166" s="331"/>
      <c r="M166" s="331"/>
      <c r="N166" s="331"/>
      <c r="O166" s="332">
        <f t="shared" si="21"/>
        <v>8998</v>
      </c>
      <c r="P166" s="348" t="s">
        <v>397</v>
      </c>
      <c r="Q166" s="330" t="s">
        <v>3</v>
      </c>
      <c r="R166" s="331">
        <v>80458</v>
      </c>
      <c r="S166" s="331">
        <v>20417</v>
      </c>
      <c r="T166" s="331">
        <v>29596</v>
      </c>
      <c r="U166" s="331">
        <v>10945</v>
      </c>
      <c r="V166" s="331"/>
      <c r="W166" s="331"/>
      <c r="X166" s="331"/>
      <c r="Y166" s="331"/>
      <c r="Z166" s="332">
        <f t="shared" si="22"/>
        <v>130471</v>
      </c>
    </row>
    <row r="167" spans="1:26" ht="11.25" customHeight="1">
      <c r="A167" s="348"/>
      <c r="B167" s="330" t="s">
        <v>369</v>
      </c>
      <c r="C167" s="331">
        <v>8893</v>
      </c>
      <c r="D167" s="331"/>
      <c r="E167" s="331">
        <v>105</v>
      </c>
      <c r="F167" s="331"/>
      <c r="G167" s="331"/>
      <c r="H167" s="331"/>
      <c r="I167" s="331"/>
      <c r="J167" s="331"/>
      <c r="K167" s="331"/>
      <c r="L167" s="331"/>
      <c r="M167" s="331">
        <v>2282</v>
      </c>
      <c r="N167" s="331"/>
      <c r="O167" s="332">
        <f t="shared" si="21"/>
        <v>11280</v>
      </c>
      <c r="P167" s="348"/>
      <c r="Q167" s="330" t="s">
        <v>369</v>
      </c>
      <c r="R167" s="331">
        <f>80458+1386+5237+357+176</f>
        <v>87614</v>
      </c>
      <c r="S167" s="331">
        <f>20417+477+1414+96+47</f>
        <v>22451</v>
      </c>
      <c r="T167" s="331">
        <f>29596+610+656+793-93</f>
        <v>31562</v>
      </c>
      <c r="U167" s="331">
        <v>10945</v>
      </c>
      <c r="V167" s="331"/>
      <c r="W167" s="331"/>
      <c r="X167" s="331">
        <f>250</f>
        <v>250</v>
      </c>
      <c r="Y167" s="331"/>
      <c r="Z167" s="332">
        <f t="shared" si="22"/>
        <v>141877</v>
      </c>
    </row>
    <row r="168" spans="1:26" ht="11.25" customHeight="1">
      <c r="A168" s="348"/>
      <c r="B168" s="330" t="s">
        <v>370</v>
      </c>
      <c r="C168" s="331">
        <v>8893</v>
      </c>
      <c r="D168" s="331"/>
      <c r="E168" s="331">
        <v>105</v>
      </c>
      <c r="F168" s="331"/>
      <c r="G168" s="331"/>
      <c r="H168" s="331"/>
      <c r="I168" s="331">
        <v>20</v>
      </c>
      <c r="J168" s="331"/>
      <c r="K168" s="331"/>
      <c r="L168" s="331"/>
      <c r="M168" s="331">
        <v>2282</v>
      </c>
      <c r="N168" s="331"/>
      <c r="O168" s="332">
        <f t="shared" si="21"/>
        <v>11300</v>
      </c>
      <c r="P168" s="348"/>
      <c r="Q168" s="330" t="s">
        <v>370</v>
      </c>
      <c r="R168" s="331">
        <f>80458+1386+5237+357+176+260+100+16</f>
        <v>87990</v>
      </c>
      <c r="S168" s="331">
        <f>20417+477+1414+96+47+27+4</f>
        <v>22482</v>
      </c>
      <c r="T168" s="331">
        <f>29596+610+656+793-93+65+361</f>
        <v>31988</v>
      </c>
      <c r="U168" s="331">
        <v>10945</v>
      </c>
      <c r="V168" s="331"/>
      <c r="W168" s="331"/>
      <c r="X168" s="331">
        <f>250+418</f>
        <v>668</v>
      </c>
      <c r="Y168" s="331">
        <v>3766</v>
      </c>
      <c r="Z168" s="332">
        <f t="shared" si="22"/>
        <v>146894</v>
      </c>
    </row>
    <row r="169" spans="1:26" ht="11.25" customHeight="1">
      <c r="A169" s="348"/>
      <c r="B169" s="330" t="s">
        <v>371</v>
      </c>
      <c r="C169" s="331">
        <v>8893</v>
      </c>
      <c r="D169" s="331"/>
      <c r="E169" s="331">
        <v>105</v>
      </c>
      <c r="F169" s="331"/>
      <c r="G169" s="331"/>
      <c r="H169" s="331"/>
      <c r="I169" s="331">
        <v>20</v>
      </c>
      <c r="J169" s="331"/>
      <c r="K169" s="331"/>
      <c r="L169" s="331"/>
      <c r="M169" s="331">
        <v>2282</v>
      </c>
      <c r="N169" s="331"/>
      <c r="O169" s="332">
        <f t="shared" si="21"/>
        <v>11300</v>
      </c>
      <c r="P169" s="348"/>
      <c r="Q169" s="330" t="s">
        <v>371</v>
      </c>
      <c r="R169" s="331">
        <f>80458+1386+5237+357+176+260+100+16</f>
        <v>87990</v>
      </c>
      <c r="S169" s="331">
        <f>20417+477+1414+96+47+27+4</f>
        <v>22482</v>
      </c>
      <c r="T169" s="331">
        <f>29596+610+656+793-93+65+361</f>
        <v>31988</v>
      </c>
      <c r="U169" s="331">
        <v>10945</v>
      </c>
      <c r="V169" s="331"/>
      <c r="W169" s="331"/>
      <c r="X169" s="331">
        <f>250+418</f>
        <v>668</v>
      </c>
      <c r="Y169" s="331">
        <v>3766</v>
      </c>
      <c r="Z169" s="332">
        <f t="shared" si="22"/>
        <v>146894</v>
      </c>
    </row>
    <row r="170" spans="1:26" ht="11.25" customHeight="1">
      <c r="A170" s="348"/>
      <c r="B170" s="330" t="s">
        <v>372</v>
      </c>
      <c r="C170" s="331">
        <v>8893</v>
      </c>
      <c r="D170" s="331"/>
      <c r="E170" s="331">
        <v>105</v>
      </c>
      <c r="F170" s="331"/>
      <c r="G170" s="331"/>
      <c r="H170" s="331"/>
      <c r="I170" s="331">
        <v>20</v>
      </c>
      <c r="J170" s="331"/>
      <c r="K170" s="331"/>
      <c r="L170" s="331"/>
      <c r="M170" s="331">
        <v>2282</v>
      </c>
      <c r="N170" s="331"/>
      <c r="O170" s="332">
        <f t="shared" si="21"/>
        <v>11300</v>
      </c>
      <c r="P170" s="348"/>
      <c r="Q170" s="330" t="s">
        <v>372</v>
      </c>
      <c r="R170" s="331">
        <f>80458+1386+5237+357+176+260+100+16-4852-1-67-603-227</f>
        <v>82240</v>
      </c>
      <c r="S170" s="331">
        <f>20417+477+1414+96+47+27+4-1041-18-160-65</f>
        <v>21198</v>
      </c>
      <c r="T170" s="331">
        <f>29596+610+656+793-93+65+361-1350-229-512-465-637-1</f>
        <v>28794</v>
      </c>
      <c r="U170" s="331">
        <v>10945</v>
      </c>
      <c r="V170" s="331"/>
      <c r="W170" s="331"/>
      <c r="X170" s="331">
        <f>250+418+465</f>
        <v>1133</v>
      </c>
      <c r="Y170" s="331">
        <f>3766+512</f>
        <v>4278</v>
      </c>
      <c r="Z170" s="332">
        <f t="shared" si="22"/>
        <v>137643</v>
      </c>
    </row>
    <row r="171" spans="1:26" ht="11.25" customHeight="1">
      <c r="A171" s="348"/>
      <c r="B171" s="330" t="s">
        <v>373</v>
      </c>
      <c r="C171" s="331">
        <v>8893</v>
      </c>
      <c r="D171" s="331"/>
      <c r="E171" s="331">
        <v>105</v>
      </c>
      <c r="F171" s="331"/>
      <c r="G171" s="331"/>
      <c r="H171" s="331"/>
      <c r="I171" s="331">
        <v>20</v>
      </c>
      <c r="J171" s="331"/>
      <c r="K171" s="331"/>
      <c r="L171" s="331"/>
      <c r="M171" s="331">
        <v>2282</v>
      </c>
      <c r="N171" s="331"/>
      <c r="O171" s="332">
        <f t="shared" si="21"/>
        <v>11300</v>
      </c>
      <c r="P171" s="348"/>
      <c r="Q171" s="330" t="s">
        <v>373</v>
      </c>
      <c r="R171" s="331">
        <f>80458+1386+5237+357+176+260+100+16-4852-1-67-603-227</f>
        <v>82240</v>
      </c>
      <c r="S171" s="331">
        <f>20417+477+1414+96+47+27+4-1041-18-160-65</f>
        <v>21198</v>
      </c>
      <c r="T171" s="331">
        <f>29596+610+656+793-93+65+361-1350-229-512-465-637-1</f>
        <v>28794</v>
      </c>
      <c r="U171" s="331">
        <v>10945</v>
      </c>
      <c r="V171" s="331"/>
      <c r="W171" s="331"/>
      <c r="X171" s="331">
        <f>250+418+465</f>
        <v>1133</v>
      </c>
      <c r="Y171" s="331">
        <f>3766+512</f>
        <v>4278</v>
      </c>
      <c r="Z171" s="332">
        <f t="shared" si="22"/>
        <v>137643</v>
      </c>
    </row>
    <row r="172" spans="1:26" ht="11.25" customHeight="1">
      <c r="A172" s="348"/>
      <c r="B172" s="330" t="s">
        <v>5</v>
      </c>
      <c r="C172" s="331">
        <f>12294+307</f>
        <v>12601</v>
      </c>
      <c r="D172" s="331"/>
      <c r="E172" s="331">
        <v>2125</v>
      </c>
      <c r="F172" s="331"/>
      <c r="G172" s="331">
        <v>779</v>
      </c>
      <c r="H172" s="331">
        <v>3766</v>
      </c>
      <c r="I172" s="331">
        <v>20</v>
      </c>
      <c r="J172" s="331"/>
      <c r="K172" s="331"/>
      <c r="L172" s="331"/>
      <c r="M172" s="331">
        <v>2282</v>
      </c>
      <c r="N172" s="331"/>
      <c r="O172" s="332">
        <f t="shared" si="21"/>
        <v>21573</v>
      </c>
      <c r="P172" s="348"/>
      <c r="Q172" s="330" t="s">
        <v>5</v>
      </c>
      <c r="R172" s="331">
        <f>82260-86</f>
        <v>82174</v>
      </c>
      <c r="S172" s="331">
        <v>21545</v>
      </c>
      <c r="T172" s="331">
        <f>28115+307-716</f>
        <v>27706</v>
      </c>
      <c r="U172" s="331">
        <v>9588</v>
      </c>
      <c r="V172" s="331"/>
      <c r="W172" s="331"/>
      <c r="X172" s="331">
        <v>566</v>
      </c>
      <c r="Y172" s="331">
        <v>4278</v>
      </c>
      <c r="Z172" s="332">
        <f t="shared" si="22"/>
        <v>136269</v>
      </c>
    </row>
    <row r="173" spans="1:26" s="319" customFormat="1" ht="11.25" customHeight="1">
      <c r="A173" s="347" t="s">
        <v>398</v>
      </c>
      <c r="B173" s="350" t="s">
        <v>3</v>
      </c>
      <c r="C173" s="346">
        <f aca="true" t="shared" si="23" ref="C173:N173">C145+C152+C159+C166</f>
        <v>9526</v>
      </c>
      <c r="D173" s="346">
        <f t="shared" si="23"/>
        <v>0</v>
      </c>
      <c r="E173" s="346">
        <f t="shared" si="23"/>
        <v>264</v>
      </c>
      <c r="F173" s="346">
        <f t="shared" si="23"/>
        <v>0</v>
      </c>
      <c r="G173" s="346">
        <f t="shared" si="23"/>
        <v>0</v>
      </c>
      <c r="H173" s="346">
        <f t="shared" si="23"/>
        <v>0</v>
      </c>
      <c r="I173" s="346">
        <f t="shared" si="23"/>
        <v>0</v>
      </c>
      <c r="J173" s="346">
        <f t="shared" si="23"/>
        <v>0</v>
      </c>
      <c r="K173" s="346">
        <f t="shared" si="23"/>
        <v>0</v>
      </c>
      <c r="L173" s="346">
        <f t="shared" si="23"/>
        <v>0</v>
      </c>
      <c r="M173" s="346">
        <f t="shared" si="23"/>
        <v>0</v>
      </c>
      <c r="N173" s="346">
        <f t="shared" si="23"/>
        <v>0</v>
      </c>
      <c r="O173" s="332">
        <f t="shared" si="21"/>
        <v>9790</v>
      </c>
      <c r="P173" s="347" t="s">
        <v>398</v>
      </c>
      <c r="Q173" s="350" t="s">
        <v>3</v>
      </c>
      <c r="R173" s="346">
        <f aca="true" t="shared" si="24" ref="R173:Y176">R145+R152+R159+R166</f>
        <v>95585</v>
      </c>
      <c r="S173" s="346">
        <f t="shared" si="24"/>
        <v>24329</v>
      </c>
      <c r="T173" s="346">
        <f t="shared" si="24"/>
        <v>36628</v>
      </c>
      <c r="U173" s="346">
        <f t="shared" si="24"/>
        <v>10945</v>
      </c>
      <c r="V173" s="346">
        <f t="shared" si="24"/>
        <v>0</v>
      </c>
      <c r="W173" s="346"/>
      <c r="X173" s="346">
        <f t="shared" si="24"/>
        <v>0</v>
      </c>
      <c r="Y173" s="346">
        <f t="shared" si="24"/>
        <v>0</v>
      </c>
      <c r="Z173" s="332">
        <f t="shared" si="22"/>
        <v>156542</v>
      </c>
    </row>
    <row r="174" spans="1:26" s="319" customFormat="1" ht="11.25" customHeight="1">
      <c r="A174" s="347"/>
      <c r="B174" s="350" t="s">
        <v>369</v>
      </c>
      <c r="C174" s="346">
        <f aca="true" t="shared" si="25" ref="C174:N174">C146+C153+C160+C167</f>
        <v>9526</v>
      </c>
      <c r="D174" s="346">
        <f t="shared" si="25"/>
        <v>0</v>
      </c>
      <c r="E174" s="346">
        <f t="shared" si="25"/>
        <v>264</v>
      </c>
      <c r="F174" s="346">
        <f t="shared" si="25"/>
        <v>0</v>
      </c>
      <c r="G174" s="346">
        <f t="shared" si="25"/>
        <v>0</v>
      </c>
      <c r="H174" s="346">
        <f t="shared" si="25"/>
        <v>0</v>
      </c>
      <c r="I174" s="346">
        <f t="shared" si="25"/>
        <v>0</v>
      </c>
      <c r="J174" s="346">
        <f t="shared" si="25"/>
        <v>0</v>
      </c>
      <c r="K174" s="346">
        <f t="shared" si="25"/>
        <v>0</v>
      </c>
      <c r="L174" s="346">
        <f t="shared" si="25"/>
        <v>0</v>
      </c>
      <c r="M174" s="346">
        <f t="shared" si="25"/>
        <v>2375</v>
      </c>
      <c r="N174" s="346">
        <f t="shared" si="25"/>
        <v>0</v>
      </c>
      <c r="O174" s="332">
        <f t="shared" si="21"/>
        <v>12165</v>
      </c>
      <c r="P174" s="347"/>
      <c r="Q174" s="350" t="s">
        <v>369</v>
      </c>
      <c r="R174" s="346">
        <f t="shared" si="24"/>
        <v>102741</v>
      </c>
      <c r="S174" s="346">
        <f t="shared" si="24"/>
        <v>26363</v>
      </c>
      <c r="T174" s="346">
        <f t="shared" si="24"/>
        <v>38687</v>
      </c>
      <c r="U174" s="346">
        <f t="shared" si="24"/>
        <v>10945</v>
      </c>
      <c r="V174" s="346">
        <f t="shared" si="24"/>
        <v>0</v>
      </c>
      <c r="W174" s="346"/>
      <c r="X174" s="346">
        <f t="shared" si="24"/>
        <v>250</v>
      </c>
      <c r="Y174" s="346">
        <f t="shared" si="24"/>
        <v>0</v>
      </c>
      <c r="Z174" s="332">
        <f t="shared" si="22"/>
        <v>168041</v>
      </c>
    </row>
    <row r="175" spans="1:26" s="319" customFormat="1" ht="11.25" customHeight="1">
      <c r="A175" s="347"/>
      <c r="B175" s="350" t="s">
        <v>370</v>
      </c>
      <c r="C175" s="346">
        <f aca="true" t="shared" si="26" ref="C175:N175">C147+C154+C161+C168</f>
        <v>9526</v>
      </c>
      <c r="D175" s="346">
        <f t="shared" si="26"/>
        <v>0</v>
      </c>
      <c r="E175" s="346">
        <f t="shared" si="26"/>
        <v>264</v>
      </c>
      <c r="F175" s="346">
        <f t="shared" si="26"/>
        <v>0</v>
      </c>
      <c r="G175" s="346">
        <f t="shared" si="26"/>
        <v>4545</v>
      </c>
      <c r="H175" s="346">
        <f t="shared" si="26"/>
        <v>0</v>
      </c>
      <c r="I175" s="346">
        <f t="shared" si="26"/>
        <v>1022</v>
      </c>
      <c r="J175" s="346">
        <f t="shared" si="26"/>
        <v>0</v>
      </c>
      <c r="K175" s="346">
        <f t="shared" si="26"/>
        <v>0</v>
      </c>
      <c r="L175" s="346">
        <f t="shared" si="26"/>
        <v>0</v>
      </c>
      <c r="M175" s="346">
        <f t="shared" si="26"/>
        <v>2375</v>
      </c>
      <c r="N175" s="346">
        <f t="shared" si="26"/>
        <v>0</v>
      </c>
      <c r="O175" s="332">
        <f t="shared" si="21"/>
        <v>17732</v>
      </c>
      <c r="P175" s="347"/>
      <c r="Q175" s="350" t="s">
        <v>370</v>
      </c>
      <c r="R175" s="346">
        <f t="shared" si="24"/>
        <v>103906</v>
      </c>
      <c r="S175" s="346">
        <f t="shared" si="24"/>
        <v>26607</v>
      </c>
      <c r="T175" s="346">
        <f t="shared" si="24"/>
        <v>40163</v>
      </c>
      <c r="U175" s="346">
        <f t="shared" si="24"/>
        <v>10945</v>
      </c>
      <c r="V175" s="346">
        <f t="shared" si="24"/>
        <v>0</v>
      </c>
      <c r="W175" s="346"/>
      <c r="X175" s="346">
        <f t="shared" si="24"/>
        <v>668</v>
      </c>
      <c r="Y175" s="346">
        <f t="shared" si="24"/>
        <v>3766</v>
      </c>
      <c r="Z175" s="332">
        <f t="shared" si="22"/>
        <v>175110</v>
      </c>
    </row>
    <row r="176" spans="1:26" s="319" customFormat="1" ht="11.25" customHeight="1">
      <c r="A176" s="347"/>
      <c r="B176" s="350" t="s">
        <v>371</v>
      </c>
      <c r="C176" s="346">
        <f aca="true" t="shared" si="27" ref="C176:N176">C148+C155+C162+C169</f>
        <v>9526</v>
      </c>
      <c r="D176" s="346">
        <f t="shared" si="27"/>
        <v>0</v>
      </c>
      <c r="E176" s="346">
        <f t="shared" si="27"/>
        <v>264</v>
      </c>
      <c r="F176" s="346">
        <f t="shared" si="27"/>
        <v>0</v>
      </c>
      <c r="G176" s="346">
        <f t="shared" si="27"/>
        <v>4545</v>
      </c>
      <c r="H176" s="346">
        <f t="shared" si="27"/>
        <v>0</v>
      </c>
      <c r="I176" s="346">
        <f t="shared" si="27"/>
        <v>1118</v>
      </c>
      <c r="J176" s="346">
        <f t="shared" si="27"/>
        <v>0</v>
      </c>
      <c r="K176" s="346">
        <f t="shared" si="27"/>
        <v>0</v>
      </c>
      <c r="L176" s="346">
        <f t="shared" si="27"/>
        <v>0</v>
      </c>
      <c r="M176" s="346">
        <f t="shared" si="27"/>
        <v>2375</v>
      </c>
      <c r="N176" s="346">
        <f t="shared" si="27"/>
        <v>0</v>
      </c>
      <c r="O176" s="332">
        <f t="shared" si="21"/>
        <v>17828</v>
      </c>
      <c r="P176" s="347"/>
      <c r="Q176" s="350" t="s">
        <v>371</v>
      </c>
      <c r="R176" s="346">
        <f t="shared" si="24"/>
        <v>103982</v>
      </c>
      <c r="S176" s="346">
        <f t="shared" si="24"/>
        <v>26627</v>
      </c>
      <c r="T176" s="346">
        <f t="shared" si="24"/>
        <v>40163</v>
      </c>
      <c r="U176" s="346">
        <f t="shared" si="24"/>
        <v>10945</v>
      </c>
      <c r="V176" s="346">
        <f t="shared" si="24"/>
        <v>0</v>
      </c>
      <c r="W176" s="346"/>
      <c r="X176" s="346">
        <f t="shared" si="24"/>
        <v>668</v>
      </c>
      <c r="Y176" s="346">
        <f t="shared" si="24"/>
        <v>3766</v>
      </c>
      <c r="Z176" s="332">
        <f t="shared" si="22"/>
        <v>175206</v>
      </c>
    </row>
    <row r="177" spans="1:26" s="319" customFormat="1" ht="11.25" customHeight="1">
      <c r="A177" s="347"/>
      <c r="B177" s="350" t="s">
        <v>372</v>
      </c>
      <c r="C177" s="346">
        <f>C149+C156+C163+C170</f>
        <v>9526</v>
      </c>
      <c r="D177" s="346"/>
      <c r="E177" s="346">
        <f>E149+E156+E163+E170</f>
        <v>264</v>
      </c>
      <c r="F177" s="346"/>
      <c r="G177" s="346">
        <f>G149+G156+G163+G170</f>
        <v>4545</v>
      </c>
      <c r="H177" s="346"/>
      <c r="I177" s="346">
        <f>I149+I156+I163+I170</f>
        <v>1118</v>
      </c>
      <c r="J177" s="346"/>
      <c r="K177" s="346"/>
      <c r="L177" s="346"/>
      <c r="M177" s="346">
        <f>M149+M156+M163+M170</f>
        <v>2375</v>
      </c>
      <c r="N177" s="346"/>
      <c r="O177" s="332">
        <f t="shared" si="21"/>
        <v>17828</v>
      </c>
      <c r="P177" s="347"/>
      <c r="Q177" s="350" t="s">
        <v>372</v>
      </c>
      <c r="R177" s="346">
        <f>R149+R156+R163+R170</f>
        <v>99129</v>
      </c>
      <c r="S177" s="346">
        <f>S149+S156+S163+S170</f>
        <v>25586</v>
      </c>
      <c r="T177" s="346">
        <f>T149+T156+T163+T170</f>
        <v>36969</v>
      </c>
      <c r="U177" s="346">
        <f>U149+U156+U163+U170</f>
        <v>10945</v>
      </c>
      <c r="V177" s="346"/>
      <c r="W177" s="346"/>
      <c r="X177" s="346">
        <f>X149+X156+X163+X170</f>
        <v>1133</v>
      </c>
      <c r="Y177" s="346">
        <f>Y149+Y156+Y163+Y170</f>
        <v>4278</v>
      </c>
      <c r="Z177" s="332">
        <f t="shared" si="22"/>
        <v>167095</v>
      </c>
    </row>
    <row r="178" spans="1:26" s="319" customFormat="1" ht="11.25" customHeight="1">
      <c r="A178" s="347"/>
      <c r="B178" s="350" t="s">
        <v>373</v>
      </c>
      <c r="C178" s="346">
        <f>C150+C157+C164+C171</f>
        <v>9526</v>
      </c>
      <c r="D178" s="346">
        <f aca="true" t="shared" si="28" ref="D178:N178">D150+D157+D164+D171</f>
        <v>0</v>
      </c>
      <c r="E178" s="346">
        <f t="shared" si="28"/>
        <v>264</v>
      </c>
      <c r="F178" s="346">
        <f t="shared" si="28"/>
        <v>0</v>
      </c>
      <c r="G178" s="346">
        <f t="shared" si="28"/>
        <v>4545</v>
      </c>
      <c r="H178" s="346">
        <f t="shared" si="28"/>
        <v>0</v>
      </c>
      <c r="I178" s="346">
        <f t="shared" si="28"/>
        <v>1118</v>
      </c>
      <c r="J178" s="346">
        <f t="shared" si="28"/>
        <v>0</v>
      </c>
      <c r="K178" s="346">
        <f t="shared" si="28"/>
        <v>0</v>
      </c>
      <c r="L178" s="346">
        <f t="shared" si="28"/>
        <v>0</v>
      </c>
      <c r="M178" s="346">
        <f t="shared" si="28"/>
        <v>2375</v>
      </c>
      <c r="N178" s="346">
        <f t="shared" si="28"/>
        <v>0</v>
      </c>
      <c r="O178" s="332">
        <f t="shared" si="21"/>
        <v>17828</v>
      </c>
      <c r="P178" s="347"/>
      <c r="Q178" s="350" t="s">
        <v>373</v>
      </c>
      <c r="R178" s="346">
        <f>R150+R157+R164+R171</f>
        <v>99129</v>
      </c>
      <c r="S178" s="346">
        <f aca="true" t="shared" si="29" ref="S178:Y178">S150+S157+S164+S171</f>
        <v>25586</v>
      </c>
      <c r="T178" s="346">
        <f t="shared" si="29"/>
        <v>36969</v>
      </c>
      <c r="U178" s="346">
        <f t="shared" si="29"/>
        <v>10945</v>
      </c>
      <c r="V178" s="346">
        <f t="shared" si="29"/>
        <v>0</v>
      </c>
      <c r="W178" s="346"/>
      <c r="X178" s="346">
        <f t="shared" si="29"/>
        <v>1133</v>
      </c>
      <c r="Y178" s="346">
        <f t="shared" si="29"/>
        <v>4278</v>
      </c>
      <c r="Z178" s="332">
        <f t="shared" si="22"/>
        <v>167095</v>
      </c>
    </row>
    <row r="179" spans="1:26" s="319" customFormat="1" ht="11.25" customHeight="1">
      <c r="A179" s="347"/>
      <c r="B179" s="350" t="s">
        <v>5</v>
      </c>
      <c r="C179" s="351">
        <f>C151+C158+C165+C172</f>
        <v>12601</v>
      </c>
      <c r="D179" s="351">
        <f aca="true" t="shared" si="30" ref="D179:O179">D151+D158+D165+D172</f>
        <v>0</v>
      </c>
      <c r="E179" s="351">
        <f t="shared" si="30"/>
        <v>2125</v>
      </c>
      <c r="F179" s="352">
        <f t="shared" si="30"/>
        <v>0</v>
      </c>
      <c r="G179" s="353">
        <f t="shared" si="30"/>
        <v>779</v>
      </c>
      <c r="H179" s="353">
        <f t="shared" si="30"/>
        <v>3766</v>
      </c>
      <c r="I179" s="353">
        <f t="shared" si="30"/>
        <v>1118</v>
      </c>
      <c r="J179" s="353">
        <f t="shared" si="30"/>
        <v>0</v>
      </c>
      <c r="K179" s="353">
        <f t="shared" si="30"/>
        <v>0</v>
      </c>
      <c r="L179" s="353">
        <f t="shared" si="30"/>
        <v>0</v>
      </c>
      <c r="M179" s="353">
        <f t="shared" si="30"/>
        <v>2375</v>
      </c>
      <c r="N179" s="353">
        <f t="shared" si="30"/>
        <v>0</v>
      </c>
      <c r="O179" s="354">
        <f t="shared" si="30"/>
        <v>22764</v>
      </c>
      <c r="P179" s="347"/>
      <c r="Q179" s="350" t="s">
        <v>5</v>
      </c>
      <c r="R179" s="353">
        <f>R151+R158+R165+R172</f>
        <v>99129</v>
      </c>
      <c r="S179" s="353">
        <f aca="true" t="shared" si="31" ref="S179:Z179">S151+S158+S165+S172</f>
        <v>25586</v>
      </c>
      <c r="T179" s="353">
        <f t="shared" si="31"/>
        <v>36366</v>
      </c>
      <c r="U179" s="353">
        <f t="shared" si="31"/>
        <v>9588</v>
      </c>
      <c r="V179" s="353">
        <f t="shared" si="31"/>
        <v>0</v>
      </c>
      <c r="W179" s="353"/>
      <c r="X179" s="353">
        <f t="shared" si="31"/>
        <v>1133</v>
      </c>
      <c r="Y179" s="353">
        <f t="shared" si="31"/>
        <v>4278</v>
      </c>
      <c r="Z179" s="354">
        <f t="shared" si="31"/>
        <v>166492</v>
      </c>
    </row>
    <row r="180" spans="1:27" ht="11.25" customHeight="1">
      <c r="A180" s="355" t="s">
        <v>149</v>
      </c>
      <c r="B180" s="330" t="s">
        <v>3</v>
      </c>
      <c r="C180" s="331">
        <v>666</v>
      </c>
      <c r="D180" s="331">
        <v>0</v>
      </c>
      <c r="E180" s="331">
        <v>3831</v>
      </c>
      <c r="F180" s="331">
        <v>0</v>
      </c>
      <c r="G180" s="331">
        <v>0</v>
      </c>
      <c r="H180" s="331">
        <v>0</v>
      </c>
      <c r="I180" s="331">
        <v>0</v>
      </c>
      <c r="J180" s="331">
        <v>0</v>
      </c>
      <c r="K180" s="331"/>
      <c r="L180" s="331">
        <v>0</v>
      </c>
      <c r="M180" s="331">
        <v>0</v>
      </c>
      <c r="N180" s="331">
        <v>0</v>
      </c>
      <c r="O180" s="332">
        <f t="shared" si="21"/>
        <v>4497</v>
      </c>
      <c r="P180" s="344" t="s">
        <v>149</v>
      </c>
      <c r="Q180" s="330" t="s">
        <v>3</v>
      </c>
      <c r="R180" s="331">
        <v>18209</v>
      </c>
      <c r="S180" s="331">
        <v>4753</v>
      </c>
      <c r="T180" s="331">
        <v>8483</v>
      </c>
      <c r="U180" s="331">
        <v>0</v>
      </c>
      <c r="V180" s="331">
        <v>0</v>
      </c>
      <c r="W180" s="331"/>
      <c r="X180" s="331">
        <v>0</v>
      </c>
      <c r="Y180" s="331">
        <v>0</v>
      </c>
      <c r="Z180" s="332">
        <f t="shared" si="22"/>
        <v>31445</v>
      </c>
      <c r="AA180" s="356"/>
    </row>
    <row r="181" spans="1:27" ht="11.25" customHeight="1">
      <c r="A181" s="355"/>
      <c r="B181" s="330" t="s">
        <v>369</v>
      </c>
      <c r="C181" s="331">
        <v>666</v>
      </c>
      <c r="D181" s="331">
        <v>0</v>
      </c>
      <c r="E181" s="331">
        <f>3831-667</f>
        <v>3164</v>
      </c>
      <c r="F181" s="331">
        <v>0</v>
      </c>
      <c r="G181" s="331">
        <v>0</v>
      </c>
      <c r="H181" s="331">
        <v>0</v>
      </c>
      <c r="I181" s="331">
        <v>0</v>
      </c>
      <c r="J181" s="331">
        <v>0</v>
      </c>
      <c r="K181" s="331"/>
      <c r="L181" s="331">
        <v>0</v>
      </c>
      <c r="M181" s="331">
        <v>1258</v>
      </c>
      <c r="N181" s="331">
        <v>0</v>
      </c>
      <c r="O181" s="332">
        <f t="shared" si="21"/>
        <v>5088</v>
      </c>
      <c r="P181" s="344"/>
      <c r="Q181" s="330" t="s">
        <v>369</v>
      </c>
      <c r="R181" s="331">
        <f>18209+975+676</f>
        <v>19860</v>
      </c>
      <c r="S181" s="331">
        <f>4753+263+20+183</f>
        <v>5219</v>
      </c>
      <c r="T181" s="331">
        <f>8483+399</f>
        <v>8882</v>
      </c>
      <c r="U181" s="331">
        <v>0</v>
      </c>
      <c r="V181" s="331">
        <v>0</v>
      </c>
      <c r="W181" s="331"/>
      <c r="X181" s="331">
        <v>0</v>
      </c>
      <c r="Y181" s="331">
        <v>0</v>
      </c>
      <c r="Z181" s="332">
        <f t="shared" si="22"/>
        <v>33961</v>
      </c>
      <c r="AA181" s="356"/>
    </row>
    <row r="182" spans="1:27" ht="11.25" customHeight="1">
      <c r="A182" s="355"/>
      <c r="B182" s="330" t="s">
        <v>370</v>
      </c>
      <c r="C182" s="331">
        <f>666+540+154</f>
        <v>1360</v>
      </c>
      <c r="D182" s="331">
        <v>0</v>
      </c>
      <c r="E182" s="331">
        <f>3831-667</f>
        <v>3164</v>
      </c>
      <c r="F182" s="331">
        <v>0</v>
      </c>
      <c r="G182" s="331">
        <v>0</v>
      </c>
      <c r="H182" s="331">
        <v>0</v>
      </c>
      <c r="I182" s="331">
        <v>0</v>
      </c>
      <c r="J182" s="331">
        <v>0</v>
      </c>
      <c r="K182" s="331"/>
      <c r="L182" s="331">
        <v>0</v>
      </c>
      <c r="M182" s="331">
        <v>1258</v>
      </c>
      <c r="N182" s="331">
        <v>0</v>
      </c>
      <c r="O182" s="332">
        <f t="shared" si="21"/>
        <v>5782</v>
      </c>
      <c r="P182" s="344"/>
      <c r="Q182" s="330" t="s">
        <v>370</v>
      </c>
      <c r="R182" s="331">
        <f>19860+425+30-396-29</f>
        <v>19890</v>
      </c>
      <c r="S182" s="331">
        <f>5219+115-107-8</f>
        <v>5219</v>
      </c>
      <c r="T182" s="331">
        <f>8882+154+8+95</f>
        <v>9139</v>
      </c>
      <c r="U182" s="331">
        <v>0</v>
      </c>
      <c r="V182" s="331">
        <v>0</v>
      </c>
      <c r="W182" s="331"/>
      <c r="X182" s="331">
        <v>0</v>
      </c>
      <c r="Y182" s="331">
        <v>528</v>
      </c>
      <c r="Z182" s="332">
        <f t="shared" si="22"/>
        <v>34776</v>
      </c>
      <c r="AA182" s="356"/>
    </row>
    <row r="183" spans="1:27" ht="11.25" customHeight="1">
      <c r="A183" s="355"/>
      <c r="B183" s="330" t="s">
        <v>371</v>
      </c>
      <c r="C183" s="331">
        <f>666+540+154-503-37</f>
        <v>820</v>
      </c>
      <c r="D183" s="331"/>
      <c r="E183" s="331">
        <f>3831-667+2132-2132</f>
        <v>3164</v>
      </c>
      <c r="F183" s="331">
        <v>0</v>
      </c>
      <c r="G183" s="331">
        <v>0</v>
      </c>
      <c r="H183" s="331">
        <v>0</v>
      </c>
      <c r="I183" s="331">
        <v>0</v>
      </c>
      <c r="J183" s="331">
        <v>0</v>
      </c>
      <c r="K183" s="331"/>
      <c r="L183" s="331"/>
      <c r="M183" s="331">
        <v>1258</v>
      </c>
      <c r="N183" s="331"/>
      <c r="O183" s="332">
        <f t="shared" si="21"/>
        <v>5242</v>
      </c>
      <c r="P183" s="344"/>
      <c r="Q183" s="330" t="s">
        <v>371</v>
      </c>
      <c r="R183" s="331">
        <f>19860+425+30-396-29+1679-1679</f>
        <v>19890</v>
      </c>
      <c r="S183" s="331">
        <f>5219+115-107-8+453-453</f>
        <v>5219</v>
      </c>
      <c r="T183" s="331">
        <f>8882+154+8+95</f>
        <v>9139</v>
      </c>
      <c r="U183" s="331">
        <v>0</v>
      </c>
      <c r="V183" s="331">
        <v>0</v>
      </c>
      <c r="W183" s="331"/>
      <c r="X183" s="331">
        <v>0</v>
      </c>
      <c r="Y183" s="331">
        <v>528</v>
      </c>
      <c r="Z183" s="332">
        <f t="shared" si="22"/>
        <v>34776</v>
      </c>
      <c r="AA183" s="356"/>
    </row>
    <row r="184" spans="1:27" ht="11.25" customHeight="1">
      <c r="A184" s="355"/>
      <c r="B184" s="330" t="s">
        <v>372</v>
      </c>
      <c r="C184" s="331">
        <f>666+540+154-503-37</f>
        <v>820</v>
      </c>
      <c r="D184" s="331"/>
      <c r="E184" s="331">
        <f>3831-667+2132-2132+1412</f>
        <v>4576</v>
      </c>
      <c r="F184" s="331"/>
      <c r="G184" s="331"/>
      <c r="H184" s="331"/>
      <c r="I184" s="331"/>
      <c r="J184" s="331"/>
      <c r="K184" s="331"/>
      <c r="L184" s="331"/>
      <c r="M184" s="331">
        <v>1258</v>
      </c>
      <c r="N184" s="331"/>
      <c r="O184" s="332">
        <f>SUM(C184:N184)-D184</f>
        <v>6654</v>
      </c>
      <c r="P184" s="344"/>
      <c r="Q184" s="330" t="s">
        <v>372</v>
      </c>
      <c r="R184" s="331">
        <f>19860+425+30-396-29+1679-1679-296-150-359</f>
        <v>19085</v>
      </c>
      <c r="S184" s="331">
        <f>5219+115-107-8+453-453-259</f>
        <v>4960</v>
      </c>
      <c r="T184" s="331">
        <f>8882+154+8+95+1412-128-428-1243-89</f>
        <v>8663</v>
      </c>
      <c r="U184" s="331"/>
      <c r="V184" s="331">
        <v>89</v>
      </c>
      <c r="W184" s="331"/>
      <c r="X184" s="331">
        <v>302</v>
      </c>
      <c r="Y184" s="331">
        <f>528-302</f>
        <v>226</v>
      </c>
      <c r="Z184" s="332">
        <f t="shared" si="22"/>
        <v>33325</v>
      </c>
      <c r="AA184" s="356"/>
    </row>
    <row r="185" spans="1:27" ht="11.25" customHeight="1">
      <c r="A185" s="355"/>
      <c r="B185" s="330" t="s">
        <v>373</v>
      </c>
      <c r="C185" s="331">
        <f>666+540+154-503-37</f>
        <v>820</v>
      </c>
      <c r="D185" s="331"/>
      <c r="E185" s="331">
        <f>3831-667+2132-2132+1412</f>
        <v>4576</v>
      </c>
      <c r="F185" s="331"/>
      <c r="G185" s="331"/>
      <c r="H185" s="331"/>
      <c r="I185" s="331"/>
      <c r="J185" s="331"/>
      <c r="K185" s="331"/>
      <c r="L185" s="331"/>
      <c r="M185" s="331">
        <v>1258</v>
      </c>
      <c r="N185" s="331"/>
      <c r="O185" s="332">
        <f>SUM(C185:N185)-D185</f>
        <v>6654</v>
      </c>
      <c r="P185" s="344"/>
      <c r="Q185" s="330" t="s">
        <v>373</v>
      </c>
      <c r="R185" s="331">
        <f>19860+425+30-396-29+1679-1679-296-150-359</f>
        <v>19085</v>
      </c>
      <c r="S185" s="331">
        <f>5219+115-107-8+453-453-259</f>
        <v>4960</v>
      </c>
      <c r="T185" s="331">
        <f>8882+154+8+95+1412-128-428-1243-89</f>
        <v>8663</v>
      </c>
      <c r="U185" s="331"/>
      <c r="V185" s="331">
        <v>89</v>
      </c>
      <c r="W185" s="331"/>
      <c r="X185" s="331">
        <v>302</v>
      </c>
      <c r="Y185" s="331">
        <f>528-302</f>
        <v>226</v>
      </c>
      <c r="Z185" s="332">
        <f t="shared" si="22"/>
        <v>33325</v>
      </c>
      <c r="AA185" s="356"/>
    </row>
    <row r="186" spans="1:27" ht="11.25" customHeight="1">
      <c r="A186" s="355"/>
      <c r="B186" s="357" t="s">
        <v>5</v>
      </c>
      <c r="C186" s="331">
        <f>1894-F186</f>
        <v>1536</v>
      </c>
      <c r="D186" s="331"/>
      <c r="E186" s="331">
        <v>4591</v>
      </c>
      <c r="F186" s="331">
        <v>358</v>
      </c>
      <c r="G186" s="331"/>
      <c r="H186" s="331"/>
      <c r="I186" s="331"/>
      <c r="J186" s="331"/>
      <c r="K186" s="331"/>
      <c r="L186" s="331"/>
      <c r="M186" s="331">
        <v>1258</v>
      </c>
      <c r="N186" s="331">
        <v>7383</v>
      </c>
      <c r="O186" s="332">
        <f>SUM(C186:N186)-D186</f>
        <v>15126</v>
      </c>
      <c r="P186" s="344"/>
      <c r="Q186" s="357" t="s">
        <v>5</v>
      </c>
      <c r="R186" s="331">
        <v>18919</v>
      </c>
      <c r="S186" s="331">
        <v>4938</v>
      </c>
      <c r="T186" s="331">
        <v>8663</v>
      </c>
      <c r="U186" s="331"/>
      <c r="V186" s="331"/>
      <c r="W186" s="331">
        <v>89</v>
      </c>
      <c r="X186" s="331">
        <v>302</v>
      </c>
      <c r="Y186" s="331">
        <v>0</v>
      </c>
      <c r="Z186" s="332">
        <f t="shared" si="22"/>
        <v>32911</v>
      </c>
      <c r="AA186" s="356"/>
    </row>
    <row r="187" spans="1:27" s="319" customFormat="1" ht="11.25" customHeight="1">
      <c r="A187" s="358" t="s">
        <v>399</v>
      </c>
      <c r="B187" s="350" t="s">
        <v>3</v>
      </c>
      <c r="C187" s="359">
        <f aca="true" t="shared" si="32" ref="C187:O187">+C5+C12+C19+C26+C33+C40+C47+C54+C61+C68+C75+C82+C89+C96+C110+C117+C131+C138+C173+C180</f>
        <v>107829</v>
      </c>
      <c r="D187" s="346">
        <f t="shared" si="32"/>
        <v>73784</v>
      </c>
      <c r="E187" s="346">
        <f t="shared" si="32"/>
        <v>25621</v>
      </c>
      <c r="F187" s="346">
        <f t="shared" si="32"/>
        <v>0</v>
      </c>
      <c r="G187" s="346">
        <f t="shared" si="32"/>
        <v>0</v>
      </c>
      <c r="H187" s="346">
        <f t="shared" si="32"/>
        <v>0</v>
      </c>
      <c r="I187" s="346">
        <f t="shared" si="32"/>
        <v>0</v>
      </c>
      <c r="J187" s="346">
        <f t="shared" si="32"/>
        <v>0</v>
      </c>
      <c r="K187" s="346">
        <f t="shared" si="32"/>
        <v>0</v>
      </c>
      <c r="L187" s="346">
        <f t="shared" si="32"/>
        <v>0</v>
      </c>
      <c r="M187" s="346">
        <f t="shared" si="32"/>
        <v>0</v>
      </c>
      <c r="N187" s="346">
        <f t="shared" si="32"/>
        <v>0</v>
      </c>
      <c r="O187" s="332">
        <f t="shared" si="32"/>
        <v>133450</v>
      </c>
      <c r="P187" s="358" t="s">
        <v>399</v>
      </c>
      <c r="Q187" s="350" t="s">
        <v>3</v>
      </c>
      <c r="R187" s="346">
        <f aca="true" t="shared" si="33" ref="R187:Z191">+R5+R12+R19+R26+R33+R40+R47+R54+R61+R68+R75+R82+R89+R96+R110+R117+R131+R138+R173+R180</f>
        <v>880615</v>
      </c>
      <c r="S187" s="346">
        <f t="shared" si="33"/>
        <v>227281</v>
      </c>
      <c r="T187" s="346">
        <f t="shared" si="33"/>
        <v>390034</v>
      </c>
      <c r="U187" s="346">
        <f t="shared" si="33"/>
        <v>146692</v>
      </c>
      <c r="V187" s="346">
        <f t="shared" si="33"/>
        <v>9378</v>
      </c>
      <c r="W187" s="346">
        <f t="shared" si="33"/>
        <v>0</v>
      </c>
      <c r="X187" s="346">
        <f t="shared" si="33"/>
        <v>2400</v>
      </c>
      <c r="Y187" s="346">
        <f t="shared" si="33"/>
        <v>17000</v>
      </c>
      <c r="Z187" s="332">
        <f t="shared" si="33"/>
        <v>1526708</v>
      </c>
      <c r="AA187" s="360"/>
    </row>
    <row r="188" spans="1:26" s="362" customFormat="1" ht="11.25" customHeight="1">
      <c r="A188" s="358"/>
      <c r="B188" s="361" t="s">
        <v>369</v>
      </c>
      <c r="C188" s="359">
        <f aca="true" t="shared" si="34" ref="C188:O188">+C6+C13+C20+C27+C34+C41+C48+C55+C62+C69+C76+C83+C90+C97+C111+C118+C132+C139+C174+C181</f>
        <v>109181</v>
      </c>
      <c r="D188" s="346">
        <f t="shared" si="34"/>
        <v>73784</v>
      </c>
      <c r="E188" s="346">
        <f t="shared" si="34"/>
        <v>24954</v>
      </c>
      <c r="F188" s="346">
        <f t="shared" si="34"/>
        <v>0</v>
      </c>
      <c r="G188" s="346">
        <f t="shared" si="34"/>
        <v>0</v>
      </c>
      <c r="H188" s="346">
        <f t="shared" si="34"/>
        <v>0</v>
      </c>
      <c r="I188" s="346">
        <f t="shared" si="34"/>
        <v>0</v>
      </c>
      <c r="J188" s="346">
        <f t="shared" si="34"/>
        <v>1600</v>
      </c>
      <c r="K188" s="346">
        <f t="shared" si="34"/>
        <v>0</v>
      </c>
      <c r="L188" s="346">
        <f t="shared" si="34"/>
        <v>0</v>
      </c>
      <c r="M188" s="346">
        <f t="shared" si="34"/>
        <v>12069</v>
      </c>
      <c r="N188" s="346">
        <f t="shared" si="34"/>
        <v>0</v>
      </c>
      <c r="O188" s="332">
        <f t="shared" si="34"/>
        <v>147804</v>
      </c>
      <c r="P188" s="358"/>
      <c r="Q188" s="361" t="s">
        <v>369</v>
      </c>
      <c r="R188" s="346">
        <f t="shared" si="33"/>
        <v>929649</v>
      </c>
      <c r="S188" s="346">
        <f t="shared" si="33"/>
        <v>243478</v>
      </c>
      <c r="T188" s="346">
        <f t="shared" si="33"/>
        <v>402413</v>
      </c>
      <c r="U188" s="346">
        <f t="shared" si="33"/>
        <v>146692</v>
      </c>
      <c r="V188" s="346">
        <f aca="true" t="shared" si="35" ref="V188:W191">+V6+V13+V20+V27+V34+V41+V48+V55+V62+V69+V76+V83+V90+V97+V111+V118+V132+V139+V174+V181</f>
        <v>9378</v>
      </c>
      <c r="W188" s="346">
        <f t="shared" si="35"/>
        <v>0</v>
      </c>
      <c r="X188" s="346">
        <f t="shared" si="33"/>
        <v>6352</v>
      </c>
      <c r="Y188" s="346">
        <f t="shared" si="33"/>
        <v>17000</v>
      </c>
      <c r="Z188" s="332">
        <f t="shared" si="33"/>
        <v>1608270</v>
      </c>
    </row>
    <row r="189" spans="1:26" s="360" customFormat="1" ht="11.25" customHeight="1">
      <c r="A189" s="358"/>
      <c r="B189" s="350" t="s">
        <v>370</v>
      </c>
      <c r="C189" s="359">
        <f aca="true" t="shared" si="36" ref="C189:O189">+C7+C14+C21+C28+C35+C42+C49+C56+C63+C70+C77+C84+C91+C98+C112+C119+C133+C140+C175+C182</f>
        <v>113048</v>
      </c>
      <c r="D189" s="346">
        <f t="shared" si="36"/>
        <v>73784</v>
      </c>
      <c r="E189" s="346">
        <f t="shared" si="36"/>
        <v>24954</v>
      </c>
      <c r="F189" s="346">
        <f t="shared" si="36"/>
        <v>0</v>
      </c>
      <c r="G189" s="346">
        <f t="shared" si="36"/>
        <v>8023</v>
      </c>
      <c r="H189" s="346">
        <f t="shared" si="36"/>
        <v>0</v>
      </c>
      <c r="I189" s="346">
        <f t="shared" si="36"/>
        <v>7146</v>
      </c>
      <c r="J189" s="346">
        <f t="shared" si="36"/>
        <v>1600</v>
      </c>
      <c r="K189" s="346">
        <f t="shared" si="36"/>
        <v>0</v>
      </c>
      <c r="L189" s="346">
        <f t="shared" si="36"/>
        <v>0</v>
      </c>
      <c r="M189" s="346">
        <f t="shared" si="36"/>
        <v>12069</v>
      </c>
      <c r="N189" s="346">
        <f t="shared" si="36"/>
        <v>0</v>
      </c>
      <c r="O189" s="332">
        <f t="shared" si="36"/>
        <v>166840</v>
      </c>
      <c r="P189" s="358"/>
      <c r="Q189" s="350" t="s">
        <v>370</v>
      </c>
      <c r="R189" s="346">
        <f t="shared" si="33"/>
        <v>940768</v>
      </c>
      <c r="S189" s="346">
        <f t="shared" si="33"/>
        <v>245372</v>
      </c>
      <c r="T189" s="346">
        <f t="shared" si="33"/>
        <v>426857</v>
      </c>
      <c r="U189" s="346">
        <f t="shared" si="33"/>
        <v>146692</v>
      </c>
      <c r="V189" s="346">
        <f t="shared" si="35"/>
        <v>9378</v>
      </c>
      <c r="W189" s="346">
        <f t="shared" si="35"/>
        <v>0</v>
      </c>
      <c r="X189" s="346">
        <f t="shared" si="33"/>
        <v>14212</v>
      </c>
      <c r="Y189" s="346">
        <f t="shared" si="33"/>
        <v>31201</v>
      </c>
      <c r="Z189" s="332">
        <f t="shared" si="33"/>
        <v>1667788</v>
      </c>
    </row>
    <row r="190" spans="1:26" s="351" customFormat="1" ht="11.25" customHeight="1">
      <c r="A190" s="358"/>
      <c r="B190" s="350" t="s">
        <v>371</v>
      </c>
      <c r="C190" s="359">
        <f aca="true" t="shared" si="37" ref="C190:O190">+C8+C15+C22+C29+C36+C43+C50+C57+C64+C71+C78+C85+C92+C99+C113+C120+C134+C141+C176+C183</f>
        <v>113231</v>
      </c>
      <c r="D190" s="346">
        <f t="shared" si="37"/>
        <v>73784</v>
      </c>
      <c r="E190" s="346">
        <f t="shared" si="37"/>
        <v>28686</v>
      </c>
      <c r="F190" s="346">
        <f t="shared" si="37"/>
        <v>0</v>
      </c>
      <c r="G190" s="346">
        <f t="shared" si="37"/>
        <v>8210</v>
      </c>
      <c r="H190" s="346">
        <f t="shared" si="37"/>
        <v>0</v>
      </c>
      <c r="I190" s="346">
        <f t="shared" si="37"/>
        <v>3633</v>
      </c>
      <c r="J190" s="346">
        <f t="shared" si="37"/>
        <v>0</v>
      </c>
      <c r="K190" s="346">
        <f t="shared" si="37"/>
        <v>4433</v>
      </c>
      <c r="L190" s="346">
        <f t="shared" si="37"/>
        <v>0</v>
      </c>
      <c r="M190" s="346">
        <f t="shared" si="37"/>
        <v>12069</v>
      </c>
      <c r="N190" s="346">
        <f t="shared" si="37"/>
        <v>0</v>
      </c>
      <c r="O190" s="332">
        <f t="shared" si="37"/>
        <v>170262</v>
      </c>
      <c r="P190" s="358"/>
      <c r="Q190" s="350" t="s">
        <v>371</v>
      </c>
      <c r="R190" s="346">
        <f t="shared" si="33"/>
        <v>940052</v>
      </c>
      <c r="S190" s="346">
        <f t="shared" si="33"/>
        <v>245515</v>
      </c>
      <c r="T190" s="346">
        <f t="shared" si="33"/>
        <v>426615</v>
      </c>
      <c r="U190" s="346">
        <f t="shared" si="33"/>
        <v>146692</v>
      </c>
      <c r="V190" s="346">
        <f t="shared" si="35"/>
        <v>9378</v>
      </c>
      <c r="W190" s="346">
        <f t="shared" si="35"/>
        <v>0</v>
      </c>
      <c r="X190" s="346">
        <f t="shared" si="33"/>
        <v>15749</v>
      </c>
      <c r="Y190" s="346">
        <f t="shared" si="33"/>
        <v>31708</v>
      </c>
      <c r="Z190" s="332">
        <f t="shared" si="33"/>
        <v>1669017</v>
      </c>
    </row>
    <row r="191" spans="1:26" s="362" customFormat="1" ht="11.25" customHeight="1">
      <c r="A191" s="358"/>
      <c r="B191" s="350" t="s">
        <v>372</v>
      </c>
      <c r="C191" s="359">
        <f aca="true" t="shared" si="38" ref="C191:O191">+C9+C16+C23+C30+C37+C44+C51+C58+C65+C72+C79+C86+C93+C100+C114+C121+C135+C142+C177+C184</f>
        <v>114731</v>
      </c>
      <c r="D191" s="346">
        <f t="shared" si="38"/>
        <v>73784</v>
      </c>
      <c r="E191" s="346">
        <f t="shared" si="38"/>
        <v>30098</v>
      </c>
      <c r="F191" s="346">
        <f t="shared" si="38"/>
        <v>0</v>
      </c>
      <c r="G191" s="346">
        <f t="shared" si="38"/>
        <v>9892</v>
      </c>
      <c r="H191" s="346">
        <f t="shared" si="38"/>
        <v>0</v>
      </c>
      <c r="I191" s="346">
        <f t="shared" si="38"/>
        <v>23547</v>
      </c>
      <c r="J191" s="346">
        <f t="shared" si="38"/>
        <v>3179</v>
      </c>
      <c r="K191" s="346">
        <f t="shared" si="38"/>
        <v>4433</v>
      </c>
      <c r="L191" s="346">
        <f t="shared" si="38"/>
        <v>0</v>
      </c>
      <c r="M191" s="346">
        <f t="shared" si="38"/>
        <v>12069</v>
      </c>
      <c r="N191" s="346">
        <f t="shared" si="38"/>
        <v>0</v>
      </c>
      <c r="O191" s="332">
        <f t="shared" si="38"/>
        <v>197949</v>
      </c>
      <c r="P191" s="358"/>
      <c r="Q191" s="350" t="s">
        <v>372</v>
      </c>
      <c r="R191" s="346">
        <f t="shared" si="33"/>
        <v>942230</v>
      </c>
      <c r="S191" s="346">
        <f t="shared" si="33"/>
        <v>247887</v>
      </c>
      <c r="T191" s="346">
        <f t="shared" si="33"/>
        <v>448674</v>
      </c>
      <c r="U191" s="346">
        <f t="shared" si="33"/>
        <v>146936</v>
      </c>
      <c r="V191" s="346">
        <f t="shared" si="35"/>
        <v>9305</v>
      </c>
      <c r="W191" s="346">
        <f t="shared" si="35"/>
        <v>0</v>
      </c>
      <c r="X191" s="346">
        <f t="shared" si="33"/>
        <v>19323</v>
      </c>
      <c r="Y191" s="346">
        <f t="shared" si="33"/>
        <v>29385</v>
      </c>
      <c r="Z191" s="332">
        <f t="shared" si="33"/>
        <v>1696804</v>
      </c>
    </row>
    <row r="192" spans="1:26" s="362" customFormat="1" ht="11.25" customHeight="1">
      <c r="A192" s="358"/>
      <c r="B192" s="350" t="s">
        <v>373</v>
      </c>
      <c r="C192" s="359">
        <f>+C10+C17+C24+C31+C38+C45+C52+C59+C66+C73+C80+C87+C94+C101+C115+C122+C136+C143+C178+C185</f>
        <v>114731</v>
      </c>
      <c r="D192" s="359">
        <f aca="true" t="shared" si="39" ref="D192:N192">+D10+D17+D24+D31+D38+D45+D52+D59+D66+D73+D80+D87+D94+D101+D115+D122+D136+D143+D178+D185</f>
        <v>73784</v>
      </c>
      <c r="E192" s="359">
        <f t="shared" si="39"/>
        <v>30098</v>
      </c>
      <c r="F192" s="359">
        <f t="shared" si="39"/>
        <v>0</v>
      </c>
      <c r="G192" s="359">
        <f t="shared" si="39"/>
        <v>9892</v>
      </c>
      <c r="H192" s="359">
        <f t="shared" si="39"/>
        <v>0</v>
      </c>
      <c r="I192" s="359">
        <f t="shared" si="39"/>
        <v>23547</v>
      </c>
      <c r="J192" s="359">
        <f t="shared" si="39"/>
        <v>3179</v>
      </c>
      <c r="K192" s="359">
        <f t="shared" si="39"/>
        <v>4433</v>
      </c>
      <c r="L192" s="359">
        <f t="shared" si="39"/>
        <v>0</v>
      </c>
      <c r="M192" s="359">
        <f t="shared" si="39"/>
        <v>12069</v>
      </c>
      <c r="N192" s="359">
        <f t="shared" si="39"/>
        <v>0</v>
      </c>
      <c r="O192" s="332">
        <f>+O10+O17+O24+O31+O38+O45+O52+O59+O66+O73+O80+O87+O94+O101+O115+O122+O136+O143+O178+O185</f>
        <v>197949</v>
      </c>
      <c r="P192" s="358"/>
      <c r="Q192" s="350" t="s">
        <v>373</v>
      </c>
      <c r="R192" s="346">
        <f>+R10+R17+R24+R31+R38+R45+R52+R59+R66+R73+R80+R87+R94+R101+R115+R122+R136+R143+R178+R185</f>
        <v>942230</v>
      </c>
      <c r="S192" s="346">
        <f aca="true" t="shared" si="40" ref="S192:Y192">+S10+S17+S24+S31+S38+S45+S52+S59+S66+S73+S80+S87+S94+S101+S115+S122+S136+S143+S178+S185</f>
        <v>247887</v>
      </c>
      <c r="T192" s="346">
        <f t="shared" si="40"/>
        <v>448674</v>
      </c>
      <c r="U192" s="346">
        <f t="shared" si="40"/>
        <v>146936</v>
      </c>
      <c r="V192" s="346">
        <f t="shared" si="40"/>
        <v>9305</v>
      </c>
      <c r="W192" s="346">
        <f t="shared" si="40"/>
        <v>0</v>
      </c>
      <c r="X192" s="346">
        <f t="shared" si="40"/>
        <v>19323</v>
      </c>
      <c r="Y192" s="346">
        <f t="shared" si="40"/>
        <v>29385</v>
      </c>
      <c r="Z192" s="332">
        <f>+Z10+Z17+Z24+Z31+Z38+Z45+Z52+Z59+Z66+Z73+Z80+Z87+Z94+Z101+Z115+Z122+Z136+Z143+Z178+Z185</f>
        <v>1696804</v>
      </c>
    </row>
    <row r="193" spans="1:26" ht="11.25" customHeight="1">
      <c r="A193" s="358"/>
      <c r="B193" s="363" t="s">
        <v>5</v>
      </c>
      <c r="C193" s="364">
        <f>+C11+C18+C25+C32+C39+C46+C53+C60+C67+C74+C81+C88+C95+C102+C116+C123+C137+C144+C179+C186</f>
        <v>113571</v>
      </c>
      <c r="D193" s="364">
        <f aca="true" t="shared" si="41" ref="D193:N193">+D11+D18+D25+D32+D39+D46+D53+D60+D67+D74+D81+D88+D95+D102+D116+D123+D137+D144+D179+D186</f>
        <v>66261</v>
      </c>
      <c r="E193" s="364">
        <f t="shared" si="41"/>
        <v>31961</v>
      </c>
      <c r="F193" s="364">
        <f t="shared" si="41"/>
        <v>358</v>
      </c>
      <c r="G193" s="364">
        <f t="shared" si="41"/>
        <v>6126</v>
      </c>
      <c r="H193" s="364">
        <f t="shared" si="41"/>
        <v>3766</v>
      </c>
      <c r="I193" s="364">
        <f t="shared" si="41"/>
        <v>22665</v>
      </c>
      <c r="J193" s="364">
        <f t="shared" si="41"/>
        <v>3179</v>
      </c>
      <c r="K193" s="364">
        <f t="shared" si="41"/>
        <v>4433</v>
      </c>
      <c r="L193" s="364">
        <f t="shared" si="41"/>
        <v>0</v>
      </c>
      <c r="M193" s="364">
        <f t="shared" si="41"/>
        <v>12069</v>
      </c>
      <c r="N193" s="364">
        <f t="shared" si="41"/>
        <v>7383</v>
      </c>
      <c r="O193" s="365">
        <f>+O11+O18+O25+O32+O39+O46+O53+O60+O67+O74+O81+O88+O95+O102+O116+O123+O137+O144+O186+O179</f>
        <v>205511</v>
      </c>
      <c r="P193" s="358"/>
      <c r="Q193" s="363" t="s">
        <v>5</v>
      </c>
      <c r="R193" s="364">
        <f>+R11+R18+R25+R32+R39+R46+R53+R60+R67+R74+R81+R88+R95+R102+R116+R123+R137+R144+R179+R186</f>
        <v>933206</v>
      </c>
      <c r="S193" s="364">
        <f aca="true" t="shared" si="42" ref="S193:Y193">+S11+S18+S25+S32+S39+S46+S53+S60+S67+S74+S81+S88+S95+S102+S116+S123+S137+S144+S179+S186</f>
        <v>245680</v>
      </c>
      <c r="T193" s="364">
        <f t="shared" si="42"/>
        <v>432895</v>
      </c>
      <c r="U193" s="364">
        <f t="shared" si="42"/>
        <v>155440</v>
      </c>
      <c r="V193" s="364">
        <f t="shared" si="42"/>
        <v>9180</v>
      </c>
      <c r="W193" s="366">
        <f t="shared" si="42"/>
        <v>125</v>
      </c>
      <c r="X193" s="364">
        <f t="shared" si="42"/>
        <v>11101</v>
      </c>
      <c r="Y193" s="364">
        <f t="shared" si="42"/>
        <v>28997</v>
      </c>
      <c r="Z193" s="365">
        <f>+Z11+Z18+Z25+Z32+Z39+Z46+Z53+Z60+Z67+Z74+Z81+Z88+Z95+Z102+Z116+Z123+Z137+Z144+Z179+Z186</f>
        <v>1661184</v>
      </c>
    </row>
    <row r="194" ht="15.75" customHeight="1">
      <c r="A194" s="367"/>
    </row>
    <row r="195" spans="1:26" ht="15.75" customHeight="1" hidden="1">
      <c r="A195" s="367"/>
      <c r="C195" s="318">
        <v>113571</v>
      </c>
      <c r="D195" s="318">
        <v>47077</v>
      </c>
      <c r="E195" s="318">
        <v>31961</v>
      </c>
      <c r="F195" s="318">
        <v>358</v>
      </c>
      <c r="G195" s="318">
        <v>6126</v>
      </c>
      <c r="H195" s="318">
        <v>3766</v>
      </c>
      <c r="I195" s="318">
        <v>22665</v>
      </c>
      <c r="J195" s="318">
        <v>3179</v>
      </c>
      <c r="K195" s="318">
        <v>4433</v>
      </c>
      <c r="L195" s="318">
        <v>0</v>
      </c>
      <c r="M195" s="318">
        <v>12069</v>
      </c>
      <c r="O195" s="319">
        <f>SUM(C195:N195)-D195</f>
        <v>198128</v>
      </c>
      <c r="R195" s="318">
        <v>933206</v>
      </c>
      <c r="S195" s="318">
        <v>245680</v>
      </c>
      <c r="T195" s="318">
        <v>432895</v>
      </c>
      <c r="V195" s="318">
        <v>9305</v>
      </c>
      <c r="X195" s="318">
        <v>11101</v>
      </c>
      <c r="Y195" s="318">
        <v>28997</v>
      </c>
      <c r="Z195" s="319">
        <v>1661184</v>
      </c>
    </row>
    <row r="196" ht="15.75" customHeight="1" hidden="1">
      <c r="A196" s="367"/>
    </row>
    <row r="197" spans="1:26" ht="15.75" customHeight="1" hidden="1">
      <c r="A197" s="367"/>
      <c r="C197" s="362">
        <f>C193-C195</f>
        <v>0</v>
      </c>
      <c r="D197" s="362">
        <f aca="true" t="shared" si="43" ref="D197:Z197">D193-D195</f>
        <v>19184</v>
      </c>
      <c r="E197" s="362">
        <f t="shared" si="43"/>
        <v>0</v>
      </c>
      <c r="F197" s="362">
        <f t="shared" si="43"/>
        <v>0</v>
      </c>
      <c r="G197" s="362">
        <f t="shared" si="43"/>
        <v>0</v>
      </c>
      <c r="H197" s="362">
        <f t="shared" si="43"/>
        <v>0</v>
      </c>
      <c r="I197" s="362">
        <f t="shared" si="43"/>
        <v>0</v>
      </c>
      <c r="J197" s="362">
        <f t="shared" si="43"/>
        <v>0</v>
      </c>
      <c r="K197" s="362">
        <f t="shared" si="43"/>
        <v>0</v>
      </c>
      <c r="L197" s="362">
        <f t="shared" si="43"/>
        <v>0</v>
      </c>
      <c r="M197" s="362">
        <f t="shared" si="43"/>
        <v>0</v>
      </c>
      <c r="N197" s="362">
        <f t="shared" si="43"/>
        <v>7383</v>
      </c>
      <c r="O197" s="362">
        <f t="shared" si="43"/>
        <v>7383</v>
      </c>
      <c r="P197" s="362"/>
      <c r="Q197" s="362"/>
      <c r="R197" s="362">
        <f t="shared" si="43"/>
        <v>0</v>
      </c>
      <c r="S197" s="362">
        <f t="shared" si="43"/>
        <v>0</v>
      </c>
      <c r="T197" s="362">
        <f t="shared" si="43"/>
        <v>0</v>
      </c>
      <c r="U197" s="362"/>
      <c r="V197" s="362">
        <f t="shared" si="43"/>
        <v>-125</v>
      </c>
      <c r="W197" s="362"/>
      <c r="X197" s="362">
        <f t="shared" si="43"/>
        <v>0</v>
      </c>
      <c r="Y197" s="362">
        <f t="shared" si="43"/>
        <v>0</v>
      </c>
      <c r="Z197" s="362">
        <f t="shared" si="43"/>
        <v>0</v>
      </c>
    </row>
    <row r="198" ht="15.75" customHeight="1">
      <c r="A198" s="367"/>
    </row>
    <row r="199" ht="15.75" customHeight="1">
      <c r="A199" s="367"/>
    </row>
    <row r="200" ht="15.75" customHeight="1">
      <c r="A200" s="367"/>
    </row>
    <row r="201" ht="11.25">
      <c r="A201" s="367"/>
    </row>
    <row r="202" ht="11.25">
      <c r="A202" s="367"/>
    </row>
    <row r="203" ht="11.25">
      <c r="A203" s="367"/>
    </row>
    <row r="204" ht="11.25">
      <c r="A204" s="367"/>
    </row>
    <row r="205" ht="11.25">
      <c r="A205" s="367"/>
    </row>
    <row r="206" ht="11.25">
      <c r="A206" s="367"/>
    </row>
    <row r="207" ht="11.25">
      <c r="A207" s="367"/>
    </row>
    <row r="208" ht="11.25">
      <c r="A208" s="367"/>
    </row>
    <row r="209" ht="11.25">
      <c r="A209" s="367"/>
    </row>
    <row r="210" ht="11.25">
      <c r="A210" s="367"/>
    </row>
    <row r="211" ht="11.25">
      <c r="A211" s="367"/>
    </row>
    <row r="212" ht="11.25">
      <c r="A212" s="367"/>
    </row>
    <row r="213" ht="11.25">
      <c r="A213" s="367"/>
    </row>
    <row r="214" ht="11.25">
      <c r="A214" s="367"/>
    </row>
    <row r="215" ht="11.25">
      <c r="A215" s="367"/>
    </row>
    <row r="216" ht="11.25">
      <c r="A216" s="367"/>
    </row>
    <row r="217" ht="11.25">
      <c r="A217" s="367"/>
    </row>
    <row r="218" ht="11.25">
      <c r="A218" s="367"/>
    </row>
    <row r="219" ht="11.25">
      <c r="A219" s="367"/>
    </row>
    <row r="220" ht="11.25">
      <c r="A220" s="367"/>
    </row>
  </sheetData>
  <sheetProtection selectLockedCells="1" selectUnlockedCells="1"/>
  <mergeCells count="71">
    <mergeCell ref="C1:O1"/>
    <mergeCell ref="R1:Z1"/>
    <mergeCell ref="A3:B4"/>
    <mergeCell ref="C3:C4"/>
    <mergeCell ref="D3:D4"/>
    <mergeCell ref="E3:E4"/>
    <mergeCell ref="F3:F4"/>
    <mergeCell ref="G3:H3"/>
    <mergeCell ref="I3:J3"/>
    <mergeCell ref="K3:K4"/>
    <mergeCell ref="L3:L4"/>
    <mergeCell ref="M3:N3"/>
    <mergeCell ref="O3:O4"/>
    <mergeCell ref="P3:Q4"/>
    <mergeCell ref="R3:W3"/>
    <mergeCell ref="X3:Y3"/>
    <mergeCell ref="Z3:Z4"/>
    <mergeCell ref="A5:A11"/>
    <mergeCell ref="P5:P11"/>
    <mergeCell ref="A12:A18"/>
    <mergeCell ref="P12:P18"/>
    <mergeCell ref="A19:A25"/>
    <mergeCell ref="P19:P25"/>
    <mergeCell ref="A26:A32"/>
    <mergeCell ref="P26:P32"/>
    <mergeCell ref="A33:A39"/>
    <mergeCell ref="P33:P39"/>
    <mergeCell ref="A40:A46"/>
    <mergeCell ref="P40:P46"/>
    <mergeCell ref="A47:A53"/>
    <mergeCell ref="P47:P53"/>
    <mergeCell ref="A54:A60"/>
    <mergeCell ref="P54:P60"/>
    <mergeCell ref="A61:A67"/>
    <mergeCell ref="P61:P67"/>
    <mergeCell ref="A68:A74"/>
    <mergeCell ref="P68:P74"/>
    <mergeCell ref="A75:A81"/>
    <mergeCell ref="P75:P81"/>
    <mergeCell ref="A82:A88"/>
    <mergeCell ref="P82:P88"/>
    <mergeCell ref="A89:A95"/>
    <mergeCell ref="P89:P95"/>
    <mergeCell ref="A96:A102"/>
    <mergeCell ref="P96:P102"/>
    <mergeCell ref="A103:A109"/>
    <mergeCell ref="P103:P109"/>
    <mergeCell ref="A110:A116"/>
    <mergeCell ref="P110:P116"/>
    <mergeCell ref="A117:A123"/>
    <mergeCell ref="P117:P123"/>
    <mergeCell ref="A124:A130"/>
    <mergeCell ref="P124:P130"/>
    <mergeCell ref="A131:A137"/>
    <mergeCell ref="P131:P137"/>
    <mergeCell ref="A138:A144"/>
    <mergeCell ref="P138:P144"/>
    <mergeCell ref="A145:A151"/>
    <mergeCell ref="P145:P151"/>
    <mergeCell ref="A152:A158"/>
    <mergeCell ref="P152:P158"/>
    <mergeCell ref="A159:A165"/>
    <mergeCell ref="P159:P165"/>
    <mergeCell ref="A166:A172"/>
    <mergeCell ref="P166:P172"/>
    <mergeCell ref="A173:A179"/>
    <mergeCell ref="P173:P179"/>
    <mergeCell ref="A180:A186"/>
    <mergeCell ref="P180:P186"/>
    <mergeCell ref="A187:A193"/>
    <mergeCell ref="P187:P193"/>
  </mergeCells>
  <printOptions horizontalCentered="1"/>
  <pageMargins left="0.2361111111111111" right="0.19652777777777777" top="0.3798611111111111" bottom="0.1798611111111111" header="0.1798611111111111" footer="0.5118055555555555"/>
  <pageSetup horizontalDpi="300" verticalDpi="300" orientation="landscape" paperSize="9" scale="66"/>
  <headerFooter alignWithMargins="0">
    <oddHeader>&amp;L&amp;8 5. melléklet a 16/2011.(V.02.) önkormányzati rendelethez</oddHeader>
  </headerFooter>
  <rowBreaks count="2" manualBreakCount="2">
    <brk id="67" max="255" man="1"/>
    <brk id="137" max="255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96"/>
  <sheetViews>
    <sheetView zoomScaleSheetLayoutView="100" workbookViewId="0" topLeftCell="A1">
      <selection activeCell="A31" sqref="A31"/>
    </sheetView>
  </sheetViews>
  <sheetFormatPr defaultColWidth="9.00390625" defaultRowHeight="12.75"/>
  <cols>
    <col min="1" max="1" width="78.00390625" style="0" customWidth="1"/>
    <col min="2" max="2" width="11.00390625" style="0" customWidth="1"/>
    <col min="3" max="4" width="11.00390625" style="368" customWidth="1"/>
  </cols>
  <sheetData>
    <row r="1" spans="1:4" s="370" customFormat="1" ht="12.75">
      <c r="A1" s="369"/>
      <c r="C1" s="368"/>
      <c r="D1" s="368"/>
    </row>
    <row r="2" spans="1:4" s="370" customFormat="1" ht="12" customHeight="1">
      <c r="A2" s="369"/>
      <c r="C2" s="368"/>
      <c r="D2" s="368"/>
    </row>
    <row r="3" spans="1:4" s="370" customFormat="1" ht="13.5" customHeight="1">
      <c r="A3" s="371" t="s">
        <v>400</v>
      </c>
      <c r="B3" s="371"/>
      <c r="C3" s="371"/>
      <c r="D3" s="371"/>
    </row>
    <row r="4" spans="1:4" s="370" customFormat="1" ht="14.25" customHeight="1">
      <c r="A4" s="372" t="s">
        <v>401</v>
      </c>
      <c r="B4" s="372"/>
      <c r="C4" s="372"/>
      <c r="D4" s="372"/>
    </row>
    <row r="5" spans="1:4" s="370" customFormat="1" ht="14.25" customHeight="1">
      <c r="A5" s="372"/>
      <c r="B5" s="373"/>
      <c r="C5" s="368"/>
      <c r="D5" s="368"/>
    </row>
    <row r="6" spans="1:4" s="370" customFormat="1" ht="12.75" customHeight="1">
      <c r="A6" s="374"/>
      <c r="B6" s="375" t="s">
        <v>3</v>
      </c>
      <c r="C6" s="376" t="s">
        <v>4</v>
      </c>
      <c r="D6" s="377" t="s">
        <v>5</v>
      </c>
    </row>
    <row r="7" spans="1:4" s="382" customFormat="1" ht="12.75" customHeight="1">
      <c r="A7" s="378" t="s">
        <v>148</v>
      </c>
      <c r="B7" s="379">
        <f>SUM(B16+B42+B51)</f>
        <v>195168</v>
      </c>
      <c r="C7" s="380">
        <f>SUM(C16+C42+C51)</f>
        <v>182034</v>
      </c>
      <c r="D7" s="381">
        <f>SUM(D16+D42+D51)</f>
        <v>145400</v>
      </c>
    </row>
    <row r="8" spans="1:4" s="370" customFormat="1" ht="12.75" customHeight="1">
      <c r="A8" s="383"/>
      <c r="B8" s="379"/>
      <c r="C8" s="384"/>
      <c r="D8" s="385"/>
    </row>
    <row r="9" spans="1:4" s="370" customFormat="1" ht="12.75" customHeight="1">
      <c r="A9" s="386" t="s">
        <v>402</v>
      </c>
      <c r="B9" s="387"/>
      <c r="C9" s="384"/>
      <c r="D9" s="385"/>
    </row>
    <row r="10" spans="1:5" s="370" customFormat="1" ht="12.75" customHeight="1">
      <c r="A10" s="388" t="s">
        <v>403</v>
      </c>
      <c r="B10" s="387">
        <v>17000</v>
      </c>
      <c r="C10" s="384">
        <v>17386</v>
      </c>
      <c r="D10" s="385">
        <v>17386</v>
      </c>
      <c r="E10" s="389"/>
    </row>
    <row r="11" spans="1:5" s="370" customFormat="1" ht="12.75" customHeight="1">
      <c r="A11" s="388" t="s">
        <v>404</v>
      </c>
      <c r="B11" s="387">
        <v>8650</v>
      </c>
      <c r="C11" s="384">
        <v>8650</v>
      </c>
      <c r="D11" s="385">
        <v>8650</v>
      </c>
      <c r="E11" s="389"/>
    </row>
    <row r="12" spans="1:5" s="370" customFormat="1" ht="12.75" customHeight="1">
      <c r="A12" s="388" t="s">
        <v>405</v>
      </c>
      <c r="B12" s="387">
        <v>1465</v>
      </c>
      <c r="C12" s="384">
        <v>1465</v>
      </c>
      <c r="D12" s="385"/>
      <c r="E12" s="389"/>
    </row>
    <row r="13" spans="1:5" s="370" customFormat="1" ht="12.75" customHeight="1">
      <c r="A13" s="388" t="s">
        <v>406</v>
      </c>
      <c r="B13" s="387">
        <v>33962</v>
      </c>
      <c r="C13" s="384">
        <v>0</v>
      </c>
      <c r="D13" s="385"/>
      <c r="E13" s="389"/>
    </row>
    <row r="14" spans="1:5" s="370" customFormat="1" ht="12.75" customHeight="1">
      <c r="A14" s="388" t="s">
        <v>407</v>
      </c>
      <c r="B14" s="387">
        <v>69791</v>
      </c>
      <c r="C14" s="384">
        <v>66863</v>
      </c>
      <c r="D14" s="385">
        <v>66863</v>
      </c>
      <c r="E14" s="389"/>
    </row>
    <row r="15" spans="1:5" s="370" customFormat="1" ht="12.75" customHeight="1">
      <c r="A15" s="388" t="s">
        <v>408</v>
      </c>
      <c r="B15" s="387">
        <v>5000</v>
      </c>
      <c r="C15" s="384">
        <v>3046</v>
      </c>
      <c r="D15" s="385">
        <v>1518</v>
      </c>
      <c r="E15" s="389"/>
    </row>
    <row r="16" spans="1:5" s="369" customFormat="1" ht="12.75" customHeight="1">
      <c r="A16" s="386" t="s">
        <v>120</v>
      </c>
      <c r="B16" s="390">
        <f>SUM(B10:B15)</f>
        <v>135868</v>
      </c>
      <c r="C16" s="391">
        <f>SUM(C10:C15)</f>
        <v>97410</v>
      </c>
      <c r="D16" s="392">
        <f>SUM(D10:D15)</f>
        <v>94417</v>
      </c>
      <c r="E16" s="389"/>
    </row>
    <row r="17" spans="1:5" s="370" customFormat="1" ht="12.75" customHeight="1">
      <c r="A17" s="388"/>
      <c r="B17" s="387"/>
      <c r="C17" s="384"/>
      <c r="D17" s="385"/>
      <c r="E17" s="389"/>
    </row>
    <row r="18" spans="1:5" s="370" customFormat="1" ht="12.75" customHeight="1">
      <c r="A18" s="386" t="s">
        <v>409</v>
      </c>
      <c r="B18" s="387"/>
      <c r="C18" s="384"/>
      <c r="D18" s="385"/>
      <c r="E18" s="389"/>
    </row>
    <row r="19" spans="1:5" s="370" customFormat="1" ht="12.75" customHeight="1">
      <c r="A19" s="393" t="s">
        <v>410</v>
      </c>
      <c r="B19" s="394">
        <v>5000</v>
      </c>
      <c r="C19" s="384">
        <v>3606</v>
      </c>
      <c r="D19" s="385">
        <v>3075</v>
      </c>
      <c r="E19" s="389"/>
    </row>
    <row r="20" spans="1:5" s="370" customFormat="1" ht="12.75" customHeight="1">
      <c r="A20" s="388" t="s">
        <v>411</v>
      </c>
      <c r="B20" s="387">
        <v>500</v>
      </c>
      <c r="C20" s="384">
        <v>500</v>
      </c>
      <c r="D20" s="385"/>
      <c r="E20" s="389"/>
    </row>
    <row r="21" spans="1:5" s="370" customFormat="1" ht="12.75" customHeight="1">
      <c r="A21" s="388" t="s">
        <v>412</v>
      </c>
      <c r="B21" s="387">
        <v>20000</v>
      </c>
      <c r="C21" s="384">
        <v>9141</v>
      </c>
      <c r="D21" s="385">
        <v>4928</v>
      </c>
      <c r="E21" s="389"/>
    </row>
    <row r="22" spans="1:5" s="370" customFormat="1" ht="12.75" customHeight="1">
      <c r="A22" s="388" t="s">
        <v>413</v>
      </c>
      <c r="B22" s="387">
        <v>10000</v>
      </c>
      <c r="C22" s="384">
        <v>10000</v>
      </c>
      <c r="D22" s="385"/>
      <c r="E22" s="389"/>
    </row>
    <row r="23" spans="1:5" s="370" customFormat="1" ht="12.75" customHeight="1">
      <c r="A23" s="388" t="s">
        <v>414</v>
      </c>
      <c r="B23" s="387">
        <v>2000</v>
      </c>
      <c r="C23" s="384">
        <v>0</v>
      </c>
      <c r="D23" s="385"/>
      <c r="E23" s="389"/>
    </row>
    <row r="24" spans="1:5" s="370" customFormat="1" ht="12.75" customHeight="1">
      <c r="A24" s="388" t="s">
        <v>415</v>
      </c>
      <c r="B24" s="387">
        <v>800</v>
      </c>
      <c r="C24" s="384">
        <v>476</v>
      </c>
      <c r="D24" s="385"/>
      <c r="E24" s="389"/>
    </row>
    <row r="25" spans="1:5" s="370" customFormat="1" ht="12.75" customHeight="1">
      <c r="A25" s="388" t="s">
        <v>416</v>
      </c>
      <c r="B25" s="387">
        <v>10000</v>
      </c>
      <c r="C25" s="384">
        <v>9647</v>
      </c>
      <c r="D25" s="385"/>
      <c r="E25" s="389"/>
    </row>
    <row r="26" spans="1:5" s="370" customFormat="1" ht="12.75" customHeight="1">
      <c r="A26" s="388" t="s">
        <v>417</v>
      </c>
      <c r="B26" s="387">
        <v>10000</v>
      </c>
      <c r="C26" s="384">
        <v>10413</v>
      </c>
      <c r="D26" s="385">
        <v>10412</v>
      </c>
      <c r="E26" s="389"/>
    </row>
    <row r="27" spans="1:5" s="370" customFormat="1" ht="12.75" customHeight="1">
      <c r="A27" s="395" t="s">
        <v>418</v>
      </c>
      <c r="B27" s="396"/>
      <c r="C27" s="384">
        <v>403</v>
      </c>
      <c r="D27" s="385">
        <v>403</v>
      </c>
      <c r="E27" s="389"/>
    </row>
    <row r="28" spans="1:5" s="370" customFormat="1" ht="12.75" customHeight="1">
      <c r="A28" s="395" t="s">
        <v>419</v>
      </c>
      <c r="B28" s="396"/>
      <c r="C28" s="384">
        <v>198</v>
      </c>
      <c r="D28" s="385">
        <v>198</v>
      </c>
      <c r="E28" s="389"/>
    </row>
    <row r="29" spans="1:5" s="370" customFormat="1" ht="12.75" customHeight="1">
      <c r="A29" s="395" t="s">
        <v>420</v>
      </c>
      <c r="B29" s="396"/>
      <c r="C29" s="384">
        <v>138</v>
      </c>
      <c r="D29" s="385">
        <v>138</v>
      </c>
      <c r="E29" s="389"/>
    </row>
    <row r="30" spans="1:5" s="370" customFormat="1" ht="12.75" customHeight="1">
      <c r="A30" s="395" t="s">
        <v>421</v>
      </c>
      <c r="B30" s="396"/>
      <c r="C30" s="384">
        <v>15023</v>
      </c>
      <c r="D30" s="385">
        <v>15023</v>
      </c>
      <c r="E30" s="389"/>
    </row>
    <row r="31" spans="1:5" s="370" customFormat="1" ht="12.75" customHeight="1">
      <c r="A31" s="395" t="s">
        <v>422</v>
      </c>
      <c r="B31" s="396"/>
      <c r="C31" s="384">
        <v>999</v>
      </c>
      <c r="D31" s="385">
        <v>999</v>
      </c>
      <c r="E31" s="389"/>
    </row>
    <row r="32" spans="1:5" s="370" customFormat="1" ht="12.75" customHeight="1">
      <c r="A32" s="395" t="s">
        <v>423</v>
      </c>
      <c r="B32" s="396"/>
      <c r="C32" s="384">
        <v>755</v>
      </c>
      <c r="D32" s="385">
        <v>755</v>
      </c>
      <c r="E32" s="389"/>
    </row>
    <row r="33" spans="1:5" s="370" customFormat="1" ht="12.75" customHeight="1">
      <c r="A33" s="395" t="s">
        <v>424</v>
      </c>
      <c r="B33" s="396"/>
      <c r="C33" s="384">
        <v>1001</v>
      </c>
      <c r="D33" s="385">
        <v>1001</v>
      </c>
      <c r="E33" s="389"/>
    </row>
    <row r="34" spans="1:5" s="370" customFormat="1" ht="12.75" customHeight="1">
      <c r="A34" s="395" t="s">
        <v>405</v>
      </c>
      <c r="B34" s="396"/>
      <c r="C34" s="384">
        <v>2000</v>
      </c>
      <c r="D34" s="385"/>
      <c r="E34" s="389"/>
    </row>
    <row r="35" spans="1:5" s="370" customFormat="1" ht="12.75" customHeight="1">
      <c r="A35" s="395" t="s">
        <v>425</v>
      </c>
      <c r="B35" s="396"/>
      <c r="C35" s="384">
        <v>546</v>
      </c>
      <c r="D35" s="385">
        <f>300+246</f>
        <v>546</v>
      </c>
      <c r="E35" s="389"/>
    </row>
    <row r="36" spans="1:5" s="370" customFormat="1" ht="12.75" customHeight="1">
      <c r="A36" s="395" t="s">
        <v>426</v>
      </c>
      <c r="B36" s="396"/>
      <c r="C36" s="384">
        <v>1741</v>
      </c>
      <c r="D36" s="385">
        <v>1741</v>
      </c>
      <c r="E36" s="389"/>
    </row>
    <row r="37" spans="1:5" s="370" customFormat="1" ht="12.75" customHeight="1">
      <c r="A37" s="395" t="s">
        <v>427</v>
      </c>
      <c r="B37" s="396"/>
      <c r="C37" s="384">
        <v>273</v>
      </c>
      <c r="D37" s="385"/>
      <c r="E37" s="389"/>
    </row>
    <row r="38" spans="1:5" s="370" customFormat="1" ht="12.75" customHeight="1">
      <c r="A38" s="395" t="s">
        <v>428</v>
      </c>
      <c r="B38" s="396"/>
      <c r="C38" s="384">
        <v>563</v>
      </c>
      <c r="D38" s="385">
        <v>563</v>
      </c>
      <c r="E38" s="389"/>
    </row>
    <row r="39" spans="1:5" s="370" customFormat="1" ht="12.75" customHeight="1">
      <c r="A39" s="395" t="s">
        <v>429</v>
      </c>
      <c r="B39" s="396"/>
      <c r="C39" s="384">
        <v>2324</v>
      </c>
      <c r="D39" s="385">
        <v>2324</v>
      </c>
      <c r="E39" s="389"/>
    </row>
    <row r="40" spans="1:5" s="370" customFormat="1" ht="12.75" customHeight="1">
      <c r="A40" s="395" t="s">
        <v>430</v>
      </c>
      <c r="B40" s="396"/>
      <c r="C40" s="384">
        <v>186</v>
      </c>
      <c r="D40" s="385">
        <v>186</v>
      </c>
      <c r="E40" s="389"/>
    </row>
    <row r="41" spans="1:5" s="370" customFormat="1" ht="12.75" customHeight="1">
      <c r="A41" s="395" t="s">
        <v>431</v>
      </c>
      <c r="B41" s="396"/>
      <c r="C41" s="384">
        <v>100</v>
      </c>
      <c r="D41" s="385">
        <v>100</v>
      </c>
      <c r="E41" s="389"/>
    </row>
    <row r="42" spans="1:5" s="369" customFormat="1" ht="12.75" customHeight="1">
      <c r="A42" s="386" t="s">
        <v>120</v>
      </c>
      <c r="B42" s="390">
        <f>SUM(B19:B36)</f>
        <v>58300</v>
      </c>
      <c r="C42" s="391">
        <f>SUM(C19:C41)</f>
        <v>70033</v>
      </c>
      <c r="D42" s="392">
        <f>SUM(D19:D41)</f>
        <v>42392</v>
      </c>
      <c r="E42" s="389"/>
    </row>
    <row r="43" spans="1:5" s="370" customFormat="1" ht="12.75" customHeight="1">
      <c r="A43" s="397"/>
      <c r="B43" s="398"/>
      <c r="C43" s="384"/>
      <c r="D43" s="385"/>
      <c r="E43" s="389"/>
    </row>
    <row r="44" spans="1:5" s="370" customFormat="1" ht="12.75" customHeight="1">
      <c r="A44" s="386" t="s">
        <v>432</v>
      </c>
      <c r="B44" s="387"/>
      <c r="C44" s="384"/>
      <c r="D44" s="385"/>
      <c r="E44" s="389"/>
    </row>
    <row r="45" spans="1:5" s="370" customFormat="1" ht="12.75" customHeight="1">
      <c r="A45" s="388" t="s">
        <v>433</v>
      </c>
      <c r="B45" s="387">
        <v>1000</v>
      </c>
      <c r="C45" s="384">
        <v>1000</v>
      </c>
      <c r="D45" s="385"/>
      <c r="E45" s="389"/>
    </row>
    <row r="46" spans="1:5" s="370" customFormat="1" ht="12.75" customHeight="1">
      <c r="A46" s="388" t="s">
        <v>434</v>
      </c>
      <c r="B46" s="387"/>
      <c r="C46" s="384">
        <v>192</v>
      </c>
      <c r="D46" s="385">
        <v>192</v>
      </c>
      <c r="E46" s="389"/>
    </row>
    <row r="47" spans="1:5" s="370" customFormat="1" ht="12.75" customHeight="1">
      <c r="A47" s="388" t="s">
        <v>410</v>
      </c>
      <c r="B47" s="387"/>
      <c r="C47" s="384">
        <v>7000</v>
      </c>
      <c r="D47" s="385">
        <v>7000</v>
      </c>
      <c r="E47" s="389"/>
    </row>
    <row r="48" spans="1:5" s="370" customFormat="1" ht="12.75" customHeight="1">
      <c r="A48" s="388" t="s">
        <v>435</v>
      </c>
      <c r="B48" s="387"/>
      <c r="C48" s="384">
        <v>5000</v>
      </c>
      <c r="D48" s="385"/>
      <c r="E48" s="389"/>
    </row>
    <row r="49" spans="1:5" s="370" customFormat="1" ht="12.75" customHeight="1">
      <c r="A49" s="388" t="s">
        <v>436</v>
      </c>
      <c r="B49" s="387"/>
      <c r="C49" s="384">
        <v>643</v>
      </c>
      <c r="D49" s="385">
        <v>643</v>
      </c>
      <c r="E49" s="389"/>
    </row>
    <row r="50" spans="1:5" s="370" customFormat="1" ht="12.75" customHeight="1">
      <c r="A50" s="388" t="s">
        <v>437</v>
      </c>
      <c r="B50" s="387"/>
      <c r="C50" s="384">
        <v>756</v>
      </c>
      <c r="D50" s="385">
        <v>756</v>
      </c>
      <c r="E50" s="389"/>
    </row>
    <row r="51" spans="1:5" s="369" customFormat="1" ht="12.75" customHeight="1">
      <c r="A51" s="386" t="s">
        <v>120</v>
      </c>
      <c r="B51" s="390">
        <f>SUM(B45:B47)</f>
        <v>1000</v>
      </c>
      <c r="C51" s="391">
        <f>SUM(C45:C50)</f>
        <v>14591</v>
      </c>
      <c r="D51" s="392">
        <f>SUM(D45:D50)</f>
        <v>8591</v>
      </c>
      <c r="E51" s="389"/>
    </row>
    <row r="52" spans="1:5" s="370" customFormat="1" ht="12.75" customHeight="1">
      <c r="A52" s="395"/>
      <c r="B52" s="396"/>
      <c r="C52" s="384"/>
      <c r="D52" s="385"/>
      <c r="E52" s="389"/>
    </row>
    <row r="53" spans="1:5" s="382" customFormat="1" ht="12.75" customHeight="1">
      <c r="A53" s="399" t="s">
        <v>150</v>
      </c>
      <c r="B53" s="400">
        <f>SUM(B54)</f>
        <v>0</v>
      </c>
      <c r="C53" s="401">
        <f>SUM(C54)</f>
        <v>2325</v>
      </c>
      <c r="D53" s="402">
        <f>SUM(D54)</f>
        <v>2325</v>
      </c>
      <c r="E53" s="389"/>
    </row>
    <row r="54" spans="1:5" s="370" customFormat="1" ht="12.75" customHeight="1">
      <c r="A54" s="388" t="s">
        <v>438</v>
      </c>
      <c r="B54" s="387"/>
      <c r="C54" s="384">
        <v>2325</v>
      </c>
      <c r="D54" s="385">
        <v>2325</v>
      </c>
      <c r="E54" s="389"/>
    </row>
    <row r="55" spans="1:5" s="370" customFormat="1" ht="12.75" customHeight="1">
      <c r="A55" s="388"/>
      <c r="B55" s="387"/>
      <c r="C55" s="384"/>
      <c r="D55" s="385"/>
      <c r="E55" s="389"/>
    </row>
    <row r="56" spans="1:5" s="382" customFormat="1" ht="12.75" customHeight="1">
      <c r="A56" s="399" t="s">
        <v>149</v>
      </c>
      <c r="B56" s="400">
        <f>SUM(B57:B65)</f>
        <v>17000</v>
      </c>
      <c r="C56" s="401">
        <f>SUM(C57:C66)</f>
        <v>29385</v>
      </c>
      <c r="D56" s="402">
        <f>SUM(D57:D66)</f>
        <v>28997</v>
      </c>
      <c r="E56" s="389"/>
    </row>
    <row r="57" spans="1:5" s="370" customFormat="1" ht="12.75" customHeight="1">
      <c r="A57" s="393" t="s">
        <v>439</v>
      </c>
      <c r="B57" s="387">
        <v>5000</v>
      </c>
      <c r="C57" s="384">
        <v>5000</v>
      </c>
      <c r="D57" s="385">
        <v>4955</v>
      </c>
      <c r="E57" s="389"/>
    </row>
    <row r="58" spans="1:5" s="370" customFormat="1" ht="12.75" customHeight="1">
      <c r="A58" s="393" t="s">
        <v>440</v>
      </c>
      <c r="B58" s="387">
        <v>1350</v>
      </c>
      <c r="C58" s="384">
        <v>3969</v>
      </c>
      <c r="D58" s="385">
        <v>3857</v>
      </c>
      <c r="E58" s="389"/>
    </row>
    <row r="59" spans="1:5" s="370" customFormat="1" ht="12.75" customHeight="1">
      <c r="A59" s="403" t="s">
        <v>441</v>
      </c>
      <c r="B59" s="404">
        <v>2400</v>
      </c>
      <c r="C59" s="384">
        <v>3517</v>
      </c>
      <c r="D59" s="385">
        <v>3516</v>
      </c>
      <c r="E59" s="389"/>
    </row>
    <row r="60" spans="1:5" s="370" customFormat="1" ht="12.75" customHeight="1">
      <c r="A60" s="405" t="s">
        <v>442</v>
      </c>
      <c r="B60" s="404">
        <v>8250</v>
      </c>
      <c r="C60" s="384">
        <v>8400</v>
      </c>
      <c r="D60" s="385">
        <v>8400</v>
      </c>
      <c r="E60" s="389"/>
    </row>
    <row r="61" spans="1:5" s="370" customFormat="1" ht="12.75" customHeight="1">
      <c r="A61" s="405" t="s">
        <v>443</v>
      </c>
      <c r="B61" s="404"/>
      <c r="C61" s="384">
        <v>1737</v>
      </c>
      <c r="D61" s="385">
        <v>1737</v>
      </c>
      <c r="E61" s="389"/>
    </row>
    <row r="62" spans="1:5" s="370" customFormat="1" ht="12.75" customHeight="1">
      <c r="A62" s="405" t="s">
        <v>444</v>
      </c>
      <c r="B62" s="404"/>
      <c r="C62" s="384">
        <v>1265</v>
      </c>
      <c r="D62" s="385">
        <v>1265</v>
      </c>
      <c r="E62" s="389"/>
    </row>
    <row r="63" spans="1:5" s="370" customFormat="1" ht="12.75" customHeight="1">
      <c r="A63" s="405" t="s">
        <v>445</v>
      </c>
      <c r="B63" s="404"/>
      <c r="C63" s="384">
        <v>993</v>
      </c>
      <c r="D63" s="385">
        <v>989</v>
      </c>
      <c r="E63" s="389"/>
    </row>
    <row r="64" spans="1:5" s="370" customFormat="1" ht="12.75" customHeight="1">
      <c r="A64" s="405" t="s">
        <v>446</v>
      </c>
      <c r="B64" s="404"/>
      <c r="C64" s="384">
        <v>4278</v>
      </c>
      <c r="D64" s="385">
        <v>4278</v>
      </c>
      <c r="E64" s="389"/>
    </row>
    <row r="65" spans="1:5" s="370" customFormat="1" ht="12.75" customHeight="1">
      <c r="A65" s="405" t="s">
        <v>447</v>
      </c>
      <c r="B65" s="404"/>
      <c r="C65" s="384">
        <v>226</v>
      </c>
      <c r="D65" s="385">
        <v>0</v>
      </c>
      <c r="E65" s="389"/>
    </row>
    <row r="66" spans="1:5" s="370" customFormat="1" ht="12.75" customHeight="1">
      <c r="A66" s="405" t="s">
        <v>448</v>
      </c>
      <c r="B66" s="404"/>
      <c r="C66" s="384">
        <v>0</v>
      </c>
      <c r="D66" s="385">
        <v>0</v>
      </c>
      <c r="E66" s="389"/>
    </row>
    <row r="67" spans="1:5" s="370" customFormat="1" ht="12.75" customHeight="1">
      <c r="A67" s="393"/>
      <c r="B67" s="387"/>
      <c r="C67" s="384"/>
      <c r="D67" s="385"/>
      <c r="E67" s="389"/>
    </row>
    <row r="68" spans="1:5" s="369" customFormat="1" ht="12.75" customHeight="1">
      <c r="A68" s="406" t="s">
        <v>345</v>
      </c>
      <c r="B68" s="407">
        <f>SUM(B16+B42+B51+B53+B56)</f>
        <v>212168</v>
      </c>
      <c r="C68" s="408">
        <f>SUM(C16+C42+C51+C53+C56)</f>
        <v>213744</v>
      </c>
      <c r="D68" s="409">
        <f>SUM(D16+D42+D51+D53+D56)</f>
        <v>176722</v>
      </c>
      <c r="E68" s="389"/>
    </row>
    <row r="69" spans="2:5" s="370" customFormat="1" ht="13.5">
      <c r="B69" s="373"/>
      <c r="C69" s="389"/>
      <c r="D69" s="389"/>
      <c r="E69" s="389"/>
    </row>
    <row r="70" spans="2:5" s="370" customFormat="1" ht="12.75">
      <c r="B70" s="373"/>
      <c r="C70" s="389"/>
      <c r="D70" s="389"/>
      <c r="E70" s="389"/>
    </row>
    <row r="71" spans="2:4" s="370" customFormat="1" ht="12.75">
      <c r="B71" s="373"/>
      <c r="C71" s="389"/>
      <c r="D71" s="389"/>
    </row>
    <row r="72" spans="3:4" s="370" customFormat="1" ht="12.75">
      <c r="C72" s="389"/>
      <c r="D72" s="389"/>
    </row>
    <row r="73" spans="3:4" s="370" customFormat="1" ht="12.75">
      <c r="C73" s="389"/>
      <c r="D73" s="389"/>
    </row>
    <row r="74" spans="3:4" s="370" customFormat="1" ht="12.75">
      <c r="C74" s="389"/>
      <c r="D74" s="389"/>
    </row>
    <row r="75" spans="3:4" s="370" customFormat="1" ht="12.75">
      <c r="C75" s="389"/>
      <c r="D75" s="389"/>
    </row>
    <row r="76" spans="3:4" s="370" customFormat="1" ht="12.75">
      <c r="C76" s="389"/>
      <c r="D76" s="389"/>
    </row>
    <row r="77" spans="3:4" s="370" customFormat="1" ht="12.75">
      <c r="C77" s="389"/>
      <c r="D77" s="389"/>
    </row>
    <row r="78" spans="3:4" s="370" customFormat="1" ht="12.75">
      <c r="C78" s="389"/>
      <c r="D78" s="389"/>
    </row>
    <row r="79" spans="3:4" s="370" customFormat="1" ht="12.75">
      <c r="C79" s="389"/>
      <c r="D79" s="389"/>
    </row>
    <row r="80" spans="3:4" s="370" customFormat="1" ht="12.75">
      <c r="C80" s="389"/>
      <c r="D80" s="389"/>
    </row>
    <row r="81" spans="3:4" s="370" customFormat="1" ht="12.75">
      <c r="C81" s="389"/>
      <c r="D81" s="389"/>
    </row>
    <row r="82" spans="3:4" s="370" customFormat="1" ht="12.75">
      <c r="C82" s="389"/>
      <c r="D82" s="389"/>
    </row>
    <row r="83" spans="3:4" s="370" customFormat="1" ht="12.75">
      <c r="C83" s="389"/>
      <c r="D83" s="389"/>
    </row>
    <row r="84" spans="3:4" s="370" customFormat="1" ht="12.75">
      <c r="C84" s="389"/>
      <c r="D84" s="389"/>
    </row>
    <row r="85" spans="3:4" s="370" customFormat="1" ht="12.75">
      <c r="C85" s="389"/>
      <c r="D85" s="389"/>
    </row>
    <row r="86" spans="3:4" s="370" customFormat="1" ht="12.75">
      <c r="C86" s="389"/>
      <c r="D86" s="389"/>
    </row>
    <row r="87" spans="3:4" s="370" customFormat="1" ht="12.75">
      <c r="C87" s="389"/>
      <c r="D87" s="389"/>
    </row>
    <row r="88" spans="3:4" s="370" customFormat="1" ht="12.75">
      <c r="C88" s="389"/>
      <c r="D88" s="389"/>
    </row>
    <row r="89" spans="3:4" s="370" customFormat="1" ht="12.75">
      <c r="C89" s="389"/>
      <c r="D89" s="389"/>
    </row>
    <row r="90" spans="3:4" s="370" customFormat="1" ht="12.75">
      <c r="C90" s="389"/>
      <c r="D90" s="389"/>
    </row>
    <row r="91" spans="3:4" s="370" customFormat="1" ht="12.75">
      <c r="C91" s="389"/>
      <c r="D91" s="389"/>
    </row>
    <row r="92" spans="3:4" s="370" customFormat="1" ht="12.75">
      <c r="C92" s="389"/>
      <c r="D92" s="389"/>
    </row>
    <row r="93" spans="3:4" s="370" customFormat="1" ht="12.75">
      <c r="C93" s="389"/>
      <c r="D93" s="389"/>
    </row>
    <row r="94" spans="3:4" s="370" customFormat="1" ht="12.75">
      <c r="C94" s="389"/>
      <c r="D94" s="389"/>
    </row>
    <row r="95" spans="3:4" s="370" customFormat="1" ht="12.75">
      <c r="C95" s="389"/>
      <c r="D95" s="389"/>
    </row>
    <row r="96" spans="3:4" s="370" customFormat="1" ht="12.75">
      <c r="C96" s="389"/>
      <c r="D96" s="389"/>
    </row>
    <row r="97" spans="3:4" s="370" customFormat="1" ht="12.75">
      <c r="C97" s="389"/>
      <c r="D97" s="389"/>
    </row>
    <row r="98" spans="3:4" s="370" customFormat="1" ht="12.75">
      <c r="C98" s="389"/>
      <c r="D98" s="389"/>
    </row>
    <row r="99" spans="3:4" s="370" customFormat="1" ht="12.75">
      <c r="C99" s="389"/>
      <c r="D99" s="389"/>
    </row>
    <row r="100" spans="3:4" s="370" customFormat="1" ht="12.75">
      <c r="C100" s="389"/>
      <c r="D100" s="389"/>
    </row>
    <row r="101" spans="3:4" s="370" customFormat="1" ht="12.75">
      <c r="C101" s="389"/>
      <c r="D101" s="389"/>
    </row>
    <row r="102" spans="3:4" s="370" customFormat="1" ht="12.75">
      <c r="C102" s="389"/>
      <c r="D102" s="389"/>
    </row>
    <row r="103" spans="3:4" s="370" customFormat="1" ht="12.75">
      <c r="C103" s="389"/>
      <c r="D103" s="389"/>
    </row>
    <row r="104" spans="3:4" s="370" customFormat="1" ht="12.75">
      <c r="C104" s="389"/>
      <c r="D104" s="389"/>
    </row>
    <row r="105" spans="3:4" s="370" customFormat="1" ht="12.75">
      <c r="C105" s="389"/>
      <c r="D105" s="389"/>
    </row>
    <row r="106" spans="3:4" s="370" customFormat="1" ht="12.75">
      <c r="C106" s="389"/>
      <c r="D106" s="389"/>
    </row>
    <row r="107" spans="3:4" s="370" customFormat="1" ht="12.75">
      <c r="C107" s="389"/>
      <c r="D107" s="389"/>
    </row>
    <row r="108" spans="3:4" s="370" customFormat="1" ht="12.75">
      <c r="C108" s="389"/>
      <c r="D108" s="389"/>
    </row>
    <row r="109" spans="3:4" s="370" customFormat="1" ht="12.75">
      <c r="C109" s="389"/>
      <c r="D109" s="389"/>
    </row>
    <row r="110" spans="3:4" s="370" customFormat="1" ht="12.75">
      <c r="C110" s="389"/>
      <c r="D110" s="389"/>
    </row>
    <row r="111" spans="3:4" s="370" customFormat="1" ht="12.75">
      <c r="C111" s="389"/>
      <c r="D111" s="389"/>
    </row>
    <row r="112" spans="3:4" s="370" customFormat="1" ht="12.75">
      <c r="C112" s="389"/>
      <c r="D112" s="389"/>
    </row>
    <row r="113" spans="3:4" s="370" customFormat="1" ht="12.75">
      <c r="C113" s="389"/>
      <c r="D113" s="389"/>
    </row>
    <row r="114" spans="3:4" s="370" customFormat="1" ht="12.75">
      <c r="C114" s="389"/>
      <c r="D114" s="389"/>
    </row>
    <row r="115" spans="3:4" s="370" customFormat="1" ht="12.75">
      <c r="C115" s="389"/>
      <c r="D115" s="389"/>
    </row>
    <row r="116" spans="3:4" s="370" customFormat="1" ht="12.75">
      <c r="C116" s="389"/>
      <c r="D116" s="389"/>
    </row>
    <row r="117" spans="3:4" s="370" customFormat="1" ht="12.75">
      <c r="C117" s="389"/>
      <c r="D117" s="389"/>
    </row>
    <row r="118" spans="3:4" s="370" customFormat="1" ht="12.75">
      <c r="C118" s="389"/>
      <c r="D118" s="389"/>
    </row>
    <row r="119" spans="3:4" s="370" customFormat="1" ht="12.75">
      <c r="C119" s="389"/>
      <c r="D119" s="389"/>
    </row>
    <row r="120" spans="3:4" s="370" customFormat="1" ht="12.75">
      <c r="C120" s="389"/>
      <c r="D120" s="389"/>
    </row>
    <row r="121" spans="3:4" s="370" customFormat="1" ht="12.75">
      <c r="C121" s="389"/>
      <c r="D121" s="389"/>
    </row>
    <row r="122" spans="3:4" s="370" customFormat="1" ht="12.75">
      <c r="C122" s="389"/>
      <c r="D122" s="389"/>
    </row>
    <row r="123" spans="3:4" s="370" customFormat="1" ht="12.75">
      <c r="C123" s="389"/>
      <c r="D123" s="389"/>
    </row>
    <row r="124" spans="3:4" s="370" customFormat="1" ht="12.75">
      <c r="C124" s="389"/>
      <c r="D124" s="389"/>
    </row>
    <row r="125" spans="3:4" s="370" customFormat="1" ht="12.75">
      <c r="C125" s="389"/>
      <c r="D125" s="389"/>
    </row>
    <row r="126" spans="3:4" s="370" customFormat="1" ht="12.75">
      <c r="C126" s="389"/>
      <c r="D126" s="389"/>
    </row>
    <row r="127" spans="3:4" s="370" customFormat="1" ht="12.75">
      <c r="C127" s="389"/>
      <c r="D127" s="389"/>
    </row>
    <row r="128" spans="3:4" s="370" customFormat="1" ht="12.75">
      <c r="C128" s="389"/>
      <c r="D128" s="389"/>
    </row>
    <row r="129" spans="3:4" s="370" customFormat="1" ht="12.75">
      <c r="C129" s="389"/>
      <c r="D129" s="389"/>
    </row>
    <row r="130" spans="3:4" s="370" customFormat="1" ht="12.75">
      <c r="C130" s="389"/>
      <c r="D130" s="389"/>
    </row>
    <row r="131" spans="3:4" s="370" customFormat="1" ht="12.75">
      <c r="C131" s="389"/>
      <c r="D131" s="389"/>
    </row>
    <row r="132" spans="3:4" s="370" customFormat="1" ht="12.75">
      <c r="C132" s="389"/>
      <c r="D132" s="389"/>
    </row>
    <row r="133" spans="3:4" s="370" customFormat="1" ht="12.75">
      <c r="C133" s="389"/>
      <c r="D133" s="389"/>
    </row>
    <row r="134" spans="3:4" s="370" customFormat="1" ht="12.75">
      <c r="C134" s="389"/>
      <c r="D134" s="389"/>
    </row>
    <row r="135" spans="3:4" s="370" customFormat="1" ht="12.75">
      <c r="C135" s="389"/>
      <c r="D135" s="389"/>
    </row>
    <row r="136" spans="3:4" s="370" customFormat="1" ht="12.75">
      <c r="C136" s="389"/>
      <c r="D136" s="389"/>
    </row>
    <row r="137" spans="3:4" s="370" customFormat="1" ht="12.75">
      <c r="C137" s="389"/>
      <c r="D137" s="389"/>
    </row>
    <row r="138" spans="3:4" s="370" customFormat="1" ht="12.75">
      <c r="C138" s="389"/>
      <c r="D138" s="389"/>
    </row>
    <row r="139" spans="3:4" s="370" customFormat="1" ht="12.75">
      <c r="C139" s="389"/>
      <c r="D139" s="389"/>
    </row>
    <row r="140" spans="3:4" s="370" customFormat="1" ht="12.75">
      <c r="C140" s="389"/>
      <c r="D140" s="389"/>
    </row>
    <row r="141" spans="3:4" s="370" customFormat="1" ht="12.75">
      <c r="C141" s="389"/>
      <c r="D141" s="389"/>
    </row>
    <row r="142" spans="3:4" s="370" customFormat="1" ht="12.75">
      <c r="C142" s="389"/>
      <c r="D142" s="389"/>
    </row>
    <row r="143" spans="3:4" s="370" customFormat="1" ht="12.75">
      <c r="C143" s="389"/>
      <c r="D143" s="389"/>
    </row>
    <row r="144" spans="3:4" s="370" customFormat="1" ht="12.75">
      <c r="C144" s="389"/>
      <c r="D144" s="389"/>
    </row>
    <row r="145" spans="3:4" s="370" customFormat="1" ht="12.75">
      <c r="C145" s="389"/>
      <c r="D145" s="389"/>
    </row>
    <row r="146" spans="3:4" s="370" customFormat="1" ht="12.75">
      <c r="C146" s="389"/>
      <c r="D146" s="389"/>
    </row>
    <row r="147" spans="3:4" s="370" customFormat="1" ht="12.75">
      <c r="C147" s="389"/>
      <c r="D147" s="389"/>
    </row>
    <row r="148" spans="3:4" s="370" customFormat="1" ht="12.75">
      <c r="C148" s="389"/>
      <c r="D148" s="389"/>
    </row>
    <row r="149" spans="3:4" s="370" customFormat="1" ht="12.75">
      <c r="C149" s="389"/>
      <c r="D149" s="389"/>
    </row>
    <row r="150" spans="3:4" s="370" customFormat="1" ht="12.75">
      <c r="C150" s="389"/>
      <c r="D150" s="389"/>
    </row>
    <row r="151" spans="3:4" s="370" customFormat="1" ht="12.75">
      <c r="C151" s="389"/>
      <c r="D151" s="389"/>
    </row>
    <row r="152" spans="3:4" s="370" customFormat="1" ht="12.75">
      <c r="C152" s="389"/>
      <c r="D152" s="389"/>
    </row>
    <row r="153" spans="3:4" s="370" customFormat="1" ht="12.75">
      <c r="C153" s="389"/>
      <c r="D153" s="389"/>
    </row>
    <row r="154" spans="3:4" s="370" customFormat="1" ht="12.75">
      <c r="C154" s="389"/>
      <c r="D154" s="389"/>
    </row>
    <row r="155" spans="3:4" s="370" customFormat="1" ht="12.75">
      <c r="C155" s="389"/>
      <c r="D155" s="389"/>
    </row>
    <row r="156" spans="3:4" s="370" customFormat="1" ht="12.75">
      <c r="C156" s="389"/>
      <c r="D156" s="389"/>
    </row>
    <row r="157" spans="3:4" s="370" customFormat="1" ht="12.75">
      <c r="C157" s="389"/>
      <c r="D157" s="389"/>
    </row>
    <row r="158" spans="3:4" s="370" customFormat="1" ht="12.75">
      <c r="C158" s="389"/>
      <c r="D158" s="389"/>
    </row>
    <row r="159" spans="3:4" s="370" customFormat="1" ht="12.75">
      <c r="C159" s="389"/>
      <c r="D159" s="389"/>
    </row>
    <row r="160" spans="3:4" s="370" customFormat="1" ht="12.75">
      <c r="C160" s="389"/>
      <c r="D160" s="389"/>
    </row>
    <row r="161" spans="3:4" s="370" customFormat="1" ht="12.75">
      <c r="C161" s="389"/>
      <c r="D161" s="389"/>
    </row>
    <row r="162" spans="3:4" s="370" customFormat="1" ht="12.75">
      <c r="C162" s="389"/>
      <c r="D162" s="389"/>
    </row>
    <row r="163" spans="3:4" s="370" customFormat="1" ht="12.75">
      <c r="C163" s="389"/>
      <c r="D163" s="389"/>
    </row>
    <row r="164" spans="3:4" s="370" customFormat="1" ht="12.75">
      <c r="C164" s="389"/>
      <c r="D164" s="389"/>
    </row>
    <row r="165" spans="3:4" s="370" customFormat="1" ht="12.75">
      <c r="C165" s="389"/>
      <c r="D165" s="389"/>
    </row>
    <row r="166" spans="3:4" s="370" customFormat="1" ht="12.75">
      <c r="C166" s="389"/>
      <c r="D166" s="389"/>
    </row>
    <row r="167" spans="3:4" s="370" customFormat="1" ht="12.75">
      <c r="C167" s="389"/>
      <c r="D167" s="389"/>
    </row>
    <row r="168" spans="3:4" s="370" customFormat="1" ht="12.75">
      <c r="C168" s="389"/>
      <c r="D168" s="389"/>
    </row>
    <row r="169" spans="3:4" s="370" customFormat="1" ht="12.75">
      <c r="C169" s="389"/>
      <c r="D169" s="389"/>
    </row>
    <row r="170" spans="3:4" s="370" customFormat="1" ht="12.75">
      <c r="C170" s="389"/>
      <c r="D170" s="389"/>
    </row>
    <row r="171" spans="3:4" s="370" customFormat="1" ht="12.75">
      <c r="C171" s="389"/>
      <c r="D171" s="389"/>
    </row>
    <row r="172" spans="3:4" s="370" customFormat="1" ht="12.75">
      <c r="C172" s="389"/>
      <c r="D172" s="389"/>
    </row>
    <row r="173" spans="3:4" s="370" customFormat="1" ht="12.75">
      <c r="C173" s="389"/>
      <c r="D173" s="389"/>
    </row>
    <row r="174" spans="3:4" s="370" customFormat="1" ht="12.75">
      <c r="C174" s="389"/>
      <c r="D174" s="389"/>
    </row>
    <row r="175" spans="3:4" s="370" customFormat="1" ht="12.75">
      <c r="C175" s="389"/>
      <c r="D175" s="389"/>
    </row>
    <row r="176" spans="3:4" s="370" customFormat="1" ht="12.75">
      <c r="C176" s="389"/>
      <c r="D176" s="389"/>
    </row>
    <row r="177" spans="3:4" s="370" customFormat="1" ht="12.75">
      <c r="C177" s="389"/>
      <c r="D177" s="389"/>
    </row>
    <row r="178" spans="3:4" s="370" customFormat="1" ht="12.75">
      <c r="C178" s="389"/>
      <c r="D178" s="389"/>
    </row>
    <row r="179" spans="3:4" s="370" customFormat="1" ht="12.75">
      <c r="C179" s="389"/>
      <c r="D179" s="389"/>
    </row>
    <row r="180" spans="3:4" s="370" customFormat="1" ht="12.75">
      <c r="C180" s="389"/>
      <c r="D180" s="389"/>
    </row>
    <row r="181" spans="3:4" s="370" customFormat="1" ht="12.75">
      <c r="C181" s="389"/>
      <c r="D181" s="389"/>
    </row>
    <row r="182" spans="3:4" s="370" customFormat="1" ht="12.75">
      <c r="C182" s="389"/>
      <c r="D182" s="389"/>
    </row>
    <row r="183" spans="3:4" s="370" customFormat="1" ht="12.75">
      <c r="C183" s="389"/>
      <c r="D183" s="389"/>
    </row>
    <row r="184" spans="3:4" s="370" customFormat="1" ht="12.75">
      <c r="C184" s="389"/>
      <c r="D184" s="389"/>
    </row>
    <row r="185" spans="3:4" s="370" customFormat="1" ht="12.75">
      <c r="C185" s="389"/>
      <c r="D185" s="389"/>
    </row>
    <row r="186" spans="3:4" s="370" customFormat="1" ht="12.75">
      <c r="C186" s="389"/>
      <c r="D186" s="389"/>
    </row>
    <row r="187" spans="3:4" s="370" customFormat="1" ht="12.75">
      <c r="C187" s="389"/>
      <c r="D187" s="389"/>
    </row>
    <row r="188" spans="3:4" s="370" customFormat="1" ht="12.75">
      <c r="C188" s="389"/>
      <c r="D188" s="389"/>
    </row>
    <row r="189" spans="3:4" s="370" customFormat="1" ht="12.75">
      <c r="C189" s="389"/>
      <c r="D189" s="389"/>
    </row>
    <row r="190" spans="3:4" s="370" customFormat="1" ht="12.75">
      <c r="C190" s="389"/>
      <c r="D190" s="389"/>
    </row>
    <row r="191" spans="3:4" s="370" customFormat="1" ht="12.75">
      <c r="C191" s="389"/>
      <c r="D191" s="389"/>
    </row>
    <row r="192" spans="3:4" s="370" customFormat="1" ht="12.75">
      <c r="C192" s="389"/>
      <c r="D192" s="389"/>
    </row>
    <row r="193" spans="3:4" s="370" customFormat="1" ht="12.75">
      <c r="C193" s="389"/>
      <c r="D193" s="389"/>
    </row>
    <row r="194" spans="3:4" s="370" customFormat="1" ht="12.75">
      <c r="C194" s="389"/>
      <c r="D194" s="389"/>
    </row>
    <row r="195" spans="3:4" s="370" customFormat="1" ht="12.75">
      <c r="C195" s="389"/>
      <c r="D195" s="389"/>
    </row>
    <row r="196" spans="3:4" s="370" customFormat="1" ht="12.75">
      <c r="C196" s="389"/>
      <c r="D196" s="389"/>
    </row>
  </sheetData>
  <sheetProtection selectLockedCells="1" selectUnlockedCells="1"/>
  <mergeCells count="2">
    <mergeCell ref="A3:D3"/>
    <mergeCell ref="A4:D4"/>
  </mergeCells>
  <printOptions horizontalCentered="1"/>
  <pageMargins left="0.24027777777777778" right="0.2361111111111111" top="0.3402777777777778" bottom="0.19652777777777777" header="0.25" footer="0.5118055555555555"/>
  <pageSetup horizontalDpi="300" verticalDpi="300" orientation="portrait" paperSize="9" scale="90"/>
  <headerFooter alignWithMargins="0">
    <oddHeader>&amp;L&amp;8 6. melléklet a 16/2011.(V.02.)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4"/>
  <sheetViews>
    <sheetView zoomScaleSheetLayoutView="100" workbookViewId="0" topLeftCell="A1">
      <selection activeCell="A22" sqref="A22"/>
    </sheetView>
  </sheetViews>
  <sheetFormatPr defaultColWidth="9.00390625" defaultRowHeight="12.75"/>
  <cols>
    <col min="1" max="1" width="100.00390625" style="0" customWidth="1"/>
    <col min="2" max="3" width="10.75390625" style="0" customWidth="1"/>
    <col min="4" max="4" width="11.625" style="0" customWidth="1"/>
  </cols>
  <sheetData>
    <row r="1" spans="1:4" s="370" customFormat="1" ht="12.75">
      <c r="A1" s="369"/>
      <c r="C1"/>
      <c r="D1"/>
    </row>
    <row r="2" spans="1:4" s="370" customFormat="1" ht="12.75">
      <c r="A2"/>
      <c r="B2"/>
      <c r="C2"/>
      <c r="D2"/>
    </row>
    <row r="3" spans="1:4" s="370" customFormat="1" ht="15.75">
      <c r="A3" s="371" t="s">
        <v>449</v>
      </c>
      <c r="B3" s="371"/>
      <c r="C3" s="371"/>
      <c r="D3" s="371"/>
    </row>
    <row r="4" spans="1:4" s="370" customFormat="1" ht="15.75" customHeight="1">
      <c r="A4" s="372" t="s">
        <v>450</v>
      </c>
      <c r="B4" s="372"/>
      <c r="C4" s="372"/>
      <c r="D4" s="372"/>
    </row>
    <row r="5" spans="1:4" s="370" customFormat="1" ht="16.5">
      <c r="A5" s="410"/>
      <c r="C5"/>
      <c r="D5"/>
    </row>
    <row r="6" spans="1:4" s="370" customFormat="1" ht="13.5">
      <c r="A6" s="374"/>
      <c r="B6" s="375" t="s">
        <v>3</v>
      </c>
      <c r="C6" s="411" t="s">
        <v>4</v>
      </c>
      <c r="D6" s="412" t="s">
        <v>5</v>
      </c>
    </row>
    <row r="7" spans="1:4" s="370" customFormat="1" ht="12.75">
      <c r="A7" s="405"/>
      <c r="B7" s="413"/>
      <c r="C7" s="384"/>
      <c r="D7" s="385"/>
    </row>
    <row r="8" spans="1:4" s="414" customFormat="1" ht="13.5">
      <c r="A8" s="378" t="s">
        <v>148</v>
      </c>
      <c r="B8" s="379">
        <f>SUM(B30+B41+B102+B127)</f>
        <v>4311281</v>
      </c>
      <c r="C8" s="380">
        <f>SUM(C30+C41+C102+C127)</f>
        <v>4148073</v>
      </c>
      <c r="D8" s="381">
        <f>SUM(D30+D41+D102+D127)</f>
        <v>1562873</v>
      </c>
    </row>
    <row r="9" spans="1:4" s="370" customFormat="1" ht="13.5">
      <c r="A9" s="383"/>
      <c r="B9" s="415"/>
      <c r="C9" s="384"/>
      <c r="D9" s="385"/>
    </row>
    <row r="10" spans="1:4" s="370" customFormat="1" ht="12.75">
      <c r="A10" s="386" t="s">
        <v>402</v>
      </c>
      <c r="B10" s="415"/>
      <c r="C10" s="384"/>
      <c r="D10" s="385"/>
    </row>
    <row r="11" spans="1:5" s="370" customFormat="1" ht="12.75">
      <c r="A11" s="388" t="s">
        <v>451</v>
      </c>
      <c r="B11" s="387">
        <v>15000</v>
      </c>
      <c r="C11" s="384">
        <v>0</v>
      </c>
      <c r="D11" s="385"/>
      <c r="E11" s="389"/>
    </row>
    <row r="12" spans="1:5" s="370" customFormat="1" ht="12.75">
      <c r="A12" s="388" t="s">
        <v>452</v>
      </c>
      <c r="B12" s="387">
        <v>442625</v>
      </c>
      <c r="C12" s="384">
        <v>455507</v>
      </c>
      <c r="D12" s="385">
        <f>353491+89572-275</f>
        <v>442788</v>
      </c>
      <c r="E12" s="389"/>
    </row>
    <row r="13" spans="1:5" s="370" customFormat="1" ht="12.75">
      <c r="A13" s="388" t="s">
        <v>453</v>
      </c>
      <c r="B13" s="394">
        <v>534614</v>
      </c>
      <c r="C13" s="384">
        <v>523133</v>
      </c>
      <c r="D13" s="385">
        <f>479697-32607-1</f>
        <v>447089</v>
      </c>
      <c r="E13" s="389"/>
    </row>
    <row r="14" spans="1:5" s="370" customFormat="1" ht="12.75">
      <c r="A14" s="388" t="s">
        <v>454</v>
      </c>
      <c r="B14" s="394">
        <v>674000</v>
      </c>
      <c r="C14" s="384">
        <v>670221</v>
      </c>
      <c r="D14" s="385">
        <f>29268+10135-2500+12207+3764+12980</f>
        <v>65854</v>
      </c>
      <c r="E14" s="389"/>
    </row>
    <row r="15" spans="1:5" s="370" customFormat="1" ht="12.75">
      <c r="A15" s="388" t="s">
        <v>455</v>
      </c>
      <c r="B15" s="387">
        <v>85059</v>
      </c>
      <c r="C15" s="384">
        <v>83567</v>
      </c>
      <c r="D15" s="385">
        <f>18976-6361</f>
        <v>12615</v>
      </c>
      <c r="E15" s="389"/>
    </row>
    <row r="16" spans="1:5" s="370" customFormat="1" ht="12.75">
      <c r="A16" s="388" t="s">
        <v>456</v>
      </c>
      <c r="B16" s="387">
        <v>413856</v>
      </c>
      <c r="C16" s="384">
        <v>413856</v>
      </c>
      <c r="D16" s="385">
        <v>5822</v>
      </c>
      <c r="E16" s="389"/>
    </row>
    <row r="17" spans="1:5" s="370" customFormat="1" ht="12.75">
      <c r="A17" s="388" t="s">
        <v>457</v>
      </c>
      <c r="B17" s="387">
        <v>125211</v>
      </c>
      <c r="C17" s="384">
        <v>125731</v>
      </c>
      <c r="D17" s="385">
        <f>991+689</f>
        <v>1680</v>
      </c>
      <c r="E17" s="389"/>
    </row>
    <row r="18" spans="1:5" s="370" customFormat="1" ht="12.75">
      <c r="A18" s="388" t="s">
        <v>458</v>
      </c>
      <c r="B18" s="387">
        <v>933000</v>
      </c>
      <c r="C18" s="384">
        <v>933000</v>
      </c>
      <c r="D18" s="385">
        <f>5161+11829</f>
        <v>16990</v>
      </c>
      <c r="E18" s="389"/>
    </row>
    <row r="19" spans="1:5" s="370" customFormat="1" ht="12.75">
      <c r="A19" s="388" t="s">
        <v>459</v>
      </c>
      <c r="B19" s="387">
        <v>418000</v>
      </c>
      <c r="C19" s="384">
        <v>4765</v>
      </c>
      <c r="D19" s="385">
        <v>4765</v>
      </c>
      <c r="E19" s="389"/>
    </row>
    <row r="20" spans="1:5" s="370" customFormat="1" ht="12.75">
      <c r="A20" s="388" t="s">
        <v>460</v>
      </c>
      <c r="B20" s="387">
        <v>48954</v>
      </c>
      <c r="C20" s="384">
        <v>48954</v>
      </c>
      <c r="D20" s="385">
        <f>1900+1487</f>
        <v>3387</v>
      </c>
      <c r="E20" s="389"/>
    </row>
    <row r="21" spans="1:5" s="370" customFormat="1" ht="12.75">
      <c r="A21" s="388" t="s">
        <v>461</v>
      </c>
      <c r="B21" s="387">
        <v>220000</v>
      </c>
      <c r="C21" s="384">
        <v>220000</v>
      </c>
      <c r="D21" s="385">
        <v>220000</v>
      </c>
      <c r="E21" s="389"/>
    </row>
    <row r="22" spans="1:5" s="370" customFormat="1" ht="12.75">
      <c r="A22" s="388" t="s">
        <v>462</v>
      </c>
      <c r="B22" s="387">
        <v>8875</v>
      </c>
      <c r="C22" s="384">
        <v>6750</v>
      </c>
      <c r="D22" s="385">
        <v>6750</v>
      </c>
      <c r="E22" s="389"/>
    </row>
    <row r="23" spans="1:5" s="370" customFormat="1" ht="12.75">
      <c r="A23" s="388" t="s">
        <v>463</v>
      </c>
      <c r="B23" s="387">
        <v>1500</v>
      </c>
      <c r="C23" s="384">
        <v>1500</v>
      </c>
      <c r="D23" s="385">
        <v>1500</v>
      </c>
      <c r="E23" s="389"/>
    </row>
    <row r="24" spans="1:5" s="370" customFormat="1" ht="12.75">
      <c r="A24" s="388" t="s">
        <v>464</v>
      </c>
      <c r="B24" s="387">
        <v>6250</v>
      </c>
      <c r="C24" s="384">
        <v>3625</v>
      </c>
      <c r="D24" s="385">
        <v>3625</v>
      </c>
      <c r="E24" s="389"/>
    </row>
    <row r="25" spans="1:5" s="370" customFormat="1" ht="12.75">
      <c r="A25" s="388" t="s">
        <v>465</v>
      </c>
      <c r="B25" s="387">
        <v>1250</v>
      </c>
      <c r="C25" s="384">
        <v>500</v>
      </c>
      <c r="D25" s="385">
        <v>500</v>
      </c>
      <c r="E25" s="389"/>
    </row>
    <row r="26" spans="1:5" s="370" customFormat="1" ht="12.75">
      <c r="A26" s="393" t="s">
        <v>466</v>
      </c>
      <c r="B26" s="387">
        <v>7000</v>
      </c>
      <c r="C26" s="384">
        <v>0</v>
      </c>
      <c r="D26" s="385"/>
      <c r="E26" s="389"/>
    </row>
    <row r="27" spans="1:5" s="370" customFormat="1" ht="12.75">
      <c r="A27" s="388" t="s">
        <v>467</v>
      </c>
      <c r="B27" s="387">
        <v>15000</v>
      </c>
      <c r="C27" s="384">
        <v>15000</v>
      </c>
      <c r="D27" s="385">
        <v>15000</v>
      </c>
      <c r="E27" s="389"/>
    </row>
    <row r="28" spans="1:5" s="370" customFormat="1" ht="12.75">
      <c r="A28" s="388" t="s">
        <v>468</v>
      </c>
      <c r="B28" s="387">
        <v>149993</v>
      </c>
      <c r="C28" s="384">
        <v>149993</v>
      </c>
      <c r="D28" s="385">
        <v>3650</v>
      </c>
      <c r="E28" s="389"/>
    </row>
    <row r="29" spans="1:5" s="370" customFormat="1" ht="12.75">
      <c r="A29" s="388" t="s">
        <v>469</v>
      </c>
      <c r="B29" s="387"/>
      <c r="C29" s="384">
        <v>931</v>
      </c>
      <c r="D29" s="385">
        <v>931</v>
      </c>
      <c r="E29" s="389"/>
    </row>
    <row r="30" spans="1:5" s="369" customFormat="1" ht="12.75">
      <c r="A30" s="386" t="s">
        <v>120</v>
      </c>
      <c r="B30" s="415">
        <f>SUM(B11:B28)</f>
        <v>4100187</v>
      </c>
      <c r="C30" s="391">
        <f>SUM(C11:C29)</f>
        <v>3657033</v>
      </c>
      <c r="D30" s="392">
        <f>SUM(D11:D29)</f>
        <v>1252946</v>
      </c>
      <c r="E30" s="389"/>
    </row>
    <row r="31" spans="1:5" s="369" customFormat="1" ht="12.75">
      <c r="A31" s="386"/>
      <c r="B31" s="415"/>
      <c r="C31" s="391"/>
      <c r="D31" s="392"/>
      <c r="E31" s="389"/>
    </row>
    <row r="32" spans="1:5" s="370" customFormat="1" ht="12.75">
      <c r="A32" s="388"/>
      <c r="B32" s="415"/>
      <c r="C32" s="384"/>
      <c r="D32" s="385"/>
      <c r="E32" s="389"/>
    </row>
    <row r="33" spans="1:5" s="370" customFormat="1" ht="12.75">
      <c r="A33" s="386" t="s">
        <v>470</v>
      </c>
      <c r="B33" s="387"/>
      <c r="C33" s="384"/>
      <c r="D33" s="385"/>
      <c r="E33" s="389"/>
    </row>
    <row r="34" spans="1:5" s="370" customFormat="1" ht="12.75">
      <c r="A34" s="393" t="s">
        <v>471</v>
      </c>
      <c r="B34" s="387">
        <v>4000</v>
      </c>
      <c r="C34" s="384">
        <v>4000</v>
      </c>
      <c r="D34" s="385"/>
      <c r="E34" s="389"/>
    </row>
    <row r="35" spans="1:5" s="370" customFormat="1" ht="12.75">
      <c r="A35" s="393" t="s">
        <v>472</v>
      </c>
      <c r="B35" s="387">
        <v>6250</v>
      </c>
      <c r="C35" s="384">
        <v>0</v>
      </c>
      <c r="D35" s="385"/>
      <c r="E35" s="389"/>
    </row>
    <row r="36" spans="1:5" s="370" customFormat="1" ht="12.75">
      <c r="A36" s="393" t="s">
        <v>473</v>
      </c>
      <c r="B36" s="387">
        <v>625</v>
      </c>
      <c r="C36" s="384">
        <v>625</v>
      </c>
      <c r="D36" s="385"/>
      <c r="E36" s="389"/>
    </row>
    <row r="37" spans="1:5" s="370" customFormat="1" ht="12.75">
      <c r="A37" s="393" t="s">
        <v>474</v>
      </c>
      <c r="B37" s="387">
        <v>21738</v>
      </c>
      <c r="C37" s="384">
        <v>5235</v>
      </c>
      <c r="D37" s="385"/>
      <c r="E37" s="389"/>
    </row>
    <row r="38" spans="1:5" s="370" customFormat="1" ht="12.75">
      <c r="A38" s="393" t="s">
        <v>475</v>
      </c>
      <c r="B38" s="387">
        <v>3500</v>
      </c>
      <c r="C38" s="384">
        <v>0</v>
      </c>
      <c r="D38" s="385"/>
      <c r="E38" s="389"/>
    </row>
    <row r="39" spans="1:5" s="370" customFormat="1" ht="12.75">
      <c r="A39" s="393" t="s">
        <v>476</v>
      </c>
      <c r="B39" s="387">
        <v>795</v>
      </c>
      <c r="C39" s="384">
        <v>795</v>
      </c>
      <c r="D39" s="385">
        <v>794</v>
      </c>
      <c r="E39" s="389"/>
    </row>
    <row r="40" spans="1:5" s="370" customFormat="1" ht="12.75">
      <c r="A40" s="393" t="s">
        <v>477</v>
      </c>
      <c r="B40" s="387">
        <v>5000</v>
      </c>
      <c r="C40" s="384">
        <v>6516</v>
      </c>
      <c r="D40" s="385">
        <v>6516</v>
      </c>
      <c r="E40" s="389"/>
    </row>
    <row r="41" spans="1:5" s="369" customFormat="1" ht="12.75">
      <c r="A41" s="416" t="s">
        <v>120</v>
      </c>
      <c r="B41" s="390">
        <f>SUM(B34:B40)</f>
        <v>41908</v>
      </c>
      <c r="C41" s="391">
        <f>SUM(C34:C40)</f>
        <v>17171</v>
      </c>
      <c r="D41" s="392">
        <f>SUM(D34:D40)</f>
        <v>7310</v>
      </c>
      <c r="E41" s="389"/>
    </row>
    <row r="42" spans="1:5" s="369" customFormat="1" ht="12.75">
      <c r="A42" s="416"/>
      <c r="B42" s="390"/>
      <c r="C42" s="391"/>
      <c r="D42" s="392"/>
      <c r="E42" s="389"/>
    </row>
    <row r="43" spans="1:5" s="370" customFormat="1" ht="12.75">
      <c r="A43" s="388"/>
      <c r="B43" s="387"/>
      <c r="C43" s="384"/>
      <c r="D43" s="385"/>
      <c r="E43" s="389"/>
    </row>
    <row r="44" spans="1:5" s="370" customFormat="1" ht="12.75">
      <c r="A44" s="386" t="s">
        <v>478</v>
      </c>
      <c r="B44" s="387"/>
      <c r="C44" s="384"/>
      <c r="D44" s="385"/>
      <c r="E44" s="389"/>
    </row>
    <row r="45" spans="1:5" s="370" customFormat="1" ht="12.75">
      <c r="A45" s="388" t="s">
        <v>479</v>
      </c>
      <c r="B45" s="387">
        <v>500</v>
      </c>
      <c r="C45" s="384">
        <v>500</v>
      </c>
      <c r="D45" s="385">
        <v>500</v>
      </c>
      <c r="E45" s="389"/>
    </row>
    <row r="46" spans="1:5" s="370" customFormat="1" ht="12.75">
      <c r="A46" s="393" t="s">
        <v>480</v>
      </c>
      <c r="B46" s="387">
        <v>625</v>
      </c>
      <c r="C46" s="384">
        <v>900</v>
      </c>
      <c r="D46" s="385">
        <v>748</v>
      </c>
      <c r="E46" s="389"/>
    </row>
    <row r="47" spans="1:5" s="370" customFormat="1" ht="12.75">
      <c r="A47" s="393" t="s">
        <v>481</v>
      </c>
      <c r="B47" s="387">
        <v>43094</v>
      </c>
      <c r="C47" s="384">
        <v>59656</v>
      </c>
      <c r="D47" s="385">
        <f>2563+56543</f>
        <v>59106</v>
      </c>
      <c r="E47" s="389"/>
    </row>
    <row r="48" spans="1:5" s="370" customFormat="1" ht="12.75">
      <c r="A48" s="388" t="s">
        <v>482</v>
      </c>
      <c r="B48" s="387">
        <v>20000</v>
      </c>
      <c r="C48" s="384">
        <v>779</v>
      </c>
      <c r="D48" s="385"/>
      <c r="E48" s="389"/>
    </row>
    <row r="49" spans="1:5" s="370" customFormat="1" ht="12.75">
      <c r="A49" s="388" t="s">
        <v>483</v>
      </c>
      <c r="B49" s="387">
        <v>2500</v>
      </c>
      <c r="C49" s="384">
        <v>2184</v>
      </c>
      <c r="D49" s="385">
        <v>2134</v>
      </c>
      <c r="E49" s="389"/>
    </row>
    <row r="50" spans="1:5" s="370" customFormat="1" ht="12.75">
      <c r="A50" s="388" t="s">
        <v>484</v>
      </c>
      <c r="B50" s="387">
        <v>3000</v>
      </c>
      <c r="C50" s="384">
        <v>0</v>
      </c>
      <c r="D50" s="385"/>
      <c r="E50" s="389"/>
    </row>
    <row r="51" spans="1:5" s="370" customFormat="1" ht="12.75">
      <c r="A51" s="388" t="s">
        <v>485</v>
      </c>
      <c r="B51" s="387">
        <v>800</v>
      </c>
      <c r="C51" s="384">
        <v>0</v>
      </c>
      <c r="D51" s="385"/>
      <c r="E51" s="389"/>
    </row>
    <row r="52" spans="1:5" s="370" customFormat="1" ht="12.75">
      <c r="A52" s="388" t="s">
        <v>486</v>
      </c>
      <c r="B52" s="387">
        <v>300</v>
      </c>
      <c r="C52" s="384">
        <v>300</v>
      </c>
      <c r="D52" s="385"/>
      <c r="E52" s="389"/>
    </row>
    <row r="53" spans="1:5" s="370" customFormat="1" ht="12.75">
      <c r="A53" s="388" t="s">
        <v>487</v>
      </c>
      <c r="B53" s="387">
        <v>125</v>
      </c>
      <c r="C53" s="384">
        <v>0</v>
      </c>
      <c r="D53" s="385"/>
      <c r="E53" s="389"/>
    </row>
    <row r="54" spans="1:5" s="370" customFormat="1" ht="12.75">
      <c r="A54" s="388" t="s">
        <v>488</v>
      </c>
      <c r="B54" s="387">
        <v>800</v>
      </c>
      <c r="C54" s="384">
        <v>0</v>
      </c>
      <c r="D54" s="385"/>
      <c r="E54" s="389"/>
    </row>
    <row r="55" spans="1:5" s="370" customFormat="1" ht="12.75">
      <c r="A55" s="388" t="s">
        <v>489</v>
      </c>
      <c r="B55" s="387">
        <v>750</v>
      </c>
      <c r="C55" s="384">
        <v>0</v>
      </c>
      <c r="D55" s="385"/>
      <c r="E55" s="389"/>
    </row>
    <row r="56" spans="1:5" s="370" customFormat="1" ht="12.75">
      <c r="A56" s="405" t="s">
        <v>490</v>
      </c>
      <c r="B56" s="394">
        <v>1000</v>
      </c>
      <c r="C56" s="384">
        <v>0</v>
      </c>
      <c r="D56" s="385"/>
      <c r="E56" s="389"/>
    </row>
    <row r="57" spans="1:5" s="370" customFormat="1" ht="12.75">
      <c r="A57" s="388" t="s">
        <v>491</v>
      </c>
      <c r="B57" s="387">
        <v>1000</v>
      </c>
      <c r="C57" s="384">
        <v>0</v>
      </c>
      <c r="D57" s="385"/>
      <c r="E57" s="389"/>
    </row>
    <row r="58" spans="1:5" s="370" customFormat="1" ht="12.75">
      <c r="A58" s="388" t="s">
        <v>492</v>
      </c>
      <c r="B58" s="387">
        <v>5000</v>
      </c>
      <c r="C58" s="384">
        <v>6000</v>
      </c>
      <c r="D58" s="385">
        <f>9458-3500</f>
        <v>5958</v>
      </c>
      <c r="E58" s="389"/>
    </row>
    <row r="59" spans="1:5" s="370" customFormat="1" ht="12.75">
      <c r="A59" s="388" t="s">
        <v>493</v>
      </c>
      <c r="B59" s="387">
        <v>300</v>
      </c>
      <c r="C59" s="384">
        <v>300</v>
      </c>
      <c r="D59" s="385"/>
      <c r="E59" s="389"/>
    </row>
    <row r="60" spans="1:5" s="370" customFormat="1" ht="12.75">
      <c r="A60" s="395" t="s">
        <v>494</v>
      </c>
      <c r="B60" s="396">
        <v>400</v>
      </c>
      <c r="C60" s="384">
        <v>400</v>
      </c>
      <c r="D60" s="385"/>
      <c r="E60" s="389"/>
    </row>
    <row r="61" spans="1:5" s="370" customFormat="1" ht="12.75">
      <c r="A61" s="395" t="s">
        <v>495</v>
      </c>
      <c r="B61" s="396">
        <v>375</v>
      </c>
      <c r="C61" s="384">
        <v>375</v>
      </c>
      <c r="D61" s="385"/>
      <c r="E61" s="389"/>
    </row>
    <row r="62" spans="1:5" s="370" customFormat="1" ht="12.75">
      <c r="A62" s="395" t="s">
        <v>496</v>
      </c>
      <c r="B62" s="396">
        <v>3000</v>
      </c>
      <c r="C62" s="384">
        <v>5500</v>
      </c>
      <c r="D62" s="385">
        <v>4974</v>
      </c>
      <c r="E62" s="389"/>
    </row>
    <row r="63" spans="1:5" s="370" customFormat="1" ht="12.75">
      <c r="A63" s="395" t="s">
        <v>497</v>
      </c>
      <c r="B63" s="396">
        <v>20367</v>
      </c>
      <c r="C63" s="384">
        <v>20181</v>
      </c>
      <c r="D63" s="385">
        <f>1057+3799</f>
        <v>4856</v>
      </c>
      <c r="E63" s="389"/>
    </row>
    <row r="64" spans="1:5" s="370" customFormat="1" ht="12.75">
      <c r="A64" s="395" t="s">
        <v>498</v>
      </c>
      <c r="B64" s="396">
        <v>1500</v>
      </c>
      <c r="C64" s="384">
        <v>1500</v>
      </c>
      <c r="D64" s="385"/>
      <c r="E64" s="389"/>
    </row>
    <row r="65" spans="1:5" s="370" customFormat="1" ht="12.75">
      <c r="A65" s="395" t="s">
        <v>499</v>
      </c>
      <c r="B65" s="396"/>
      <c r="C65" s="384">
        <v>7000</v>
      </c>
      <c r="D65" s="385"/>
      <c r="E65" s="389"/>
    </row>
    <row r="66" spans="1:5" s="370" customFormat="1" ht="12.75">
      <c r="A66" s="395" t="s">
        <v>500</v>
      </c>
      <c r="B66" s="396"/>
      <c r="C66" s="384">
        <v>14000</v>
      </c>
      <c r="D66" s="385">
        <v>13995</v>
      </c>
      <c r="E66" s="389"/>
    </row>
    <row r="67" spans="1:5" s="370" customFormat="1" ht="12.75">
      <c r="A67" s="395" t="s">
        <v>501</v>
      </c>
      <c r="B67" s="396"/>
      <c r="C67" s="384">
        <v>10422</v>
      </c>
      <c r="D67" s="385">
        <v>10422</v>
      </c>
      <c r="E67" s="389"/>
    </row>
    <row r="68" spans="1:5" s="370" customFormat="1" ht="12.75">
      <c r="A68" s="395" t="s">
        <v>502</v>
      </c>
      <c r="B68" s="396"/>
      <c r="C68" s="384">
        <v>4260</v>
      </c>
      <c r="D68" s="385">
        <v>4260</v>
      </c>
      <c r="E68" s="389"/>
    </row>
    <row r="69" spans="1:5" s="370" customFormat="1" ht="12.75">
      <c r="A69" s="395" t="s">
        <v>503</v>
      </c>
      <c r="B69" s="396"/>
      <c r="C69" s="384">
        <v>15000</v>
      </c>
      <c r="D69" s="385">
        <v>12000</v>
      </c>
      <c r="E69" s="389"/>
    </row>
    <row r="70" spans="1:5" s="370" customFormat="1" ht="12.75">
      <c r="A70" s="395" t="s">
        <v>504</v>
      </c>
      <c r="B70" s="396"/>
      <c r="C70" s="384"/>
      <c r="D70" s="385"/>
      <c r="E70" s="389"/>
    </row>
    <row r="71" spans="1:5" s="370" customFormat="1" ht="12.75">
      <c r="A71" s="395" t="s">
        <v>505</v>
      </c>
      <c r="B71" s="396"/>
      <c r="C71" s="384">
        <v>8951</v>
      </c>
      <c r="D71" s="385"/>
      <c r="E71" s="389"/>
    </row>
    <row r="72" spans="1:5" s="370" customFormat="1" ht="12.75">
      <c r="A72" s="395" t="s">
        <v>506</v>
      </c>
      <c r="B72" s="396"/>
      <c r="C72" s="384">
        <v>5766</v>
      </c>
      <c r="D72" s="385">
        <v>5765</v>
      </c>
      <c r="E72" s="389"/>
    </row>
    <row r="73" spans="1:5" s="370" customFormat="1" ht="12.75">
      <c r="A73" s="395" t="s">
        <v>507</v>
      </c>
      <c r="B73" s="396"/>
      <c r="C73" s="384">
        <v>1873</v>
      </c>
      <c r="D73" s="385">
        <v>1873</v>
      </c>
      <c r="E73" s="389"/>
    </row>
    <row r="74" spans="1:5" s="370" customFormat="1" ht="12.75">
      <c r="A74" s="395" t="s">
        <v>508</v>
      </c>
      <c r="B74" s="396"/>
      <c r="C74" s="384">
        <v>9250</v>
      </c>
      <c r="D74" s="385"/>
      <c r="E74" s="389"/>
    </row>
    <row r="75" spans="1:5" s="370" customFormat="1" ht="12.75">
      <c r="A75" s="395" t="s">
        <v>509</v>
      </c>
      <c r="B75" s="396"/>
      <c r="C75" s="384">
        <v>100</v>
      </c>
      <c r="D75" s="385"/>
      <c r="E75" s="389"/>
    </row>
    <row r="76" spans="1:5" s="370" customFormat="1" ht="12.75">
      <c r="A76" s="395" t="s">
        <v>510</v>
      </c>
      <c r="B76" s="396"/>
      <c r="C76" s="384">
        <v>305</v>
      </c>
      <c r="D76" s="385">
        <v>305</v>
      </c>
      <c r="E76" s="389"/>
    </row>
    <row r="77" spans="1:5" s="370" customFormat="1" ht="12.75">
      <c r="A77" s="395" t="s">
        <v>511</v>
      </c>
      <c r="B77" s="396"/>
      <c r="C77" s="384">
        <v>353</v>
      </c>
      <c r="D77" s="385">
        <v>353</v>
      </c>
      <c r="E77" s="389"/>
    </row>
    <row r="78" spans="1:5" s="370" customFormat="1" ht="13.5">
      <c r="A78" s="417" t="s">
        <v>512</v>
      </c>
      <c r="B78" s="418"/>
      <c r="C78" s="419">
        <v>2000</v>
      </c>
      <c r="D78" s="385">
        <v>2000</v>
      </c>
      <c r="E78" s="389"/>
    </row>
    <row r="79" spans="1:5" s="370" customFormat="1" ht="13.5">
      <c r="A79" s="374"/>
      <c r="B79" s="375" t="s">
        <v>3</v>
      </c>
      <c r="C79" s="411" t="s">
        <v>4</v>
      </c>
      <c r="D79" s="412" t="s">
        <v>5</v>
      </c>
      <c r="E79" s="389"/>
    </row>
    <row r="80" spans="1:5" s="370" customFormat="1" ht="12.75">
      <c r="A80" s="395" t="s">
        <v>513</v>
      </c>
      <c r="B80" s="396"/>
      <c r="C80" s="384"/>
      <c r="D80" s="420"/>
      <c r="E80" s="389"/>
    </row>
    <row r="81" spans="1:5" s="370" customFormat="1" ht="12.75">
      <c r="A81" s="395" t="s">
        <v>514</v>
      </c>
      <c r="B81" s="396"/>
      <c r="C81" s="384">
        <v>1000</v>
      </c>
      <c r="D81" s="385">
        <v>888</v>
      </c>
      <c r="E81" s="389"/>
    </row>
    <row r="82" spans="1:5" s="370" customFormat="1" ht="12.75">
      <c r="A82" s="395" t="s">
        <v>515</v>
      </c>
      <c r="B82" s="396"/>
      <c r="C82" s="384">
        <v>1000</v>
      </c>
      <c r="D82" s="385"/>
      <c r="E82" s="389"/>
    </row>
    <row r="83" spans="1:5" s="370" customFormat="1" ht="12.75">
      <c r="A83" s="395" t="s">
        <v>516</v>
      </c>
      <c r="B83" s="396"/>
      <c r="C83" s="384">
        <v>1000</v>
      </c>
      <c r="D83" s="385"/>
      <c r="E83" s="389"/>
    </row>
    <row r="84" spans="1:5" s="370" customFormat="1" ht="12.75">
      <c r="A84" s="395" t="s">
        <v>517</v>
      </c>
      <c r="B84" s="396"/>
      <c r="C84" s="384">
        <v>1565</v>
      </c>
      <c r="D84" s="385">
        <v>1565</v>
      </c>
      <c r="E84" s="389"/>
    </row>
    <row r="85" spans="1:5" s="370" customFormat="1" ht="12.75">
      <c r="A85" s="395" t="s">
        <v>518</v>
      </c>
      <c r="B85" s="396"/>
      <c r="C85" s="384">
        <v>235</v>
      </c>
      <c r="D85" s="385"/>
      <c r="E85" s="389"/>
    </row>
    <row r="86" spans="1:5" s="370" customFormat="1" ht="12.75">
      <c r="A86" s="395" t="s">
        <v>519</v>
      </c>
      <c r="B86" s="396"/>
      <c r="C86" s="384">
        <v>795</v>
      </c>
      <c r="D86" s="385">
        <v>795</v>
      </c>
      <c r="E86" s="389"/>
    </row>
    <row r="87" spans="1:5" s="370" customFormat="1" ht="12.75">
      <c r="A87" s="395" t="s">
        <v>520</v>
      </c>
      <c r="B87" s="396"/>
      <c r="C87" s="384">
        <v>1000</v>
      </c>
      <c r="D87" s="385">
        <v>382</v>
      </c>
      <c r="E87" s="389"/>
    </row>
    <row r="88" spans="1:5" s="370" customFormat="1" ht="12.75">
      <c r="A88" s="395" t="s">
        <v>521</v>
      </c>
      <c r="B88" s="396"/>
      <c r="C88" s="384">
        <v>132</v>
      </c>
      <c r="D88" s="385">
        <v>0</v>
      </c>
      <c r="E88" s="389"/>
    </row>
    <row r="89" spans="1:5" s="370" customFormat="1" ht="12.75">
      <c r="A89" s="395" t="s">
        <v>522</v>
      </c>
      <c r="B89" s="396"/>
      <c r="C89" s="384">
        <v>1200</v>
      </c>
      <c r="D89" s="385">
        <v>1200</v>
      </c>
      <c r="E89" s="389"/>
    </row>
    <row r="90" spans="1:5" s="370" customFormat="1" ht="12.75">
      <c r="A90" s="395" t="s">
        <v>523</v>
      </c>
      <c r="B90" s="396"/>
      <c r="C90" s="384">
        <v>530</v>
      </c>
      <c r="D90" s="385">
        <v>530</v>
      </c>
      <c r="E90" s="389"/>
    </row>
    <row r="91" spans="1:5" s="370" customFormat="1" ht="12.75">
      <c r="A91" s="395" t="s">
        <v>524</v>
      </c>
      <c r="B91" s="396"/>
      <c r="C91" s="384">
        <v>2750</v>
      </c>
      <c r="D91" s="385">
        <v>2500</v>
      </c>
      <c r="E91" s="389"/>
    </row>
    <row r="92" spans="1:5" s="370" customFormat="1" ht="12.75">
      <c r="A92" s="395" t="s">
        <v>525</v>
      </c>
      <c r="B92" s="396"/>
      <c r="C92" s="384">
        <v>857</v>
      </c>
      <c r="D92" s="385">
        <v>857</v>
      </c>
      <c r="E92" s="389"/>
    </row>
    <row r="93" spans="1:5" s="370" customFormat="1" ht="12.75">
      <c r="A93" s="395" t="s">
        <v>526</v>
      </c>
      <c r="B93" s="396"/>
      <c r="C93" s="384">
        <v>4099</v>
      </c>
      <c r="D93" s="385">
        <f>111+3988</f>
        <v>4099</v>
      </c>
      <c r="E93" s="389"/>
    </row>
    <row r="94" spans="1:5" s="370" customFormat="1" ht="12.75">
      <c r="A94" s="395" t="s">
        <v>527</v>
      </c>
      <c r="B94" s="396"/>
      <c r="C94" s="384">
        <v>1845</v>
      </c>
      <c r="D94" s="385">
        <v>1845</v>
      </c>
      <c r="E94" s="389"/>
    </row>
    <row r="95" spans="1:5" s="370" customFormat="1" ht="12.75">
      <c r="A95" s="395" t="s">
        <v>528</v>
      </c>
      <c r="B95" s="396"/>
      <c r="C95" s="384">
        <v>275</v>
      </c>
      <c r="D95" s="385">
        <v>275</v>
      </c>
      <c r="E95" s="389"/>
    </row>
    <row r="96" spans="1:5" s="370" customFormat="1" ht="12.75">
      <c r="A96" s="395" t="s">
        <v>529</v>
      </c>
      <c r="B96" s="396"/>
      <c r="C96" s="384">
        <v>2041</v>
      </c>
      <c r="D96" s="385">
        <f>2042-1</f>
        <v>2041</v>
      </c>
      <c r="E96" s="389"/>
    </row>
    <row r="97" spans="1:5" s="370" customFormat="1" ht="12.75">
      <c r="A97" s="395" t="s">
        <v>530</v>
      </c>
      <c r="B97" s="396"/>
      <c r="C97" s="384">
        <v>149</v>
      </c>
      <c r="D97" s="385"/>
      <c r="E97" s="389"/>
    </row>
    <row r="98" spans="1:5" s="370" customFormat="1" ht="12.75">
      <c r="A98" s="395" t="s">
        <v>531</v>
      </c>
      <c r="B98" s="396"/>
      <c r="C98" s="384">
        <v>1281</v>
      </c>
      <c r="D98" s="385">
        <v>1281</v>
      </c>
      <c r="E98" s="389"/>
    </row>
    <row r="99" spans="1:5" s="370" customFormat="1" ht="12.75">
      <c r="A99" s="395" t="s">
        <v>532</v>
      </c>
      <c r="B99" s="396"/>
      <c r="C99" s="384">
        <v>750</v>
      </c>
      <c r="D99" s="385">
        <v>750</v>
      </c>
      <c r="E99" s="389"/>
    </row>
    <row r="100" spans="1:5" s="370" customFormat="1" ht="12.75">
      <c r="A100" s="395" t="s">
        <v>533</v>
      </c>
      <c r="B100" s="396"/>
      <c r="C100" s="384">
        <v>600</v>
      </c>
      <c r="D100" s="385">
        <v>600</v>
      </c>
      <c r="E100" s="389"/>
    </row>
    <row r="101" spans="1:5" s="370" customFormat="1" ht="12.75">
      <c r="A101" s="395" t="s">
        <v>534</v>
      </c>
      <c r="B101" s="396"/>
      <c r="C101" s="384">
        <v>325</v>
      </c>
      <c r="D101" s="385">
        <v>325</v>
      </c>
      <c r="E101" s="389"/>
    </row>
    <row r="102" spans="1:5" s="370" customFormat="1" ht="12.75">
      <c r="A102" s="421" t="s">
        <v>120</v>
      </c>
      <c r="B102" s="422">
        <f>SUM(B45:B94)</f>
        <v>105436</v>
      </c>
      <c r="C102" s="423">
        <f>SUM(C45:C101)</f>
        <v>201284</v>
      </c>
      <c r="D102" s="424">
        <f>SUM(D45:D101)</f>
        <v>149182</v>
      </c>
      <c r="E102" s="389"/>
    </row>
    <row r="103" spans="1:5" s="370" customFormat="1" ht="12.75">
      <c r="A103" s="421"/>
      <c r="B103" s="422"/>
      <c r="C103" s="423"/>
      <c r="D103" s="425"/>
      <c r="E103" s="389"/>
    </row>
    <row r="104" spans="1:5" s="370" customFormat="1" ht="12.75">
      <c r="A104" s="386" t="s">
        <v>432</v>
      </c>
      <c r="B104" s="413"/>
      <c r="C104" s="384"/>
      <c r="D104" s="385"/>
      <c r="E104" s="389"/>
    </row>
    <row r="105" spans="1:5" s="370" customFormat="1" ht="12.75">
      <c r="A105" s="388" t="s">
        <v>535</v>
      </c>
      <c r="B105" s="387">
        <v>15000</v>
      </c>
      <c r="C105" s="384">
        <v>6066</v>
      </c>
      <c r="D105" s="385">
        <v>225</v>
      </c>
      <c r="E105" s="389"/>
    </row>
    <row r="106" spans="1:5" s="370" customFormat="1" ht="12.75">
      <c r="A106" s="388" t="s">
        <v>536</v>
      </c>
      <c r="B106" s="387"/>
      <c r="C106" s="384"/>
      <c r="D106" s="385"/>
      <c r="E106" s="389"/>
    </row>
    <row r="107" spans="1:5" s="370" customFormat="1" ht="12.75">
      <c r="A107" s="388" t="s">
        <v>537</v>
      </c>
      <c r="B107" s="387">
        <v>7500</v>
      </c>
      <c r="C107" s="384">
        <v>7500</v>
      </c>
      <c r="D107" s="385">
        <v>164</v>
      </c>
      <c r="E107" s="389"/>
    </row>
    <row r="108" spans="1:5" s="370" customFormat="1" ht="12.75">
      <c r="A108" s="388" t="s">
        <v>538</v>
      </c>
      <c r="B108" s="387">
        <v>5000</v>
      </c>
      <c r="C108" s="384">
        <v>5000</v>
      </c>
      <c r="D108" s="385">
        <f>181+2388</f>
        <v>2569</v>
      </c>
      <c r="E108" s="389"/>
    </row>
    <row r="109" spans="1:5" s="370" customFormat="1" ht="12.75">
      <c r="A109" s="388" t="s">
        <v>539</v>
      </c>
      <c r="B109" s="387">
        <v>30000</v>
      </c>
      <c r="C109" s="384">
        <v>22849</v>
      </c>
      <c r="D109" s="385">
        <f>249+677+4136</f>
        <v>5062</v>
      </c>
      <c r="E109" s="389"/>
    </row>
    <row r="110" spans="1:5" s="370" customFormat="1" ht="12.75">
      <c r="A110" s="388" t="s">
        <v>540</v>
      </c>
      <c r="B110" s="387">
        <v>6250</v>
      </c>
      <c r="C110" s="384">
        <v>3750</v>
      </c>
      <c r="D110" s="385"/>
      <c r="E110" s="389"/>
    </row>
    <row r="111" spans="1:5" s="370" customFormat="1" ht="25.5">
      <c r="A111" s="403" t="s">
        <v>541</v>
      </c>
      <c r="B111" s="387"/>
      <c r="C111" s="384">
        <v>17600</v>
      </c>
      <c r="D111" s="385">
        <f>4038+234</f>
        <v>4272</v>
      </c>
      <c r="E111" s="389"/>
    </row>
    <row r="112" spans="1:5" s="370" customFormat="1" ht="12.75">
      <c r="A112" s="388" t="s">
        <v>542</v>
      </c>
      <c r="B112" s="387"/>
      <c r="C112" s="384">
        <v>3156</v>
      </c>
      <c r="D112" s="385">
        <v>3156</v>
      </c>
      <c r="E112" s="389"/>
    </row>
    <row r="113" spans="1:5" s="370" customFormat="1" ht="12.75">
      <c r="A113" s="388" t="s">
        <v>543</v>
      </c>
      <c r="B113" s="387"/>
      <c r="C113" s="384">
        <v>100000</v>
      </c>
      <c r="D113" s="385">
        <v>100000</v>
      </c>
      <c r="E113" s="389"/>
    </row>
    <row r="114" spans="1:5" s="370" customFormat="1" ht="12.75">
      <c r="A114" s="388" t="s">
        <v>544</v>
      </c>
      <c r="B114" s="387"/>
      <c r="C114" s="384">
        <v>3308</v>
      </c>
      <c r="D114" s="385"/>
      <c r="E114" s="389"/>
    </row>
    <row r="115" spans="1:5" s="370" customFormat="1" ht="12.75">
      <c r="A115" s="388" t="s">
        <v>545</v>
      </c>
      <c r="B115" s="387"/>
      <c r="C115" s="384">
        <v>36865</v>
      </c>
      <c r="D115" s="385"/>
      <c r="E115" s="389"/>
    </row>
    <row r="116" spans="1:5" s="370" customFormat="1" ht="12.75">
      <c r="A116" s="388" t="s">
        <v>546</v>
      </c>
      <c r="B116" s="387"/>
      <c r="C116" s="384">
        <v>15610</v>
      </c>
      <c r="D116" s="385">
        <v>15609</v>
      </c>
      <c r="E116" s="389"/>
    </row>
    <row r="117" spans="1:5" s="370" customFormat="1" ht="12.75">
      <c r="A117" s="388" t="s">
        <v>547</v>
      </c>
      <c r="B117" s="387"/>
      <c r="C117" s="384">
        <v>8000</v>
      </c>
      <c r="D117" s="385"/>
      <c r="E117" s="389"/>
    </row>
    <row r="118" spans="1:5" s="370" customFormat="1" ht="12.75">
      <c r="A118" s="388" t="s">
        <v>548</v>
      </c>
      <c r="B118" s="387"/>
      <c r="C118" s="384">
        <v>5795</v>
      </c>
      <c r="D118" s="385"/>
      <c r="E118" s="389"/>
    </row>
    <row r="119" spans="1:5" s="370" customFormat="1" ht="12.75">
      <c r="A119" s="388" t="s">
        <v>549</v>
      </c>
      <c r="B119" s="387"/>
      <c r="C119" s="384">
        <v>1356</v>
      </c>
      <c r="D119" s="385"/>
      <c r="E119" s="389"/>
    </row>
    <row r="120" spans="1:5" s="370" customFormat="1" ht="12.75">
      <c r="A120" s="388" t="s">
        <v>550</v>
      </c>
      <c r="B120" s="387"/>
      <c r="C120" s="384">
        <v>2529</v>
      </c>
      <c r="D120" s="385"/>
      <c r="E120" s="389"/>
    </row>
    <row r="121" spans="1:5" s="370" customFormat="1" ht="12.75">
      <c r="A121" s="388" t="s">
        <v>551</v>
      </c>
      <c r="B121" s="387"/>
      <c r="C121" s="384">
        <v>581</v>
      </c>
      <c r="D121" s="385"/>
      <c r="E121" s="389"/>
    </row>
    <row r="122" spans="1:5" s="370" customFormat="1" ht="12.75">
      <c r="A122" s="388" t="s">
        <v>552</v>
      </c>
      <c r="B122" s="387"/>
      <c r="C122" s="384">
        <v>3500</v>
      </c>
      <c r="D122" s="385">
        <v>3500</v>
      </c>
      <c r="E122" s="389"/>
    </row>
    <row r="123" spans="1:5" s="370" customFormat="1" ht="12.75">
      <c r="A123" s="388" t="s">
        <v>553</v>
      </c>
      <c r="B123" s="387"/>
      <c r="C123" s="384">
        <v>9068</v>
      </c>
      <c r="D123" s="385">
        <v>1448</v>
      </c>
      <c r="E123" s="389"/>
    </row>
    <row r="124" spans="1:5" s="370" customFormat="1" ht="12.75">
      <c r="A124" s="388" t="s">
        <v>554</v>
      </c>
      <c r="B124" s="387"/>
      <c r="C124" s="384">
        <v>17000</v>
      </c>
      <c r="D124" s="385">
        <v>14378</v>
      </c>
      <c r="E124" s="389"/>
    </row>
    <row r="125" spans="1:5" s="370" customFormat="1" ht="12.75">
      <c r="A125" s="388" t="s">
        <v>512</v>
      </c>
      <c r="B125" s="387"/>
      <c r="C125" s="384">
        <v>2029</v>
      </c>
      <c r="D125" s="385">
        <v>2029</v>
      </c>
      <c r="E125" s="389"/>
    </row>
    <row r="126" spans="1:5" s="370" customFormat="1" ht="12.75">
      <c r="A126" s="388" t="s">
        <v>555</v>
      </c>
      <c r="B126" s="387"/>
      <c r="C126" s="384">
        <v>1023</v>
      </c>
      <c r="D126" s="385">
        <v>1023</v>
      </c>
      <c r="E126" s="389"/>
    </row>
    <row r="127" spans="1:5" s="369" customFormat="1" ht="12.75">
      <c r="A127" s="426" t="s">
        <v>120</v>
      </c>
      <c r="B127" s="415">
        <f>SUM(B105:B124)</f>
        <v>63750</v>
      </c>
      <c r="C127" s="423">
        <f>SUM(C105:C126)</f>
        <v>272585</v>
      </c>
      <c r="D127" s="424">
        <f>SUM(D105:D126)</f>
        <v>153435</v>
      </c>
      <c r="E127" s="389"/>
    </row>
    <row r="128" spans="1:5" s="370" customFormat="1" ht="12.75">
      <c r="A128" s="405"/>
      <c r="B128" s="394"/>
      <c r="C128" s="384"/>
      <c r="D128" s="385"/>
      <c r="E128" s="389"/>
    </row>
    <row r="129" spans="1:5" s="428" customFormat="1" ht="13.5">
      <c r="A129" s="427" t="s">
        <v>150</v>
      </c>
      <c r="B129" s="400">
        <f>SUM(B130:B130)</f>
        <v>0</v>
      </c>
      <c r="C129" s="401">
        <f>SUM(C130:C130)</f>
        <v>6288</v>
      </c>
      <c r="D129" s="402">
        <f>SUM(D130:D130)</f>
        <v>6288</v>
      </c>
      <c r="E129" s="389"/>
    </row>
    <row r="130" spans="1:5" s="370" customFormat="1" ht="12.75">
      <c r="A130" s="388" t="s">
        <v>556</v>
      </c>
      <c r="B130" s="387">
        <v>0</v>
      </c>
      <c r="C130" s="384">
        <v>6288</v>
      </c>
      <c r="D130" s="385">
        <v>6288</v>
      </c>
      <c r="E130" s="389"/>
    </row>
    <row r="131" spans="1:5" s="370" customFormat="1" ht="12.75">
      <c r="A131" s="388"/>
      <c r="B131" s="387"/>
      <c r="C131" s="384"/>
      <c r="D131" s="385"/>
      <c r="E131" s="389"/>
    </row>
    <row r="132" spans="1:5" s="429" customFormat="1" ht="13.5">
      <c r="A132" s="427" t="s">
        <v>149</v>
      </c>
      <c r="B132" s="379">
        <f>SUM(B133:B139)</f>
        <v>2400</v>
      </c>
      <c r="C132" s="380">
        <f>SUM(C133:C143)</f>
        <v>19323</v>
      </c>
      <c r="D132" s="381">
        <f>SUM(D133:D143)</f>
        <v>11101</v>
      </c>
      <c r="E132" s="389"/>
    </row>
    <row r="133" spans="1:5" s="370" customFormat="1" ht="12.75">
      <c r="A133" s="388" t="s">
        <v>557</v>
      </c>
      <c r="B133" s="387">
        <v>2400</v>
      </c>
      <c r="C133" s="384">
        <v>2400</v>
      </c>
      <c r="D133" s="385">
        <v>2324</v>
      </c>
      <c r="E133" s="389"/>
    </row>
    <row r="134" spans="1:5" s="370" customFormat="1" ht="12.75">
      <c r="A134" s="395" t="s">
        <v>558</v>
      </c>
      <c r="B134" s="396"/>
      <c r="C134" s="384">
        <v>1133</v>
      </c>
      <c r="D134" s="385">
        <v>1133</v>
      </c>
      <c r="E134" s="389"/>
    </row>
    <row r="135" spans="1:5" s="370" customFormat="1" ht="12.75">
      <c r="A135" s="395" t="s">
        <v>559</v>
      </c>
      <c r="B135" s="396"/>
      <c r="C135" s="384">
        <v>0</v>
      </c>
      <c r="D135" s="385"/>
      <c r="E135" s="389"/>
    </row>
    <row r="136" spans="1:5" s="370" customFormat="1" ht="12.75">
      <c r="A136" s="395" t="s">
        <v>560</v>
      </c>
      <c r="B136" s="396"/>
      <c r="C136" s="384">
        <v>7910</v>
      </c>
      <c r="D136" s="385">
        <v>2370</v>
      </c>
      <c r="E136" s="389"/>
    </row>
    <row r="137" spans="1:5" s="370" customFormat="1" ht="12.75">
      <c r="A137" s="395" t="s">
        <v>561</v>
      </c>
      <c r="B137" s="396"/>
      <c r="C137" s="384">
        <v>2906</v>
      </c>
      <c r="D137" s="385">
        <v>300</v>
      </c>
      <c r="E137" s="389"/>
    </row>
    <row r="138" spans="1:5" s="370" customFormat="1" ht="12.75">
      <c r="A138" s="395" t="s">
        <v>562</v>
      </c>
      <c r="B138" s="396"/>
      <c r="C138" s="384">
        <v>1986</v>
      </c>
      <c r="D138" s="385">
        <v>1986</v>
      </c>
      <c r="E138" s="389"/>
    </row>
    <row r="139" spans="1:5" s="370" customFormat="1" ht="12.75">
      <c r="A139" s="395" t="s">
        <v>563</v>
      </c>
      <c r="B139" s="396"/>
      <c r="C139" s="384">
        <v>1082</v>
      </c>
      <c r="D139" s="385">
        <v>1082</v>
      </c>
      <c r="E139" s="389"/>
    </row>
    <row r="140" spans="1:5" s="370" customFormat="1" ht="12.75">
      <c r="A140" s="395" t="s">
        <v>564</v>
      </c>
      <c r="B140" s="396"/>
      <c r="C140" s="384">
        <v>299</v>
      </c>
      <c r="D140" s="385">
        <v>299</v>
      </c>
      <c r="E140" s="389"/>
    </row>
    <row r="141" spans="1:5" s="370" customFormat="1" ht="12.75">
      <c r="A141" s="395" t="s">
        <v>565</v>
      </c>
      <c r="B141" s="396"/>
      <c r="C141" s="384">
        <v>1173</v>
      </c>
      <c r="D141" s="385">
        <v>1173</v>
      </c>
      <c r="E141" s="389"/>
    </row>
    <row r="142" spans="1:5" s="370" customFormat="1" ht="12.75">
      <c r="A142" s="395" t="s">
        <v>566</v>
      </c>
      <c r="B142" s="396"/>
      <c r="C142" s="384">
        <v>302</v>
      </c>
      <c r="D142" s="385">
        <v>302</v>
      </c>
      <c r="E142" s="389"/>
    </row>
    <row r="143" spans="1:5" s="370" customFormat="1" ht="12.75">
      <c r="A143" s="395" t="s">
        <v>567</v>
      </c>
      <c r="B143" s="396"/>
      <c r="C143" s="384">
        <v>132</v>
      </c>
      <c r="D143" s="385">
        <v>132</v>
      </c>
      <c r="E143" s="389"/>
    </row>
    <row r="144" spans="1:5" s="370" customFormat="1" ht="12.75">
      <c r="A144" s="395"/>
      <c r="B144" s="396"/>
      <c r="C144" s="384"/>
      <c r="D144" s="385"/>
      <c r="E144" s="389"/>
    </row>
    <row r="145" spans="1:5" s="382" customFormat="1" ht="14.25">
      <c r="A145" s="430" t="s">
        <v>345</v>
      </c>
      <c r="B145" s="431">
        <f>SUM(B8+B129+B132)</f>
        <v>4313681</v>
      </c>
      <c r="C145" s="432">
        <f>SUM(C8+C129+C132)</f>
        <v>4173684</v>
      </c>
      <c r="D145" s="433">
        <f>SUM(D8+D129+D132)</f>
        <v>1580262</v>
      </c>
      <c r="E145" s="389"/>
    </row>
    <row r="146" spans="3:5" s="370" customFormat="1" ht="13.5">
      <c r="C146" s="389"/>
      <c r="E146" s="389"/>
    </row>
    <row r="147" spans="3:5" s="370" customFormat="1" ht="12.75">
      <c r="C147" s="389"/>
      <c r="E147" s="389"/>
    </row>
    <row r="148" spans="3:5" s="370" customFormat="1" ht="12.75">
      <c r="C148" s="389"/>
      <c r="E148" s="389"/>
    </row>
    <row r="149" spans="3:5" s="370" customFormat="1" ht="12.75">
      <c r="C149" s="389"/>
      <c r="E149" s="389"/>
    </row>
    <row r="150" spans="3:5" s="370" customFormat="1" ht="12.75">
      <c r="C150" s="389"/>
      <c r="E150" s="389"/>
    </row>
    <row r="151" spans="3:5" s="370" customFormat="1" ht="12.75">
      <c r="C151" s="389"/>
      <c r="E151" s="389"/>
    </row>
    <row r="152" spans="3:5" s="370" customFormat="1" ht="12.75">
      <c r="C152" s="389"/>
      <c r="E152" s="389"/>
    </row>
    <row r="153" spans="3:5" s="370" customFormat="1" ht="12.75">
      <c r="C153" s="389"/>
      <c r="E153" s="389"/>
    </row>
    <row r="154" spans="3:5" s="370" customFormat="1" ht="12.75">
      <c r="C154" s="389"/>
      <c r="E154" s="389"/>
    </row>
    <row r="155" spans="3:5" s="370" customFormat="1" ht="12.75">
      <c r="C155" s="389"/>
      <c r="E155" s="389"/>
    </row>
    <row r="156" spans="3:5" s="370" customFormat="1" ht="12.75">
      <c r="C156" s="389"/>
      <c r="E156" s="389"/>
    </row>
    <row r="157" spans="3:5" s="370" customFormat="1" ht="12.75">
      <c r="C157" s="389"/>
      <c r="E157" s="389"/>
    </row>
    <row r="158" spans="3:5" s="370" customFormat="1" ht="12.75">
      <c r="C158" s="389"/>
      <c r="E158" s="389"/>
    </row>
    <row r="159" spans="3:5" s="370" customFormat="1" ht="12.75">
      <c r="C159" s="389"/>
      <c r="E159" s="389"/>
    </row>
    <row r="160" spans="3:5" s="370" customFormat="1" ht="12.75">
      <c r="C160" s="389"/>
      <c r="E160" s="389"/>
    </row>
    <row r="161" spans="3:5" s="370" customFormat="1" ht="12.75">
      <c r="C161" s="389"/>
      <c r="E161" s="389"/>
    </row>
    <row r="162" spans="3:5" s="370" customFormat="1" ht="12.75">
      <c r="C162" s="389"/>
      <c r="E162" s="389"/>
    </row>
    <row r="163" spans="3:5" s="370" customFormat="1" ht="12.75">
      <c r="C163" s="389"/>
      <c r="E163" s="389"/>
    </row>
    <row r="164" spans="3:5" s="370" customFormat="1" ht="12.75">
      <c r="C164" s="389"/>
      <c r="E164" s="389"/>
    </row>
    <row r="165" spans="3:5" s="370" customFormat="1" ht="12.75">
      <c r="C165" s="389"/>
      <c r="E165" s="389"/>
    </row>
    <row r="166" spans="3:5" s="370" customFormat="1" ht="12.75">
      <c r="C166" s="389"/>
      <c r="E166" s="389"/>
    </row>
    <row r="167" spans="3:5" s="370" customFormat="1" ht="12.75">
      <c r="C167" s="389"/>
      <c r="E167" s="389"/>
    </row>
    <row r="168" spans="3:5" s="370" customFormat="1" ht="12.75">
      <c r="C168" s="389"/>
      <c r="E168" s="389"/>
    </row>
    <row r="169" spans="3:5" s="370" customFormat="1" ht="12.75">
      <c r="C169" s="389"/>
      <c r="E169" s="389"/>
    </row>
    <row r="170" s="370" customFormat="1" ht="12.75">
      <c r="C170" s="389"/>
    </row>
    <row r="171" s="370" customFormat="1" ht="12.75">
      <c r="C171" s="389"/>
    </row>
    <row r="172" s="370" customFormat="1" ht="12.75">
      <c r="C172" s="389"/>
    </row>
    <row r="173" s="370" customFormat="1" ht="12.75">
      <c r="C173" s="389"/>
    </row>
    <row r="174" s="370" customFormat="1" ht="12.75">
      <c r="C174" s="389"/>
    </row>
    <row r="175" s="370" customFormat="1" ht="12.75">
      <c r="C175" s="389"/>
    </row>
    <row r="176" s="370" customFormat="1" ht="12.75">
      <c r="C176" s="389"/>
    </row>
    <row r="177" s="370" customFormat="1" ht="12.75">
      <c r="C177" s="389"/>
    </row>
    <row r="178" s="370" customFormat="1" ht="12.75">
      <c r="C178" s="389"/>
    </row>
    <row r="179" s="370" customFormat="1" ht="12.75">
      <c r="C179" s="389"/>
    </row>
    <row r="180" s="370" customFormat="1" ht="12.75">
      <c r="C180" s="389"/>
    </row>
    <row r="181" s="370" customFormat="1" ht="12.75">
      <c r="C181" s="389"/>
    </row>
    <row r="182" s="370" customFormat="1" ht="12.75">
      <c r="C182" s="389"/>
    </row>
    <row r="183" s="370" customFormat="1" ht="12.75">
      <c r="C183" s="389"/>
    </row>
    <row r="184" s="370" customFormat="1" ht="12.75">
      <c r="C184" s="389"/>
    </row>
    <row r="185" s="370" customFormat="1" ht="12.75">
      <c r="C185" s="389"/>
    </row>
    <row r="186" s="370" customFormat="1" ht="12.75">
      <c r="C186" s="389"/>
    </row>
    <row r="187" s="370" customFormat="1" ht="12.75">
      <c r="C187" s="389"/>
    </row>
    <row r="188" s="370" customFormat="1" ht="12.75">
      <c r="C188" s="389"/>
    </row>
    <row r="189" s="370" customFormat="1" ht="12.75">
      <c r="C189" s="389"/>
    </row>
    <row r="190" s="370" customFormat="1" ht="12.75">
      <c r="C190" s="389"/>
    </row>
    <row r="191" s="370" customFormat="1" ht="12.75">
      <c r="C191" s="389"/>
    </row>
    <row r="192" s="370" customFormat="1" ht="12.75">
      <c r="C192" s="389"/>
    </row>
    <row r="193" s="370" customFormat="1" ht="12.75">
      <c r="C193" s="389"/>
    </row>
    <row r="194" s="370" customFormat="1" ht="12.75">
      <c r="C194" s="389"/>
    </row>
    <row r="195" s="370" customFormat="1" ht="12.75">
      <c r="C195" s="389"/>
    </row>
    <row r="196" s="370" customFormat="1" ht="12.75">
      <c r="C196" s="389"/>
    </row>
    <row r="197" s="370" customFormat="1" ht="12.75">
      <c r="C197" s="389"/>
    </row>
    <row r="198" ht="12.75">
      <c r="C198" s="368"/>
    </row>
    <row r="199" ht="12.75">
      <c r="C199" s="368"/>
    </row>
    <row r="200" ht="12.75">
      <c r="C200" s="368"/>
    </row>
    <row r="201" ht="12.75">
      <c r="C201" s="368"/>
    </row>
    <row r="202" ht="12.75">
      <c r="C202" s="368"/>
    </row>
    <row r="203" ht="12.75">
      <c r="C203" s="368"/>
    </row>
    <row r="204" ht="12.75">
      <c r="C204" s="368"/>
    </row>
    <row r="205" ht="12.75">
      <c r="C205" s="368"/>
    </row>
    <row r="206" ht="12.75">
      <c r="C206" s="368"/>
    </row>
    <row r="207" ht="12.75">
      <c r="C207" s="368"/>
    </row>
    <row r="208" ht="12.75">
      <c r="C208" s="368"/>
    </row>
    <row r="209" ht="12.75">
      <c r="C209" s="368"/>
    </row>
    <row r="210" ht="12.75">
      <c r="C210" s="368"/>
    </row>
    <row r="211" ht="12.75">
      <c r="C211" s="368"/>
    </row>
    <row r="212" ht="12.75">
      <c r="C212" s="368"/>
    </row>
    <row r="213" ht="12.75">
      <c r="C213" s="368"/>
    </row>
    <row r="214" ht="12.75">
      <c r="C214" s="368"/>
    </row>
    <row r="215" ht="12.75">
      <c r="C215" s="368"/>
    </row>
    <row r="216" ht="12.75">
      <c r="C216" s="368"/>
    </row>
    <row r="217" ht="12.75">
      <c r="C217" s="368"/>
    </row>
    <row r="218" ht="12.75">
      <c r="C218" s="368"/>
    </row>
    <row r="219" ht="12.75">
      <c r="C219" s="368"/>
    </row>
    <row r="220" ht="12.75">
      <c r="C220" s="368"/>
    </row>
    <row r="221" ht="12.75">
      <c r="C221" s="368"/>
    </row>
    <row r="222" ht="12.75">
      <c r="C222" s="368"/>
    </row>
    <row r="223" ht="12.75">
      <c r="C223" s="368"/>
    </row>
    <row r="224" ht="12.75">
      <c r="C224" s="368"/>
    </row>
  </sheetData>
  <sheetProtection selectLockedCells="1" selectUnlockedCells="1"/>
  <mergeCells count="2">
    <mergeCell ref="A3:D3"/>
    <mergeCell ref="A4:D4"/>
  </mergeCells>
  <printOptions horizontalCentered="1"/>
  <pageMargins left="0.24027777777777778" right="0.15763888888888888" top="0.5402777777777777" bottom="0.2902777777777778" header="0.15763888888888888" footer="0.5118055555555555"/>
  <pageSetup horizontalDpi="300" verticalDpi="300" orientation="portrait" paperSize="9" scale="75"/>
  <headerFooter alignWithMargins="0">
    <oddHeader>&amp;L7. melléklet a 16/2011.(V.02.) önkormányzati rendelethez</oddHeader>
  </headerFooter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workbookViewId="0" topLeftCell="A1">
      <selection activeCell="A47" sqref="A47"/>
    </sheetView>
  </sheetViews>
  <sheetFormatPr defaultColWidth="9.00390625" defaultRowHeight="12.75"/>
  <cols>
    <col min="1" max="1" width="63.25390625" style="0" customWidth="1"/>
    <col min="2" max="2" width="10.25390625" style="0" customWidth="1"/>
    <col min="3" max="3" width="9.375" style="0" customWidth="1"/>
    <col min="4" max="4" width="10.75390625" style="0" customWidth="1"/>
    <col min="5" max="5" width="9.375" style="0" customWidth="1"/>
    <col min="6" max="6" width="11.125" style="0" customWidth="1"/>
    <col min="7" max="7" width="9.375" style="0" customWidth="1"/>
  </cols>
  <sheetData>
    <row r="1" spans="1:7" s="434" customFormat="1" ht="12.75">
      <c r="A1" s="216"/>
      <c r="B1" s="1"/>
      <c r="C1"/>
      <c r="D1"/>
      <c r="E1"/>
      <c r="F1"/>
      <c r="G1"/>
    </row>
    <row r="2" spans="1:7" s="434" customFormat="1" ht="12.75">
      <c r="A2" s="216"/>
      <c r="B2" s="1"/>
      <c r="C2"/>
      <c r="D2"/>
      <c r="E2"/>
      <c r="F2"/>
      <c r="G2"/>
    </row>
    <row r="3" spans="1:7" s="434" customFormat="1" ht="13.5" customHeight="1">
      <c r="A3" s="435" t="s">
        <v>568</v>
      </c>
      <c r="B3" s="435"/>
      <c r="C3" s="435"/>
      <c r="D3" s="435"/>
      <c r="E3" s="435"/>
      <c r="F3" s="435"/>
      <c r="G3" s="435"/>
    </row>
    <row r="4" spans="1:7" s="434" customFormat="1" ht="13.5" customHeight="1">
      <c r="A4" s="435" t="s">
        <v>569</v>
      </c>
      <c r="B4" s="435"/>
      <c r="C4" s="435"/>
      <c r="D4" s="435"/>
      <c r="E4" s="435"/>
      <c r="F4" s="435"/>
      <c r="G4" s="435"/>
    </row>
    <row r="5" spans="1:7" s="434" customFormat="1" ht="16.5">
      <c r="A5" s="198"/>
      <c r="B5" s="1"/>
      <c r="C5"/>
      <c r="D5"/>
      <c r="E5"/>
      <c r="F5"/>
      <c r="G5"/>
    </row>
    <row r="6" spans="1:7" s="434" customFormat="1" ht="55.5" customHeight="1">
      <c r="A6" s="190" t="s">
        <v>224</v>
      </c>
      <c r="B6" s="436" t="s">
        <v>7</v>
      </c>
      <c r="C6" s="437" t="s">
        <v>570</v>
      </c>
      <c r="D6" s="438" t="s">
        <v>4</v>
      </c>
      <c r="E6" s="439" t="s">
        <v>570</v>
      </c>
      <c r="F6" s="440" t="s">
        <v>5</v>
      </c>
      <c r="G6" s="441" t="s">
        <v>570</v>
      </c>
    </row>
    <row r="7" spans="1:7" s="434" customFormat="1" ht="15" customHeight="1">
      <c r="A7" s="442" t="s">
        <v>571</v>
      </c>
      <c r="B7" s="443">
        <v>68400</v>
      </c>
      <c r="C7" s="443">
        <v>54720</v>
      </c>
      <c r="D7" s="444">
        <v>37955</v>
      </c>
      <c r="E7" s="444">
        <v>24275</v>
      </c>
      <c r="F7" s="445">
        <v>31107</v>
      </c>
      <c r="G7" s="446">
        <v>24275</v>
      </c>
    </row>
    <row r="8" spans="1:7" s="434" customFormat="1" ht="15" customHeight="1">
      <c r="A8" s="447" t="s">
        <v>572</v>
      </c>
      <c r="B8" s="443">
        <v>10190</v>
      </c>
      <c r="C8" s="443">
        <v>9171</v>
      </c>
      <c r="D8" s="444">
        <v>9097</v>
      </c>
      <c r="E8" s="444">
        <v>8192</v>
      </c>
      <c r="F8" s="445">
        <v>9042</v>
      </c>
      <c r="G8" s="446">
        <v>8077</v>
      </c>
    </row>
    <row r="9" spans="1:7" s="434" customFormat="1" ht="15" customHeight="1">
      <c r="A9" s="447" t="s">
        <v>300</v>
      </c>
      <c r="B9" s="443">
        <v>3661</v>
      </c>
      <c r="C9" s="443">
        <v>3295</v>
      </c>
      <c r="D9" s="444">
        <v>3423</v>
      </c>
      <c r="E9" s="444">
        <v>2943</v>
      </c>
      <c r="F9" s="445">
        <v>3423</v>
      </c>
      <c r="G9" s="446">
        <v>3058</v>
      </c>
    </row>
    <row r="10" spans="1:7" s="434" customFormat="1" ht="15" customHeight="1">
      <c r="A10" s="447" t="s">
        <v>301</v>
      </c>
      <c r="B10" s="443">
        <v>1300</v>
      </c>
      <c r="C10" s="443">
        <v>1170</v>
      </c>
      <c r="D10" s="444">
        <v>812</v>
      </c>
      <c r="E10" s="444">
        <v>682</v>
      </c>
      <c r="F10" s="445">
        <v>761</v>
      </c>
      <c r="G10" s="446">
        <v>682</v>
      </c>
    </row>
    <row r="11" spans="1:7" s="434" customFormat="1" ht="15" customHeight="1">
      <c r="A11" s="447" t="s">
        <v>573</v>
      </c>
      <c r="B11" s="443">
        <v>12000</v>
      </c>
      <c r="C11" s="443">
        <v>10800</v>
      </c>
      <c r="D11" s="444">
        <v>10321</v>
      </c>
      <c r="E11" s="444">
        <v>9121</v>
      </c>
      <c r="F11" s="445">
        <v>10290</v>
      </c>
      <c r="G11" s="446">
        <v>9121</v>
      </c>
    </row>
    <row r="12" spans="1:7" s="434" customFormat="1" ht="15" customHeight="1">
      <c r="A12" s="447" t="s">
        <v>574</v>
      </c>
      <c r="B12" s="443">
        <v>15000</v>
      </c>
      <c r="C12" s="443"/>
      <c r="D12" s="444">
        <v>14000</v>
      </c>
      <c r="E12" s="444"/>
      <c r="F12" s="445">
        <v>9082</v>
      </c>
      <c r="G12" s="446"/>
    </row>
    <row r="13" spans="1:7" s="434" customFormat="1" ht="15" customHeight="1">
      <c r="A13" s="447" t="s">
        <v>575</v>
      </c>
      <c r="B13" s="443">
        <v>5000</v>
      </c>
      <c r="C13" s="443">
        <v>4500</v>
      </c>
      <c r="D13" s="444">
        <v>6007</v>
      </c>
      <c r="E13" s="444">
        <v>5180</v>
      </c>
      <c r="F13" s="445">
        <v>6007</v>
      </c>
      <c r="G13" s="446">
        <v>5180</v>
      </c>
    </row>
    <row r="14" spans="1:7" s="434" customFormat="1" ht="15" customHeight="1">
      <c r="A14" s="447" t="s">
        <v>576</v>
      </c>
      <c r="B14" s="443">
        <v>23085</v>
      </c>
      <c r="C14" s="443">
        <v>17314</v>
      </c>
      <c r="D14" s="444">
        <v>21895</v>
      </c>
      <c r="E14" s="444">
        <v>16124</v>
      </c>
      <c r="F14" s="445">
        <v>21460</v>
      </c>
      <c r="G14" s="446">
        <v>16124</v>
      </c>
    </row>
    <row r="15" spans="1:7" s="434" customFormat="1" ht="15" customHeight="1">
      <c r="A15" s="447" t="s">
        <v>577</v>
      </c>
      <c r="B15" s="443">
        <v>10260</v>
      </c>
      <c r="C15" s="443"/>
      <c r="D15" s="444">
        <v>5760</v>
      </c>
      <c r="E15" s="444"/>
      <c r="F15" s="445">
        <v>4330</v>
      </c>
      <c r="G15" s="446"/>
    </row>
    <row r="16" spans="1:7" s="434" customFormat="1" ht="15" customHeight="1">
      <c r="A16" s="447" t="s">
        <v>308</v>
      </c>
      <c r="B16" s="443">
        <v>20000</v>
      </c>
      <c r="C16" s="443"/>
      <c r="D16" s="444">
        <v>24474</v>
      </c>
      <c r="E16" s="444"/>
      <c r="F16" s="445">
        <v>24474</v>
      </c>
      <c r="G16" s="446"/>
    </row>
    <row r="17" spans="1:7" s="434" customFormat="1" ht="15" customHeight="1">
      <c r="A17" s="447" t="s">
        <v>309</v>
      </c>
      <c r="B17" s="443">
        <v>6500</v>
      </c>
      <c r="C17" s="443"/>
      <c r="D17" s="444">
        <v>5199</v>
      </c>
      <c r="E17" s="444"/>
      <c r="F17" s="445">
        <v>4998</v>
      </c>
      <c r="G17" s="446"/>
    </row>
    <row r="18" spans="1:7" s="434" customFormat="1" ht="15" customHeight="1">
      <c r="A18" s="447" t="s">
        <v>578</v>
      </c>
      <c r="B18" s="443">
        <v>6600</v>
      </c>
      <c r="C18" s="443">
        <v>6600</v>
      </c>
      <c r="D18" s="444">
        <v>7842</v>
      </c>
      <c r="E18" s="444">
        <v>7842</v>
      </c>
      <c r="F18" s="445">
        <v>7842</v>
      </c>
      <c r="G18" s="446">
        <v>7842</v>
      </c>
    </row>
    <row r="19" spans="1:7" s="434" customFormat="1" ht="15" customHeight="1">
      <c r="A19" s="447" t="s">
        <v>579</v>
      </c>
      <c r="B19" s="443">
        <v>8000</v>
      </c>
      <c r="C19" s="443"/>
      <c r="D19" s="444">
        <v>10000</v>
      </c>
      <c r="E19" s="444"/>
      <c r="F19" s="445">
        <v>9302</v>
      </c>
      <c r="G19" s="446"/>
    </row>
    <row r="20" spans="1:7" s="434" customFormat="1" ht="15" customHeight="1">
      <c r="A20" s="447" t="s">
        <v>580</v>
      </c>
      <c r="B20" s="443">
        <v>200</v>
      </c>
      <c r="C20" s="443"/>
      <c r="D20" s="444">
        <v>200</v>
      </c>
      <c r="E20" s="444"/>
      <c r="F20" s="445">
        <v>80</v>
      </c>
      <c r="G20" s="446"/>
    </row>
    <row r="21" spans="1:7" s="434" customFormat="1" ht="15" customHeight="1">
      <c r="A21" s="447" t="s">
        <v>311</v>
      </c>
      <c r="B21" s="443">
        <v>1500</v>
      </c>
      <c r="C21" s="443"/>
      <c r="D21" s="444">
        <v>1500</v>
      </c>
      <c r="E21" s="444"/>
      <c r="F21" s="445">
        <v>763</v>
      </c>
      <c r="G21" s="446">
        <v>763</v>
      </c>
    </row>
    <row r="22" spans="1:7" s="434" customFormat="1" ht="15" customHeight="1">
      <c r="A22" s="447" t="s">
        <v>581</v>
      </c>
      <c r="B22" s="443">
        <v>24000</v>
      </c>
      <c r="C22" s="443"/>
      <c r="D22" s="444">
        <v>26054</v>
      </c>
      <c r="E22" s="444"/>
      <c r="F22" s="445">
        <v>26032</v>
      </c>
      <c r="G22" s="446"/>
    </row>
    <row r="23" spans="1:7" s="434" customFormat="1" ht="15" customHeight="1">
      <c r="A23" s="447" t="s">
        <v>324</v>
      </c>
      <c r="B23" s="443">
        <v>4500</v>
      </c>
      <c r="C23" s="443">
        <v>4500</v>
      </c>
      <c r="D23" s="444"/>
      <c r="E23" s="444"/>
      <c r="F23" s="445"/>
      <c r="G23" s="446"/>
    </row>
    <row r="24" spans="1:7" s="434" customFormat="1" ht="15" customHeight="1">
      <c r="A24" s="447" t="s">
        <v>323</v>
      </c>
      <c r="B24" s="443"/>
      <c r="C24" s="443"/>
      <c r="D24" s="444">
        <v>1710</v>
      </c>
      <c r="E24" s="444"/>
      <c r="F24" s="445">
        <v>1710</v>
      </c>
      <c r="G24" s="446"/>
    </row>
    <row r="25" spans="1:7" s="434" customFormat="1" ht="15" customHeight="1">
      <c r="A25" s="447" t="s">
        <v>307</v>
      </c>
      <c r="B25" s="443"/>
      <c r="C25" s="443"/>
      <c r="D25" s="444">
        <v>30</v>
      </c>
      <c r="E25" s="444">
        <v>30</v>
      </c>
      <c r="F25" s="445">
        <v>30</v>
      </c>
      <c r="G25" s="446">
        <v>30</v>
      </c>
    </row>
    <row r="26" spans="1:7" s="434" customFormat="1" ht="15" customHeight="1">
      <c r="A26" s="447" t="s">
        <v>582</v>
      </c>
      <c r="B26" s="443"/>
      <c r="C26" s="443"/>
      <c r="D26" s="444">
        <v>244</v>
      </c>
      <c r="E26" s="444">
        <v>244</v>
      </c>
      <c r="F26" s="445">
        <v>244</v>
      </c>
      <c r="G26" s="446">
        <v>244</v>
      </c>
    </row>
    <row r="27" spans="1:7" s="434" customFormat="1" ht="15" customHeight="1">
      <c r="A27" s="193" t="s">
        <v>583</v>
      </c>
      <c r="B27" s="448">
        <f aca="true" t="shared" si="0" ref="B27:G27">SUM(B7:B26)</f>
        <v>220196</v>
      </c>
      <c r="C27" s="448">
        <f t="shared" si="0"/>
        <v>112070</v>
      </c>
      <c r="D27" s="449">
        <f t="shared" si="0"/>
        <v>186523</v>
      </c>
      <c r="E27" s="449">
        <f t="shared" si="0"/>
        <v>74633</v>
      </c>
      <c r="F27" s="450">
        <f t="shared" si="0"/>
        <v>170977</v>
      </c>
      <c r="G27" s="451">
        <f t="shared" si="0"/>
        <v>75396</v>
      </c>
    </row>
    <row r="28" spans="1:7" ht="15" customHeight="1">
      <c r="A28" s="452"/>
      <c r="B28" s="453"/>
      <c r="C28" s="443"/>
      <c r="D28" s="454"/>
      <c r="E28" s="454"/>
      <c r="F28" s="455"/>
      <c r="G28" s="456"/>
    </row>
    <row r="29" spans="1:7" ht="15" customHeight="1">
      <c r="A29" s="447" t="s">
        <v>584</v>
      </c>
      <c r="B29" s="453"/>
      <c r="C29" s="443"/>
      <c r="D29" s="454"/>
      <c r="E29" s="454"/>
      <c r="F29" s="455">
        <v>50</v>
      </c>
      <c r="G29" s="456"/>
    </row>
    <row r="30" spans="1:7" ht="15" customHeight="1">
      <c r="A30" s="447" t="s">
        <v>585</v>
      </c>
      <c r="B30" s="453"/>
      <c r="C30" s="443"/>
      <c r="D30" s="454"/>
      <c r="E30" s="454"/>
      <c r="F30" s="455"/>
      <c r="G30" s="456"/>
    </row>
    <row r="31" spans="1:7" ht="15" customHeight="1">
      <c r="A31" s="447" t="s">
        <v>586</v>
      </c>
      <c r="B31" s="443"/>
      <c r="C31" s="443"/>
      <c r="D31" s="454"/>
      <c r="E31" s="454"/>
      <c r="F31" s="455"/>
      <c r="G31" s="456"/>
    </row>
    <row r="32" spans="1:7" ht="15" customHeight="1">
      <c r="A32" s="447" t="s">
        <v>316</v>
      </c>
      <c r="B32" s="443">
        <v>1500</v>
      </c>
      <c r="C32" s="443"/>
      <c r="D32" s="454">
        <v>1500</v>
      </c>
      <c r="E32" s="454"/>
      <c r="F32" s="455">
        <v>926</v>
      </c>
      <c r="G32" s="456"/>
    </row>
    <row r="33" spans="1:7" ht="15" customHeight="1">
      <c r="A33" s="447" t="s">
        <v>315</v>
      </c>
      <c r="B33" s="443">
        <v>2000</v>
      </c>
      <c r="C33" s="443"/>
      <c r="D33" s="454">
        <v>2000</v>
      </c>
      <c r="E33" s="454"/>
      <c r="F33" s="455">
        <v>876</v>
      </c>
      <c r="G33" s="456"/>
    </row>
    <row r="34" spans="1:7" ht="15" customHeight="1">
      <c r="A34" s="447" t="s">
        <v>587</v>
      </c>
      <c r="B34" s="443"/>
      <c r="C34" s="443"/>
      <c r="D34" s="454"/>
      <c r="E34" s="454"/>
      <c r="F34" s="455">
        <v>1186</v>
      </c>
      <c r="G34" s="456"/>
    </row>
    <row r="35" spans="1:7" ht="15" customHeight="1">
      <c r="A35" s="447" t="s">
        <v>588</v>
      </c>
      <c r="B35" s="443"/>
      <c r="C35" s="443"/>
      <c r="D35" s="454">
        <v>5426</v>
      </c>
      <c r="E35" s="454"/>
      <c r="F35" s="455">
        <v>1528</v>
      </c>
      <c r="G35" s="456"/>
    </row>
    <row r="36" spans="1:7" s="434" customFormat="1" ht="15" customHeight="1">
      <c r="A36" s="193" t="s">
        <v>589</v>
      </c>
      <c r="B36" s="448">
        <f aca="true" t="shared" si="1" ref="B36:G36">SUM(B29:B35)</f>
        <v>3500</v>
      </c>
      <c r="C36" s="448">
        <f t="shared" si="1"/>
        <v>0</v>
      </c>
      <c r="D36" s="448">
        <f t="shared" si="1"/>
        <v>8926</v>
      </c>
      <c r="E36" s="448">
        <f t="shared" si="1"/>
        <v>0</v>
      </c>
      <c r="F36" s="448">
        <f t="shared" si="1"/>
        <v>4566</v>
      </c>
      <c r="G36" s="451">
        <f t="shared" si="1"/>
        <v>0</v>
      </c>
    </row>
    <row r="37" spans="1:7" s="434" customFormat="1" ht="15" customHeight="1">
      <c r="A37" s="193"/>
      <c r="B37" s="448"/>
      <c r="C37" s="448"/>
      <c r="D37" s="457"/>
      <c r="E37" s="457"/>
      <c r="F37" s="458"/>
      <c r="G37" s="459"/>
    </row>
    <row r="38" spans="1:7" s="434" customFormat="1" ht="15" customHeight="1">
      <c r="A38" s="447" t="s">
        <v>590</v>
      </c>
      <c r="B38" s="448"/>
      <c r="C38" s="448"/>
      <c r="D38" s="454">
        <v>2000</v>
      </c>
      <c r="E38" s="457"/>
      <c r="F38" s="455">
        <v>2000</v>
      </c>
      <c r="G38" s="459"/>
    </row>
    <row r="39" spans="1:7" s="434" customFormat="1" ht="15" customHeight="1">
      <c r="A39" s="447" t="s">
        <v>591</v>
      </c>
      <c r="B39" s="448"/>
      <c r="C39" s="448"/>
      <c r="D39" s="454">
        <v>236</v>
      </c>
      <c r="E39" s="457"/>
      <c r="F39" s="455">
        <v>1342</v>
      </c>
      <c r="G39" s="459"/>
    </row>
    <row r="40" spans="1:7" s="434" customFormat="1" ht="15" customHeight="1">
      <c r="A40" s="447" t="s">
        <v>592</v>
      </c>
      <c r="B40" s="448"/>
      <c r="C40" s="448"/>
      <c r="D40" s="454">
        <v>1200</v>
      </c>
      <c r="E40" s="457"/>
      <c r="F40" s="455"/>
      <c r="G40" s="459"/>
    </row>
    <row r="41" spans="1:7" s="434" customFormat="1" ht="15" customHeight="1">
      <c r="A41" s="193" t="s">
        <v>593</v>
      </c>
      <c r="B41" s="448">
        <f aca="true" t="shared" si="2" ref="B41:G41">SUM(B38:B39)</f>
        <v>0</v>
      </c>
      <c r="C41" s="448">
        <f t="shared" si="2"/>
        <v>0</v>
      </c>
      <c r="D41" s="449">
        <f>SUM(D38:D40)</f>
        <v>3436</v>
      </c>
      <c r="E41" s="449">
        <f>SUM(E38:E39)</f>
        <v>0</v>
      </c>
      <c r="F41" s="450">
        <f>SUM(F38:F40)</f>
        <v>3342</v>
      </c>
      <c r="G41" s="451">
        <f t="shared" si="2"/>
        <v>0</v>
      </c>
    </row>
    <row r="42" spans="1:7" ht="15" customHeight="1">
      <c r="A42" s="447"/>
      <c r="B42" s="443"/>
      <c r="C42" s="443"/>
      <c r="D42" s="454"/>
      <c r="E42" s="454"/>
      <c r="F42" s="455"/>
      <c r="G42" s="456"/>
    </row>
    <row r="43" spans="1:7" s="434" customFormat="1" ht="15" customHeight="1">
      <c r="A43" s="193" t="s">
        <v>594</v>
      </c>
      <c r="B43" s="448">
        <f aca="true" t="shared" si="3" ref="B43:G43">SUM(B27+B36+B41)</f>
        <v>223696</v>
      </c>
      <c r="C43" s="448">
        <f t="shared" si="3"/>
        <v>112070</v>
      </c>
      <c r="D43" s="449">
        <f t="shared" si="3"/>
        <v>198885</v>
      </c>
      <c r="E43" s="449">
        <f t="shared" si="3"/>
        <v>74633</v>
      </c>
      <c r="F43" s="450">
        <f t="shared" si="3"/>
        <v>178885</v>
      </c>
      <c r="G43" s="451">
        <f t="shared" si="3"/>
        <v>75396</v>
      </c>
    </row>
    <row r="44" spans="1:7" ht="15" customHeight="1">
      <c r="A44" s="71"/>
      <c r="B44" s="443"/>
      <c r="C44" s="443"/>
      <c r="D44" s="454"/>
      <c r="E44" s="454"/>
      <c r="F44" s="455"/>
      <c r="G44" s="456"/>
    </row>
    <row r="45" spans="1:7" s="434" customFormat="1" ht="15" customHeight="1">
      <c r="A45" s="204" t="s">
        <v>595</v>
      </c>
      <c r="B45" s="448">
        <f aca="true" t="shared" si="4" ref="B45:G45">SUM(B46:B47)</f>
        <v>8003</v>
      </c>
      <c r="C45" s="448">
        <f t="shared" si="4"/>
        <v>4155</v>
      </c>
      <c r="D45" s="449">
        <f t="shared" si="4"/>
        <v>7718</v>
      </c>
      <c r="E45" s="449">
        <f t="shared" si="4"/>
        <v>3870</v>
      </c>
      <c r="F45" s="450">
        <f t="shared" si="4"/>
        <v>6190</v>
      </c>
      <c r="G45" s="451">
        <f t="shared" si="4"/>
        <v>3870</v>
      </c>
    </row>
    <row r="46" spans="1:7" ht="15" customHeight="1">
      <c r="A46" s="71" t="s">
        <v>596</v>
      </c>
      <c r="B46" s="443">
        <v>5540</v>
      </c>
      <c r="C46" s="443">
        <v>4155</v>
      </c>
      <c r="D46" s="454">
        <v>5255</v>
      </c>
      <c r="E46" s="454">
        <v>3870</v>
      </c>
      <c r="F46" s="455">
        <v>5151</v>
      </c>
      <c r="G46" s="456">
        <v>3870</v>
      </c>
    </row>
    <row r="47" spans="1:7" ht="15" customHeight="1">
      <c r="A47" s="71" t="s">
        <v>597</v>
      </c>
      <c r="B47" s="443">
        <v>2463</v>
      </c>
      <c r="C47" s="443"/>
      <c r="D47" s="454">
        <v>2463</v>
      </c>
      <c r="E47" s="454"/>
      <c r="F47" s="455">
        <v>1039</v>
      </c>
      <c r="G47" s="456"/>
    </row>
    <row r="48" spans="1:7" ht="15" customHeight="1">
      <c r="A48" s="71"/>
      <c r="B48" s="443"/>
      <c r="C48" s="443"/>
      <c r="D48" s="454"/>
      <c r="E48" s="454"/>
      <c r="F48" s="455"/>
      <c r="G48" s="456"/>
    </row>
    <row r="49" spans="1:7" s="465" customFormat="1" ht="15" customHeight="1">
      <c r="A49" s="460" t="s">
        <v>345</v>
      </c>
      <c r="B49" s="461">
        <f aca="true" t="shared" si="5" ref="B49:G49">SUM(B43,B45)</f>
        <v>231699</v>
      </c>
      <c r="C49" s="461">
        <f t="shared" si="5"/>
        <v>116225</v>
      </c>
      <c r="D49" s="462">
        <f t="shared" si="5"/>
        <v>206603</v>
      </c>
      <c r="E49" s="462">
        <f t="shared" si="5"/>
        <v>78503</v>
      </c>
      <c r="F49" s="463">
        <f t="shared" si="5"/>
        <v>185075</v>
      </c>
      <c r="G49" s="464">
        <f t="shared" si="5"/>
        <v>79266</v>
      </c>
    </row>
    <row r="50" spans="1:2" ht="13.5">
      <c r="A50" s="1"/>
      <c r="B50" s="1"/>
    </row>
  </sheetData>
  <sheetProtection selectLockedCells="1" selectUnlockedCells="1"/>
  <mergeCells count="2">
    <mergeCell ref="A3:G3"/>
    <mergeCell ref="A4:G4"/>
  </mergeCells>
  <printOptions horizontalCentered="1"/>
  <pageMargins left="0.24027777777777778" right="0.24027777777777778" top="0.7875" bottom="0.31527777777777777" header="0.15763888888888888" footer="0.5118055555555555"/>
  <pageSetup horizontalDpi="300" verticalDpi="300" orientation="portrait" paperSize="9" scale="80"/>
  <headerFooter alignWithMargins="0">
    <oddHeader>&amp;L&amp;8 8. melléklet a 16/2011.(V.02.)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2011-04-28T12:51:23Z</cp:lastPrinted>
  <dcterms:created xsi:type="dcterms:W3CDTF">2003-02-14T08:59:10Z</dcterms:created>
  <dcterms:modified xsi:type="dcterms:W3CDTF">2011-04-28T12:53:46Z</dcterms:modified>
  <cp:category/>
  <cp:version/>
  <cp:contentType/>
  <cp:contentStatus/>
</cp:coreProperties>
</file>