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tabRatio="778" firstSheet="13" activeTab="18"/>
  </bookViews>
  <sheets>
    <sheet name="1. sz. melléklet" sheetId="1" r:id="rId1"/>
    <sheet name="2. sz. melléklet" sheetId="2" r:id="rId2"/>
    <sheet name="3. sz. melléklet" sheetId="3" r:id="rId3"/>
    <sheet name="4.sz. melléklet" sheetId="4" r:id="rId4"/>
    <sheet name="5. sz. melléklet - Önkormányzat" sheetId="5" r:id="rId5"/>
    <sheet name="5. sz. melléklet - Közös Hiv." sheetId="6" r:id="rId6"/>
    <sheet name="6. sz. melléklet" sheetId="7" r:id="rId7"/>
    <sheet name="7. sz. melléklet" sheetId="8" r:id="rId8"/>
    <sheet name="8. sz. melléklet" sheetId="9" r:id="rId9"/>
    <sheet name="9. sz. melléklet" sheetId="10" r:id="rId10"/>
    <sheet name="10. sz. melléklet" sheetId="11" r:id="rId11"/>
    <sheet name="11. sz. melléklet" sheetId="12" r:id="rId12"/>
    <sheet name="12. sz. melléklet" sheetId="13" r:id="rId13"/>
    <sheet name="13. sz. melléklet" sheetId="14" r:id="rId14"/>
    <sheet name="14. sz. melléklet" sheetId="15" r:id="rId15"/>
    <sheet name="15. sz. melléklet" sheetId="16" r:id="rId16"/>
    <sheet name="16. sz. melléklet" sheetId="17" r:id="rId17"/>
    <sheet name="17. sz. melléklet" sheetId="18" r:id="rId18"/>
    <sheet name="18. sz. melléklet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c">#REF!</definedName>
    <definedName name="Excel_BuiltIn__FilterDatabase_5" localSheetId="10">#REF!</definedName>
    <definedName name="Excel_BuiltIn__FilterDatabase_5" localSheetId="11">'[9]4. sz. melléklet'!#REF!</definedName>
    <definedName name="Excel_BuiltIn__FilterDatabase_5" localSheetId="12">'[9]4. sz. melléklet'!#REF!</definedName>
    <definedName name="Excel_BuiltIn__FilterDatabase_5" localSheetId="15">#REF!</definedName>
    <definedName name="Excel_BuiltIn__FilterDatabase_5" localSheetId="2">#REF!</definedName>
    <definedName name="Excel_BuiltIn__FilterDatabase_5" localSheetId="3">#REF!</definedName>
    <definedName name="Excel_BuiltIn__FilterDatabase_5" localSheetId="8">'[9]4. sz. melléklet'!#REF!</definedName>
    <definedName name="Excel_BuiltIn__FilterDatabase_5" localSheetId="9">'[9]4. sz. melléklet'!#REF!</definedName>
    <definedName name="Excel_BuiltIn__FilterDatabase_5">#REF!</definedName>
    <definedName name="Excel_BuiltIn__FilterDatabase_5_1">'[2]4. sz. melléklet'!#REF!</definedName>
    <definedName name="Excel_BuiltIn__FilterDatabase_5_10">NA()</definedName>
    <definedName name="Excel_BuiltIn__FilterDatabase_5_11">'[4]4. sz. melléklet'!#REF!</definedName>
    <definedName name="Excel_BuiltIn__FilterDatabase_5_12">'[4]4. sz. melléklet'!#REF!</definedName>
    <definedName name="Excel_BuiltIn__FilterDatabase_5_13" localSheetId="10">#REF!</definedName>
    <definedName name="Excel_BuiltIn__FilterDatabase_5_13" localSheetId="11">#REF!</definedName>
    <definedName name="Excel_BuiltIn__FilterDatabase_5_13" localSheetId="12">#REF!</definedName>
    <definedName name="Excel_BuiltIn__FilterDatabase_5_13" localSheetId="15">#REF!</definedName>
    <definedName name="Excel_BuiltIn__FilterDatabase_5_13" localSheetId="2">#REF!</definedName>
    <definedName name="Excel_BuiltIn__FilterDatabase_5_13" localSheetId="3">#REF!</definedName>
    <definedName name="Excel_BuiltIn__FilterDatabase_5_13" localSheetId="8">#REF!</definedName>
    <definedName name="Excel_BuiltIn__FilterDatabase_5_13" localSheetId="9">#REF!</definedName>
    <definedName name="Excel_BuiltIn__FilterDatabase_5_13">#REF!</definedName>
    <definedName name="Excel_BuiltIn__FilterDatabase_5_15">'[5]4. sz. melléklet'!#REF!</definedName>
    <definedName name="Excel_BuiltIn__FilterDatabase_5_17" localSheetId="10">#REF!</definedName>
    <definedName name="Excel_BuiltIn__FilterDatabase_5_17" localSheetId="11">#REF!</definedName>
    <definedName name="Excel_BuiltIn__FilterDatabase_5_17" localSheetId="12">#REF!</definedName>
    <definedName name="Excel_BuiltIn__FilterDatabase_5_17" localSheetId="15">#REF!</definedName>
    <definedName name="Excel_BuiltIn__FilterDatabase_5_17" localSheetId="2">#REF!</definedName>
    <definedName name="Excel_BuiltIn__FilterDatabase_5_17" localSheetId="3">#REF!</definedName>
    <definedName name="Excel_BuiltIn__FilterDatabase_5_17" localSheetId="8">#REF!</definedName>
    <definedName name="Excel_BuiltIn__FilterDatabase_5_17" localSheetId="9">#REF!</definedName>
    <definedName name="Excel_BuiltIn__FilterDatabase_5_17">#REF!</definedName>
    <definedName name="Excel_BuiltIn__FilterDatabase_5_5">'[3]4.A sz. melléklet'!#REF!</definedName>
    <definedName name="Excel_BuiltIn__FilterDatabase_5_6">'[3]4.B-C. sz. melléklet'!#REF!</definedName>
    <definedName name="Excel_BuiltIn__FilterDatabase_5_7">NA()</definedName>
    <definedName name="Excel_BuiltIn__FilterDatabase_5_8">'[4]4. sz. melléklet'!#REF!</definedName>
    <definedName name="Excel_BuiltIn__FilterDatabase_5_9">'[4]4. sz. melléklet'!#REF!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5">'15. sz. melléklet'!#REF!</definedName>
    <definedName name="Excel_BuiltIn_Print_Area_1" localSheetId="2">#REF!</definedName>
    <definedName name="Excel_BuiltIn_Print_Area_1" localSheetId="3">#REF!</definedName>
    <definedName name="Excel_BuiltIn_Print_Area_1" localSheetId="8">#REF!</definedName>
    <definedName name="Excel_BuiltIn_Print_Area_1" localSheetId="9">#REF!</definedName>
    <definedName name="Excel_BuiltIn_Print_Area_1">#REF!</definedName>
    <definedName name="Excel_BuiltIn_Print_Area_1_1">NA()</definedName>
    <definedName name="Excel_BuiltIn_Print_Area_1_15" localSheetId="10">#REF!</definedName>
    <definedName name="Excel_BuiltIn_Print_Area_1_15" localSheetId="11">#REF!</definedName>
    <definedName name="Excel_BuiltIn_Print_Area_1_15" localSheetId="12">#REF!</definedName>
    <definedName name="Excel_BuiltIn_Print_Area_1_15" localSheetId="15">#REF!</definedName>
    <definedName name="Excel_BuiltIn_Print_Area_1_15" localSheetId="2">#REF!</definedName>
    <definedName name="Excel_BuiltIn_Print_Area_1_15" localSheetId="3">#REF!</definedName>
    <definedName name="Excel_BuiltIn_Print_Area_1_15" localSheetId="8">#REF!</definedName>
    <definedName name="Excel_BuiltIn_Print_Area_1_15" localSheetId="9">#REF!</definedName>
    <definedName name="Excel_BuiltIn_Print_Area_1_15">#REF!</definedName>
    <definedName name="Excel_BuiltIn_Print_Area_1_21">'[3]18.'!#REF!</definedName>
    <definedName name="Excel_BuiltIn_Print_Area_1_22">'[3]19.'!#REF!</definedName>
    <definedName name="Excel_BuiltIn_Print_Area_2" localSheetId="10">#REF!</definedName>
    <definedName name="Excel_BuiltIn_Print_Area_2" localSheetId="11">#REF!</definedName>
    <definedName name="Excel_BuiltIn_Print_Area_2" localSheetId="12">#REF!</definedName>
    <definedName name="Excel_BuiltIn_Print_Area_2" localSheetId="15">#REF!</definedName>
    <definedName name="Excel_BuiltIn_Print_Area_2" localSheetId="2">#REF!</definedName>
    <definedName name="Excel_BuiltIn_Print_Area_2" localSheetId="3">#REF!</definedName>
    <definedName name="Excel_BuiltIn_Print_Area_2" localSheetId="8">#REF!</definedName>
    <definedName name="Excel_BuiltIn_Print_Area_2" localSheetId="9">#REF!</definedName>
    <definedName name="Excel_BuiltIn_Print_Area_2">#REF!</definedName>
    <definedName name="Excel_BuiltIn_Print_Area_21" localSheetId="10">#REF!</definedName>
    <definedName name="Excel_BuiltIn_Print_Area_21" localSheetId="11">#REF!</definedName>
    <definedName name="Excel_BuiltIn_Print_Area_21" localSheetId="12">#REF!</definedName>
    <definedName name="Excel_BuiltIn_Print_Area_21" localSheetId="15">#REF!</definedName>
    <definedName name="Excel_BuiltIn_Print_Area_21" localSheetId="2">#REF!</definedName>
    <definedName name="Excel_BuiltIn_Print_Area_21" localSheetId="3">#REF!</definedName>
    <definedName name="Excel_BuiltIn_Print_Area_21" localSheetId="8">#REF!</definedName>
    <definedName name="Excel_BuiltIn_Print_Area_21" localSheetId="9">#REF!</definedName>
    <definedName name="Excel_BuiltIn_Print_Area_21">#REF!</definedName>
    <definedName name="Excel_BuiltIn_Print_Area_2_1">#REF!</definedName>
    <definedName name="Excel_BuiltIn_Print_Area_2_15" localSheetId="10">#REF!</definedName>
    <definedName name="Excel_BuiltIn_Print_Area_2_15" localSheetId="11">#REF!</definedName>
    <definedName name="Excel_BuiltIn_Print_Area_2_15" localSheetId="12">#REF!</definedName>
    <definedName name="Excel_BuiltIn_Print_Area_2_15" localSheetId="15">#REF!</definedName>
    <definedName name="Excel_BuiltIn_Print_Area_2_15" localSheetId="2">#REF!</definedName>
    <definedName name="Excel_BuiltIn_Print_Area_2_15" localSheetId="3">#REF!</definedName>
    <definedName name="Excel_BuiltIn_Print_Area_2_15" localSheetId="8">#REF!</definedName>
    <definedName name="Excel_BuiltIn_Print_Area_2_15" localSheetId="9">#REF!</definedName>
    <definedName name="Excel_BuiltIn_Print_Area_2_15">#REF!</definedName>
    <definedName name="Excel_BuiltIn_Print_Area_2_5" localSheetId="10">#REF!</definedName>
    <definedName name="Excel_BuiltIn_Print_Area_2_5" localSheetId="11">#REF!</definedName>
    <definedName name="Excel_BuiltIn_Print_Area_2_5" localSheetId="12">#REF!</definedName>
    <definedName name="Excel_BuiltIn_Print_Area_2_5" localSheetId="15">#REF!</definedName>
    <definedName name="Excel_BuiltIn_Print_Area_2_5" localSheetId="2">#REF!</definedName>
    <definedName name="Excel_BuiltIn_Print_Area_2_5" localSheetId="3">#REF!</definedName>
    <definedName name="Excel_BuiltIn_Print_Area_2_5" localSheetId="8">#REF!</definedName>
    <definedName name="Excel_BuiltIn_Print_Area_2_5" localSheetId="9">#REF!</definedName>
    <definedName name="Excel_BuiltIn_Print_Area_2_5">#REF!</definedName>
    <definedName name="Excel_BuiltIn_Print_Area_2_6" localSheetId="10">#REF!</definedName>
    <definedName name="Excel_BuiltIn_Print_Area_2_6" localSheetId="11">#REF!</definedName>
    <definedName name="Excel_BuiltIn_Print_Area_2_6" localSheetId="12">#REF!</definedName>
    <definedName name="Excel_BuiltIn_Print_Area_2_6" localSheetId="15">#REF!</definedName>
    <definedName name="Excel_BuiltIn_Print_Area_2_6" localSheetId="2">#REF!</definedName>
    <definedName name="Excel_BuiltIn_Print_Area_2_6" localSheetId="3">#REF!</definedName>
    <definedName name="Excel_BuiltIn_Print_Area_2_6" localSheetId="8">#REF!</definedName>
    <definedName name="Excel_BuiltIn_Print_Area_2_6" localSheetId="9">#REF!</definedName>
    <definedName name="Excel_BuiltIn_Print_Area_2_6">#REF!</definedName>
    <definedName name="Excel_BuiltIn_Print_Titles_6">'[3]4.B-C. sz. melléklet'!#REF!</definedName>
    <definedName name="fff">#REF!</definedName>
    <definedName name="_xlnm.Print_Titles" localSheetId="11">'11. sz. melléklet'!$5:$5</definedName>
    <definedName name="_xlnm.Print_Titles" localSheetId="12">'12. sz. melléklet'!$5:$5</definedName>
    <definedName name="_xlnm.Print_Titles" localSheetId="4">'5. sz. melléklet - Önkormányzat'!$5:$7</definedName>
    <definedName name="_xlnm.Print_Area" localSheetId="0">'1. sz. melléklet'!$A$1:$J$62</definedName>
    <definedName name="_xlnm.Print_Area" localSheetId="10">'10. sz. melléklet'!$A$3:$G$61</definedName>
    <definedName name="_xlnm.Print_Area" localSheetId="11">'11. sz. melléklet'!$A$1:$D$116</definedName>
    <definedName name="_xlnm.Print_Area" localSheetId="12">'12. sz. melléklet'!$A$1:$D$121</definedName>
    <definedName name="_xlnm.Print_Area" localSheetId="13">'13. sz. melléklet'!$A$1:$D$46</definedName>
    <definedName name="_xlnm.Print_Area" localSheetId="14">'14. sz. melléklet'!$A$1:$N$74</definedName>
    <definedName name="_xlnm.Print_Area" localSheetId="15">'15. sz. melléklet'!$A$1:$H$31</definedName>
    <definedName name="_xlnm.Print_Area" localSheetId="16">'16. sz. melléklet'!$A$1:$J$35</definedName>
    <definedName name="_xlnm.Print_Area" localSheetId="17">'17. sz. melléklet'!$A$1:$I$80</definedName>
    <definedName name="_xlnm.Print_Area" localSheetId="18">'18. sz. melléklet'!$A$1:$D$59</definedName>
    <definedName name="_xlnm.Print_Area" localSheetId="1">'2. sz. melléklet'!$A$1:$H$68</definedName>
    <definedName name="_xlnm.Print_Area" localSheetId="2">'3. sz. melléklet'!$A$1:$P$56</definedName>
    <definedName name="_xlnm.Print_Area" localSheetId="3">'4.sz. melléklet'!$C$1:$R$33</definedName>
    <definedName name="_xlnm.Print_Area" localSheetId="4">'5. sz. melléklet - Önkormányzat'!$A$1:$R$232</definedName>
    <definedName name="_xlnm.Print_Area" localSheetId="6">'6. sz. melléklet'!#REF!</definedName>
    <definedName name="_xlnm.Print_Area" localSheetId="8">'8. sz. melléklet'!#REF!</definedName>
    <definedName name="_xlnm.Print_Area" localSheetId="9">'9. sz. melléklet'!$A$1:$D$66</definedName>
    <definedName name="SHARED_FORMULA_1_10_1_10_2" localSheetId="11">SUM(#REF!,#REF!,#REF!,#REF!,#REF!,#REF!)</definedName>
    <definedName name="SHARED_FORMULA_1_10_1_10_2" localSheetId="12">SUM(#REF!,#REF!,#REF!,#REF!,#REF!,#REF!)</definedName>
    <definedName name="SHARED_FORMULA_1_10_1_10_2" localSheetId="8">SUM(#REF!,#REF!,#REF!,#REF!,#REF!,#REF!)</definedName>
    <definedName name="SHARED_FORMULA_1_10_1_10_2" localSheetId="9">SUM(#REF!,#REF!,#REF!,#REF!,#REF!,#REF!)</definedName>
    <definedName name="SHARED_FORMULA_1_10_1_10_2">SUM(#REF!,#REF!,#REF!,#REF!,#REF!,#REF!)</definedName>
    <definedName name="SHARED_FORMULA_1_26_1_26_2" localSheetId="11">SUM(#REF!,#REF!,#REF!)</definedName>
    <definedName name="SHARED_FORMULA_1_26_1_26_2" localSheetId="12">SUM(#REF!,#REF!,#REF!)</definedName>
    <definedName name="SHARED_FORMULA_1_26_1_26_2" localSheetId="8">SUM(#REF!,#REF!,#REF!)</definedName>
    <definedName name="SHARED_FORMULA_1_26_1_26_2" localSheetId="9">SUM(#REF!,#REF!,#REF!)</definedName>
    <definedName name="SHARED_FORMULA_1_26_1_26_2">SUM(#REF!,#REF!,#REF!)</definedName>
    <definedName name="SHARED_FORMULA_1_38_1_38_8" localSheetId="11">SUM(#REF!)</definedName>
    <definedName name="SHARED_FORMULA_1_38_1_38_8" localSheetId="12">SUM(#REF!)</definedName>
    <definedName name="SHARED_FORMULA_1_38_1_38_8" localSheetId="8">SUM(#REF!)</definedName>
    <definedName name="SHARED_FORMULA_1_38_1_38_8" localSheetId="9">SUM(#REF!)</definedName>
    <definedName name="SHARED_FORMULA_1_38_1_38_8">SUM(#REF!)</definedName>
    <definedName name="SHARED_FORMULA_1_42_1_42_8" localSheetId="11">SUM(#REF!,#REF!)</definedName>
    <definedName name="SHARED_FORMULA_1_42_1_42_8" localSheetId="12">SUM(#REF!,#REF!)</definedName>
    <definedName name="SHARED_FORMULA_1_42_1_42_8" localSheetId="8">SUM(#REF!,#REF!)</definedName>
    <definedName name="SHARED_FORMULA_1_42_1_42_8" localSheetId="9">SUM(#REF!,#REF!)</definedName>
    <definedName name="SHARED_FORMULA_1_42_1_42_8">SUM(#REF!,#REF!)</definedName>
    <definedName name="SHARED_FORMULA_10_41_10_41_2" localSheetId="11">SUM(#REF!+#REF!+#REF!)</definedName>
    <definedName name="SHARED_FORMULA_10_41_10_41_2" localSheetId="12">SUM(#REF!+#REF!+#REF!)</definedName>
    <definedName name="SHARED_FORMULA_10_41_10_41_2" localSheetId="8">SUM(#REF!+#REF!+#REF!)</definedName>
    <definedName name="SHARED_FORMULA_10_41_10_41_2" localSheetId="9">SUM(#REF!+#REF!+#REF!)</definedName>
    <definedName name="SHARED_FORMULA_10_41_10_41_2">SUM(#REF!+#REF!+#REF!)</definedName>
    <definedName name="SHARED_FORMULA_10_5_10_5_2" localSheetId="11">SUM(#REF!+#REF!+#REF!)</definedName>
    <definedName name="SHARED_FORMULA_10_5_10_5_2" localSheetId="12">SUM(#REF!+#REF!+#REF!)</definedName>
    <definedName name="SHARED_FORMULA_10_5_10_5_2" localSheetId="8">SUM(#REF!+#REF!+#REF!)</definedName>
    <definedName name="SHARED_FORMULA_10_5_10_5_2" localSheetId="9">SUM(#REF!+#REF!+#REF!)</definedName>
    <definedName name="SHARED_FORMULA_10_5_10_5_2">SUM(#REF!+#REF!+#REF!)</definedName>
    <definedName name="SHARED_FORMULA_11_40_11_40_2" localSheetId="11">SUM(#REF!+#REF!+#REF!)</definedName>
    <definedName name="SHARED_FORMULA_11_40_11_40_2" localSheetId="12">SUM(#REF!+#REF!+#REF!)</definedName>
    <definedName name="SHARED_FORMULA_11_40_11_40_2" localSheetId="8">SUM(#REF!+#REF!+#REF!)</definedName>
    <definedName name="SHARED_FORMULA_11_40_11_40_2" localSheetId="9">SUM(#REF!+#REF!+#REF!)</definedName>
    <definedName name="SHARED_FORMULA_11_40_11_40_2">SUM(#REF!+#REF!+#REF!)</definedName>
    <definedName name="SHARED_FORMULA_11_5_11_5_2" localSheetId="11">SUM(#REF!+#REF!+#REF!)</definedName>
    <definedName name="SHARED_FORMULA_11_5_11_5_2" localSheetId="12">SUM(#REF!+#REF!+#REF!)</definedName>
    <definedName name="SHARED_FORMULA_11_5_11_5_2" localSheetId="8">SUM(#REF!+#REF!+#REF!)</definedName>
    <definedName name="SHARED_FORMULA_11_5_11_5_2" localSheetId="9">SUM(#REF!+#REF!+#REF!)</definedName>
    <definedName name="SHARED_FORMULA_11_5_11_5_2">SUM(#REF!+#REF!+#REF!)</definedName>
    <definedName name="SHARED_FORMULA_12_13_12_13_3" localSheetId="11">SUM(#REF!+#REF!+#REF!)</definedName>
    <definedName name="SHARED_FORMULA_12_13_12_13_3" localSheetId="12">SUM(#REF!+#REF!+#REF!)</definedName>
    <definedName name="SHARED_FORMULA_12_13_12_13_3" localSheetId="8">SUM(#REF!+#REF!+#REF!)</definedName>
    <definedName name="SHARED_FORMULA_12_13_12_13_3" localSheetId="9">SUM(#REF!+#REF!+#REF!)</definedName>
    <definedName name="SHARED_FORMULA_12_13_12_13_3">SUM(#REF!+#REF!+#REF!)</definedName>
    <definedName name="SHARED_FORMULA_12_133_12_133_5" localSheetId="11">SUM(#REF!)-#REF!-#REF!-#REF!</definedName>
    <definedName name="SHARED_FORMULA_12_133_12_133_5" localSheetId="12">SUM(#REF!)-#REF!-#REF!-#REF!</definedName>
    <definedName name="SHARED_FORMULA_12_133_12_133_5" localSheetId="8">SUM(#REF!)-#REF!-#REF!-#REF!</definedName>
    <definedName name="SHARED_FORMULA_12_133_12_133_5" localSheetId="9">SUM(#REF!)-#REF!-#REF!-#REF!</definedName>
    <definedName name="SHARED_FORMULA_12_133_12_133_5">SUM(#REF!)-#REF!-#REF!-#REF!</definedName>
    <definedName name="SHARED_FORMULA_12_40_12_40_2" localSheetId="11">SUM(#REF!+#REF!+#REF!)</definedName>
    <definedName name="SHARED_FORMULA_12_40_12_40_2" localSheetId="12">SUM(#REF!+#REF!+#REF!)</definedName>
    <definedName name="SHARED_FORMULA_12_40_12_40_2" localSheetId="8">SUM(#REF!+#REF!+#REF!)</definedName>
    <definedName name="SHARED_FORMULA_12_40_12_40_2" localSheetId="9">SUM(#REF!+#REF!+#REF!)</definedName>
    <definedName name="SHARED_FORMULA_12_40_12_40_2">SUM(#REF!+#REF!+#REF!)</definedName>
    <definedName name="SHARED_FORMULA_12_5_12_5_2" localSheetId="11">SUM(#REF!+#REF!+#REF!)</definedName>
    <definedName name="SHARED_FORMULA_12_5_12_5_2" localSheetId="12">SUM(#REF!+#REF!+#REF!)</definedName>
    <definedName name="SHARED_FORMULA_12_5_12_5_2" localSheetId="8">SUM(#REF!+#REF!+#REF!)</definedName>
    <definedName name="SHARED_FORMULA_12_5_12_5_2" localSheetId="9">SUM(#REF!+#REF!+#REF!)</definedName>
    <definedName name="SHARED_FORMULA_12_5_12_5_2">SUM(#REF!+#REF!+#REF!)</definedName>
    <definedName name="SHARED_FORMULA_12_5_12_5_3" localSheetId="11">SUM(#REF!+#REF!+#REF!)</definedName>
    <definedName name="SHARED_FORMULA_12_5_12_5_3" localSheetId="12">SUM(#REF!+#REF!+#REF!)</definedName>
    <definedName name="SHARED_FORMULA_12_5_12_5_3" localSheetId="8">SUM(#REF!+#REF!+#REF!)</definedName>
    <definedName name="SHARED_FORMULA_12_5_12_5_3" localSheetId="9">SUM(#REF!+#REF!+#REF!)</definedName>
    <definedName name="SHARED_FORMULA_12_5_12_5_3">SUM(#REF!+#REF!+#REF!)</definedName>
    <definedName name="SHARED_FORMULA_12_6_12_6_0" localSheetId="11">#REF!/#REF!*100</definedName>
    <definedName name="SHARED_FORMULA_12_6_12_6_0" localSheetId="12">#REF!/#REF!*100</definedName>
    <definedName name="SHARED_FORMULA_12_6_12_6_0" localSheetId="8">#REF!/#REF!*100</definedName>
    <definedName name="SHARED_FORMULA_12_6_12_6_0" localSheetId="9">#REF!/#REF!*100</definedName>
    <definedName name="SHARED_FORMULA_12_6_12_6_0">#REF!/#REF!*100</definedName>
    <definedName name="SHARED_FORMULA_13_105_13_105_5" localSheetId="11">SUM(#REF!)-#REF!</definedName>
    <definedName name="SHARED_FORMULA_13_105_13_105_5" localSheetId="12">SUM(#REF!)-#REF!</definedName>
    <definedName name="SHARED_FORMULA_13_105_13_105_5" localSheetId="8">SUM(#REF!)-#REF!</definedName>
    <definedName name="SHARED_FORMULA_13_105_13_105_5" localSheetId="9">SUM(#REF!)-#REF!</definedName>
    <definedName name="SHARED_FORMULA_13_105_13_105_5">SUM(#REF!)-#REF!</definedName>
    <definedName name="SHARED_FORMULA_13_3_13_3_5" localSheetId="11">SUM(#REF!)-#REF!</definedName>
    <definedName name="SHARED_FORMULA_13_3_13_3_5" localSheetId="12">SUM(#REF!)-#REF!</definedName>
    <definedName name="SHARED_FORMULA_13_3_13_3_5" localSheetId="8">SUM(#REF!)-#REF!</definedName>
    <definedName name="SHARED_FORMULA_13_3_13_3_5" localSheetId="9">SUM(#REF!)-#REF!</definedName>
    <definedName name="SHARED_FORMULA_13_3_13_3_5">SUM(#REF!)-#REF!</definedName>
    <definedName name="SHARED_FORMULA_13_41_13_41_5" localSheetId="11">SUM(#REF!)-#REF!</definedName>
    <definedName name="SHARED_FORMULA_13_41_13_41_5" localSheetId="12">SUM(#REF!)-#REF!</definedName>
    <definedName name="SHARED_FORMULA_13_41_13_41_5" localSheetId="8">SUM(#REF!)-#REF!</definedName>
    <definedName name="SHARED_FORMULA_13_41_13_41_5" localSheetId="9">SUM(#REF!)-#REF!</definedName>
    <definedName name="SHARED_FORMULA_13_41_13_41_5">SUM(#REF!)-#REF!</definedName>
    <definedName name="SHARED_FORMULA_13_73_13_73_5" localSheetId="11">SUM(#REF!)-#REF!</definedName>
    <definedName name="SHARED_FORMULA_13_73_13_73_5" localSheetId="12">SUM(#REF!)-#REF!</definedName>
    <definedName name="SHARED_FORMULA_13_73_13_73_5" localSheetId="8">SUM(#REF!)-#REF!</definedName>
    <definedName name="SHARED_FORMULA_13_73_13_73_5" localSheetId="9">SUM(#REF!)-#REF!</definedName>
    <definedName name="SHARED_FORMULA_13_73_13_73_5">SUM(#REF!)-#REF!</definedName>
    <definedName name="SHARED_FORMULA_13_9_13_9_3" localSheetId="11">SUM(#REF!+#REF!+#REF!)</definedName>
    <definedName name="SHARED_FORMULA_13_9_13_9_3" localSheetId="12">SUM(#REF!+#REF!+#REF!)</definedName>
    <definedName name="SHARED_FORMULA_13_9_13_9_3" localSheetId="8">SUM(#REF!+#REF!+#REF!)</definedName>
    <definedName name="SHARED_FORMULA_13_9_13_9_3" localSheetId="9">SUM(#REF!+#REF!+#REF!)</definedName>
    <definedName name="SHARED_FORMULA_13_9_13_9_3">SUM(#REF!+#REF!+#REF!)</definedName>
    <definedName name="SHARED_FORMULA_14_102_14_102_5" localSheetId="11">#REF!</definedName>
    <definedName name="SHARED_FORMULA_14_102_14_102_5" localSheetId="12">#REF!</definedName>
    <definedName name="SHARED_FORMULA_14_102_14_102_5" localSheetId="8">#REF!</definedName>
    <definedName name="SHARED_FORMULA_14_102_14_102_5" localSheetId="9">#REF!</definedName>
    <definedName name="SHARED_FORMULA_14_102_14_102_5">#REF!</definedName>
    <definedName name="SHARED_FORMULA_14_121_14_121_5" localSheetId="11">#REF!+#REF!+#REF!+#REF!</definedName>
    <definedName name="SHARED_FORMULA_14_121_14_121_5" localSheetId="12">#REF!+#REF!+#REF!+#REF!</definedName>
    <definedName name="SHARED_FORMULA_14_121_14_121_5" localSheetId="8">#REF!+#REF!+#REF!+#REF!</definedName>
    <definedName name="SHARED_FORMULA_14_121_14_121_5" localSheetId="9">#REF!+#REF!+#REF!+#REF!</definedName>
    <definedName name="SHARED_FORMULA_14_121_14_121_5">#REF!+#REF!+#REF!+#REF!</definedName>
    <definedName name="SHARED_FORMULA_14_131_14_131_5" localSheetId="11">#REF!+#REF!+#REF!+#REF!+#REF!+#REF!+#REF!+#REF!+#REF!+#REF!+#REF!+#REF!+#REF!+#REF!+#REF!+#REF!+#REF!+#REF!+#REF!+#REF!+#REF!+#REF!+#REF!</definedName>
    <definedName name="SHARED_FORMULA_14_131_14_131_5" localSheetId="12">#REF!+#REF!+#REF!+#REF!+#REF!+#REF!+#REF!+#REF!+#REF!+#REF!+#REF!+#REF!+#REF!+#REF!+#REF!+#REF!+#REF!+#REF!+#REF!+#REF!+#REF!+#REF!+#REF!</definedName>
    <definedName name="SHARED_FORMULA_14_131_14_131_5" localSheetId="8">#REF!+#REF!+#REF!+#REF!+#REF!+#REF!+#REF!+#REF!+#REF!+#REF!+#REF!+#REF!+#REF!+#REF!+#REF!+#REF!+#REF!+#REF!+#REF!+#REF!+#REF!+#REF!+#REF!</definedName>
    <definedName name="SHARED_FORMULA_14_131_14_131_5" localSheetId="9">#REF!+#REF!+#REF!+#REF!+#REF!+#REF!+#REF!+#REF!+#REF!+#REF!+#REF!+#REF!+#REF!+#REF!+#REF!+#REF!+#REF!+#REF!+#REF!+#REF!+#REF!+#REF!+#REF!</definedName>
    <definedName name="SHARED_FORMULA_14_131_14_131_5">#REF!+#REF!+#REF!+#REF!+#REF!+#REF!+#REF!+#REF!+#REF!+#REF!+#REF!+#REF!+#REF!+#REF!+#REF!+#REF!+#REF!+#REF!+#REF!+#REF!+#REF!+#REF!+#REF!</definedName>
    <definedName name="SHARED_FORMULA_14_150_14_150_5" localSheetId="11">#REF!+#REF!</definedName>
    <definedName name="SHARED_FORMULA_14_150_14_150_5" localSheetId="12">#REF!+#REF!</definedName>
    <definedName name="SHARED_FORMULA_14_150_14_150_5" localSheetId="8">#REF!+#REF!</definedName>
    <definedName name="SHARED_FORMULA_14_150_14_150_5" localSheetId="9">#REF!+#REF!</definedName>
    <definedName name="SHARED_FORMULA_14_150_14_150_5">#REF!+#REF!</definedName>
    <definedName name="SHARED_FORMULA_14_151_14_151_5" localSheetId="11">#REF!-#REF!</definedName>
    <definedName name="SHARED_FORMULA_14_151_14_151_5" localSheetId="12">#REF!-#REF!</definedName>
    <definedName name="SHARED_FORMULA_14_151_14_151_5" localSheetId="8">#REF!-#REF!</definedName>
    <definedName name="SHARED_FORMULA_14_151_14_151_5" localSheetId="9">#REF!-#REF!</definedName>
    <definedName name="SHARED_FORMULA_14_151_14_151_5">#REF!-#REF!</definedName>
    <definedName name="SHARED_FORMULA_14_71_14_71_5" localSheetId="11">#REF!+#REF!+#REF!+#REF!</definedName>
    <definedName name="SHARED_FORMULA_14_71_14_71_5" localSheetId="12">#REF!+#REF!+#REF!+#REF!</definedName>
    <definedName name="SHARED_FORMULA_14_71_14_71_5" localSheetId="8">#REF!+#REF!+#REF!+#REF!</definedName>
    <definedName name="SHARED_FORMULA_14_71_14_71_5" localSheetId="9">#REF!+#REF!+#REF!+#REF!</definedName>
    <definedName name="SHARED_FORMULA_14_71_14_71_5">#REF!+#REF!+#REF!+#REF!</definedName>
    <definedName name="SHARED_FORMULA_14_72_14_72_5" localSheetId="11">#REF!+#REF!+#REF!+#REF!</definedName>
    <definedName name="SHARED_FORMULA_14_72_14_72_5" localSheetId="12">#REF!+#REF!+#REF!+#REF!</definedName>
    <definedName name="SHARED_FORMULA_14_72_14_72_5" localSheetId="8">#REF!+#REF!+#REF!+#REF!</definedName>
    <definedName name="SHARED_FORMULA_14_72_14_72_5" localSheetId="9">#REF!+#REF!+#REF!+#REF!</definedName>
    <definedName name="SHARED_FORMULA_14_72_14_72_5">#REF!+#REF!+#REF!+#REF!</definedName>
    <definedName name="SHARED_FORMULA_14_73_14_73_5" localSheetId="11">#REF!+#REF!+#REF!+#REF!</definedName>
    <definedName name="SHARED_FORMULA_14_73_14_73_5" localSheetId="12">#REF!+#REF!+#REF!+#REF!</definedName>
    <definedName name="SHARED_FORMULA_14_73_14_73_5" localSheetId="8">#REF!+#REF!+#REF!+#REF!</definedName>
    <definedName name="SHARED_FORMULA_14_73_14_73_5" localSheetId="9">#REF!+#REF!+#REF!+#REF!</definedName>
    <definedName name="SHARED_FORMULA_14_73_14_73_5">#REF!+#REF!+#REF!+#REF!</definedName>
    <definedName name="SHARED_FORMULA_14_74_14_74_5" localSheetId="11">#REF!+#REF!+#REF!+#REF!</definedName>
    <definedName name="SHARED_FORMULA_14_74_14_74_5" localSheetId="12">#REF!+#REF!+#REF!+#REF!</definedName>
    <definedName name="SHARED_FORMULA_14_74_14_74_5" localSheetId="8">#REF!+#REF!+#REF!+#REF!</definedName>
    <definedName name="SHARED_FORMULA_14_74_14_74_5" localSheetId="9">#REF!+#REF!+#REF!+#REF!</definedName>
    <definedName name="SHARED_FORMULA_14_74_14_74_5">#REF!+#REF!+#REF!+#REF!</definedName>
    <definedName name="SHARED_FORMULA_14_75_14_75_5" localSheetId="11">#REF!+#REF!+#REF!+#REF!</definedName>
    <definedName name="SHARED_FORMULA_14_75_14_75_5" localSheetId="12">#REF!+#REF!+#REF!+#REF!</definedName>
    <definedName name="SHARED_FORMULA_14_75_14_75_5" localSheetId="8">#REF!+#REF!+#REF!+#REF!</definedName>
    <definedName name="SHARED_FORMULA_14_75_14_75_5" localSheetId="9">#REF!+#REF!+#REF!+#REF!</definedName>
    <definedName name="SHARED_FORMULA_14_75_14_75_5">#REF!+#REF!+#REF!+#REF!</definedName>
    <definedName name="SHARED_FORMULA_14_86_14_86_5" localSheetId="11">#REF!+#REF!</definedName>
    <definedName name="SHARED_FORMULA_14_86_14_86_5" localSheetId="12">#REF!+#REF!</definedName>
    <definedName name="SHARED_FORMULA_14_86_14_86_5" localSheetId="8">#REF!+#REF!</definedName>
    <definedName name="SHARED_FORMULA_14_86_14_86_5" localSheetId="9">#REF!+#REF!</definedName>
    <definedName name="SHARED_FORMULA_14_86_14_86_5">#REF!+#REF!</definedName>
    <definedName name="SHARED_FORMULA_14_9_14_9_3" localSheetId="11">SUM(#REF!+#REF!+#REF!)</definedName>
    <definedName name="SHARED_FORMULA_14_9_14_9_3" localSheetId="12">SUM(#REF!+#REF!+#REF!)</definedName>
    <definedName name="SHARED_FORMULA_14_9_14_9_3" localSheetId="8">SUM(#REF!+#REF!+#REF!)</definedName>
    <definedName name="SHARED_FORMULA_14_9_14_9_3" localSheetId="9">SUM(#REF!+#REF!+#REF!)</definedName>
    <definedName name="SHARED_FORMULA_14_9_14_9_3">SUM(#REF!+#REF!+#REF!)</definedName>
    <definedName name="SHARED_FORMULA_16_112_16_112_5" localSheetId="11">#REF!</definedName>
    <definedName name="SHARED_FORMULA_16_112_16_112_5" localSheetId="12">#REF!</definedName>
    <definedName name="SHARED_FORMULA_16_112_16_112_5" localSheetId="8">#REF!</definedName>
    <definedName name="SHARED_FORMULA_16_112_16_112_5" localSheetId="9">#REF!</definedName>
    <definedName name="SHARED_FORMULA_16_112_16_112_5">#REF!</definedName>
    <definedName name="SHARED_FORMULA_17_108_17_108_5" localSheetId="11">#REF!</definedName>
    <definedName name="SHARED_FORMULA_17_108_17_108_5" localSheetId="12">#REF!</definedName>
    <definedName name="SHARED_FORMULA_17_108_17_108_5" localSheetId="8">#REF!</definedName>
    <definedName name="SHARED_FORMULA_17_108_17_108_5" localSheetId="9">#REF!</definedName>
    <definedName name="SHARED_FORMULA_17_108_17_108_5">#REF!</definedName>
    <definedName name="SHARED_FORMULA_17_117_17_117_5" localSheetId="11">#REF!</definedName>
    <definedName name="SHARED_FORMULA_17_117_17_117_5" localSheetId="12">#REF!</definedName>
    <definedName name="SHARED_FORMULA_17_117_17_117_5" localSheetId="8">#REF!</definedName>
    <definedName name="SHARED_FORMULA_17_117_17_117_5" localSheetId="9">#REF!</definedName>
    <definedName name="SHARED_FORMULA_17_117_17_117_5">#REF!</definedName>
    <definedName name="SHARED_FORMULA_17_127_17_127_5" localSheetId="11">#REF!</definedName>
    <definedName name="SHARED_FORMULA_17_127_17_127_5" localSheetId="12">#REF!</definedName>
    <definedName name="SHARED_FORMULA_17_127_17_127_5" localSheetId="8">#REF!</definedName>
    <definedName name="SHARED_FORMULA_17_127_17_127_5" localSheetId="9">#REF!</definedName>
    <definedName name="SHARED_FORMULA_17_127_17_127_5">#REF!</definedName>
    <definedName name="SHARED_FORMULA_17_22_17_22_5" localSheetId="11">#REF!</definedName>
    <definedName name="SHARED_FORMULA_17_22_17_22_5" localSheetId="12">#REF!</definedName>
    <definedName name="SHARED_FORMULA_17_22_17_22_5" localSheetId="8">#REF!</definedName>
    <definedName name="SHARED_FORMULA_17_22_17_22_5" localSheetId="9">#REF!</definedName>
    <definedName name="SHARED_FORMULA_17_22_17_22_5">#REF!</definedName>
    <definedName name="SHARED_FORMULA_17_27_17_27_5" localSheetId="11">#REF!</definedName>
    <definedName name="SHARED_FORMULA_17_27_17_27_5" localSheetId="12">#REF!</definedName>
    <definedName name="SHARED_FORMULA_17_27_17_27_5" localSheetId="8">#REF!</definedName>
    <definedName name="SHARED_FORMULA_17_27_17_27_5" localSheetId="9">#REF!</definedName>
    <definedName name="SHARED_FORMULA_17_27_17_27_5">#REF!</definedName>
    <definedName name="SHARED_FORMULA_17_32_17_32_5" localSheetId="11">#REF!</definedName>
    <definedName name="SHARED_FORMULA_17_32_17_32_5" localSheetId="12">#REF!</definedName>
    <definedName name="SHARED_FORMULA_17_32_17_32_5" localSheetId="8">#REF!</definedName>
    <definedName name="SHARED_FORMULA_17_32_17_32_5" localSheetId="9">#REF!</definedName>
    <definedName name="SHARED_FORMULA_17_32_17_32_5">#REF!</definedName>
    <definedName name="SHARED_FORMULA_17_37_17_37_5" localSheetId="11">#REF!</definedName>
    <definedName name="SHARED_FORMULA_17_37_17_37_5" localSheetId="12">#REF!</definedName>
    <definedName name="SHARED_FORMULA_17_37_17_37_5" localSheetId="8">#REF!</definedName>
    <definedName name="SHARED_FORMULA_17_37_17_37_5" localSheetId="9">#REF!</definedName>
    <definedName name="SHARED_FORMULA_17_37_17_37_5">#REF!</definedName>
    <definedName name="SHARED_FORMULA_17_4_17_4_5" localSheetId="11">#REF!</definedName>
    <definedName name="SHARED_FORMULA_17_4_17_4_5" localSheetId="12">#REF!</definedName>
    <definedName name="SHARED_FORMULA_17_4_17_4_5" localSheetId="8">#REF!</definedName>
    <definedName name="SHARED_FORMULA_17_4_17_4_5" localSheetId="9">#REF!</definedName>
    <definedName name="SHARED_FORMULA_17_4_17_4_5">#REF!</definedName>
    <definedName name="SHARED_FORMULA_17_43_17_43_5" localSheetId="11">#REF!</definedName>
    <definedName name="SHARED_FORMULA_17_43_17_43_5" localSheetId="12">#REF!</definedName>
    <definedName name="SHARED_FORMULA_17_43_17_43_5" localSheetId="8">#REF!</definedName>
    <definedName name="SHARED_FORMULA_17_43_17_43_5" localSheetId="9">#REF!</definedName>
    <definedName name="SHARED_FORMULA_17_43_17_43_5">#REF!</definedName>
    <definedName name="SHARED_FORMULA_17_47_17_47_5" localSheetId="11">#REF!</definedName>
    <definedName name="SHARED_FORMULA_17_47_17_47_5" localSheetId="12">#REF!</definedName>
    <definedName name="SHARED_FORMULA_17_47_17_47_5" localSheetId="8">#REF!</definedName>
    <definedName name="SHARED_FORMULA_17_47_17_47_5" localSheetId="9">#REF!</definedName>
    <definedName name="SHARED_FORMULA_17_47_17_47_5">#REF!</definedName>
    <definedName name="SHARED_FORMULA_17_52_17_52_5" localSheetId="11">#REF!</definedName>
    <definedName name="SHARED_FORMULA_17_52_17_52_5" localSheetId="12">#REF!</definedName>
    <definedName name="SHARED_FORMULA_17_52_17_52_5" localSheetId="8">#REF!</definedName>
    <definedName name="SHARED_FORMULA_17_52_17_52_5" localSheetId="9">#REF!</definedName>
    <definedName name="SHARED_FORMULA_17_52_17_52_5">#REF!</definedName>
    <definedName name="SHARED_FORMULA_17_57_17_57_5" localSheetId="11">#REF!</definedName>
    <definedName name="SHARED_FORMULA_17_57_17_57_5" localSheetId="12">#REF!</definedName>
    <definedName name="SHARED_FORMULA_17_57_17_57_5" localSheetId="8">#REF!</definedName>
    <definedName name="SHARED_FORMULA_17_57_17_57_5" localSheetId="9">#REF!</definedName>
    <definedName name="SHARED_FORMULA_17_57_17_57_5">#REF!</definedName>
    <definedName name="SHARED_FORMULA_17_62_17_62_5" localSheetId="11">#REF!</definedName>
    <definedName name="SHARED_FORMULA_17_62_17_62_5" localSheetId="12">#REF!</definedName>
    <definedName name="SHARED_FORMULA_17_62_17_62_5" localSheetId="8">#REF!</definedName>
    <definedName name="SHARED_FORMULA_17_62_17_62_5" localSheetId="9">#REF!</definedName>
    <definedName name="SHARED_FORMULA_17_62_17_62_5">#REF!</definedName>
    <definedName name="SHARED_FORMULA_17_67_17_67_5" localSheetId="11">#REF!</definedName>
    <definedName name="SHARED_FORMULA_17_67_17_67_5" localSheetId="12">#REF!</definedName>
    <definedName name="SHARED_FORMULA_17_67_17_67_5" localSheetId="8">#REF!</definedName>
    <definedName name="SHARED_FORMULA_17_67_17_67_5" localSheetId="9">#REF!</definedName>
    <definedName name="SHARED_FORMULA_17_67_17_67_5">#REF!</definedName>
    <definedName name="SHARED_FORMULA_17_77_17_77_5" localSheetId="11">#REF!</definedName>
    <definedName name="SHARED_FORMULA_17_77_17_77_5" localSheetId="12">#REF!</definedName>
    <definedName name="SHARED_FORMULA_17_77_17_77_5" localSheetId="8">#REF!</definedName>
    <definedName name="SHARED_FORMULA_17_77_17_77_5" localSheetId="9">#REF!</definedName>
    <definedName name="SHARED_FORMULA_17_77_17_77_5">#REF!</definedName>
    <definedName name="SHARED_FORMULA_17_82_17_82_5" localSheetId="11">#REF!</definedName>
    <definedName name="SHARED_FORMULA_17_82_17_82_5" localSheetId="12">#REF!</definedName>
    <definedName name="SHARED_FORMULA_17_82_17_82_5" localSheetId="8">#REF!</definedName>
    <definedName name="SHARED_FORMULA_17_82_17_82_5" localSheetId="9">#REF!</definedName>
    <definedName name="SHARED_FORMULA_17_82_17_82_5">#REF!</definedName>
    <definedName name="SHARED_FORMULA_17_9_17_9_5" localSheetId="11">#REF!</definedName>
    <definedName name="SHARED_FORMULA_17_9_17_9_5" localSheetId="12">#REF!</definedName>
    <definedName name="SHARED_FORMULA_17_9_17_9_5" localSheetId="8">#REF!</definedName>
    <definedName name="SHARED_FORMULA_17_9_17_9_5" localSheetId="9">#REF!</definedName>
    <definedName name="SHARED_FORMULA_17_9_17_9_5">#REF!</definedName>
    <definedName name="SHARED_FORMULA_17_92_17_92_5" localSheetId="11">#REF!</definedName>
    <definedName name="SHARED_FORMULA_17_92_17_92_5" localSheetId="12">#REF!</definedName>
    <definedName name="SHARED_FORMULA_17_92_17_92_5" localSheetId="8">#REF!</definedName>
    <definedName name="SHARED_FORMULA_17_92_17_92_5" localSheetId="9">#REF!</definedName>
    <definedName name="SHARED_FORMULA_17_92_17_92_5">#REF!</definedName>
    <definedName name="SHARED_FORMULA_17_97_17_97_5" localSheetId="11">#REF!</definedName>
    <definedName name="SHARED_FORMULA_17_97_17_97_5" localSheetId="12">#REF!</definedName>
    <definedName name="SHARED_FORMULA_17_97_17_97_5" localSheetId="8">#REF!</definedName>
    <definedName name="SHARED_FORMULA_17_97_17_97_5" localSheetId="9">#REF!</definedName>
    <definedName name="SHARED_FORMULA_17_97_17_97_5">#REF!</definedName>
    <definedName name="SHARED_FORMULA_2_102_2_102_5" localSheetId="11">#REF!</definedName>
    <definedName name="SHARED_FORMULA_2_102_2_102_5" localSheetId="12">#REF!</definedName>
    <definedName name="SHARED_FORMULA_2_102_2_102_5" localSheetId="8">#REF!</definedName>
    <definedName name="SHARED_FORMULA_2_102_2_102_5" localSheetId="9">#REF!</definedName>
    <definedName name="SHARED_FORMULA_2_102_2_102_5">#REF!</definedName>
    <definedName name="SHARED_FORMULA_2_107_2_107_5" localSheetId="11">#REF!</definedName>
    <definedName name="SHARED_FORMULA_2_107_2_107_5" localSheetId="12">#REF!</definedName>
    <definedName name="SHARED_FORMULA_2_107_2_107_5" localSheetId="8">#REF!</definedName>
    <definedName name="SHARED_FORMULA_2_107_2_107_5" localSheetId="9">#REF!</definedName>
    <definedName name="SHARED_FORMULA_2_107_2_107_5">#REF!</definedName>
    <definedName name="SHARED_FORMULA_2_112_2_112_5" localSheetId="11">#REF!</definedName>
    <definedName name="SHARED_FORMULA_2_112_2_112_5" localSheetId="12">#REF!</definedName>
    <definedName name="SHARED_FORMULA_2_112_2_112_5" localSheetId="8">#REF!</definedName>
    <definedName name="SHARED_FORMULA_2_112_2_112_5" localSheetId="9">#REF!</definedName>
    <definedName name="SHARED_FORMULA_2_112_2_112_5">#REF!</definedName>
    <definedName name="SHARED_FORMULA_2_121_2_121_5" localSheetId="11">#REF!+#REF!+#REF!+#REF!</definedName>
    <definedName name="SHARED_FORMULA_2_121_2_121_5" localSheetId="12">#REF!+#REF!+#REF!+#REF!</definedName>
    <definedName name="SHARED_FORMULA_2_121_2_121_5" localSheetId="8">#REF!+#REF!+#REF!+#REF!</definedName>
    <definedName name="SHARED_FORMULA_2_121_2_121_5" localSheetId="9">#REF!+#REF!+#REF!+#REF!</definedName>
    <definedName name="SHARED_FORMULA_2_121_2_121_5">#REF!+#REF!+#REF!+#REF!</definedName>
    <definedName name="SHARED_FORMULA_2_122_2_122_5" localSheetId="11">#REF!+#REF!+#REF!+#REF!</definedName>
    <definedName name="SHARED_FORMULA_2_122_2_122_5" localSheetId="12">#REF!+#REF!+#REF!+#REF!</definedName>
    <definedName name="SHARED_FORMULA_2_122_2_122_5" localSheetId="8">#REF!+#REF!+#REF!+#REF!</definedName>
    <definedName name="SHARED_FORMULA_2_122_2_122_5" localSheetId="9">#REF!+#REF!+#REF!+#REF!</definedName>
    <definedName name="SHARED_FORMULA_2_122_2_122_5">#REF!+#REF!+#REF!+#REF!</definedName>
    <definedName name="SHARED_FORMULA_2_123_2_123_5" localSheetId="11">#REF!+#REF!+#REF!+#REF!</definedName>
    <definedName name="SHARED_FORMULA_2_123_2_123_5" localSheetId="12">#REF!+#REF!+#REF!+#REF!</definedName>
    <definedName name="SHARED_FORMULA_2_123_2_123_5" localSheetId="8">#REF!+#REF!+#REF!+#REF!</definedName>
    <definedName name="SHARED_FORMULA_2_123_2_123_5" localSheetId="9">#REF!+#REF!+#REF!+#REF!</definedName>
    <definedName name="SHARED_FORMULA_2_123_2_123_5">#REF!+#REF!+#REF!+#REF!</definedName>
    <definedName name="SHARED_FORMULA_2_124_2_124_5" localSheetId="11">#REF!+#REF!+#REF!+#REF!</definedName>
    <definedName name="SHARED_FORMULA_2_124_2_124_5" localSheetId="12">#REF!+#REF!+#REF!+#REF!</definedName>
    <definedName name="SHARED_FORMULA_2_124_2_124_5" localSheetId="8">#REF!+#REF!+#REF!+#REF!</definedName>
    <definedName name="SHARED_FORMULA_2_124_2_124_5" localSheetId="9">#REF!+#REF!+#REF!+#REF!</definedName>
    <definedName name="SHARED_FORMULA_2_124_2_124_5">#REF!+#REF!+#REF!+#REF!</definedName>
    <definedName name="SHARED_FORMULA_2_125_2_125_5" localSheetId="11">#REF!+#REF!+#REF!+#REF!</definedName>
    <definedName name="SHARED_FORMULA_2_125_2_125_5" localSheetId="12">#REF!+#REF!+#REF!+#REF!</definedName>
    <definedName name="SHARED_FORMULA_2_125_2_125_5" localSheetId="8">#REF!+#REF!+#REF!+#REF!</definedName>
    <definedName name="SHARED_FORMULA_2_125_2_125_5" localSheetId="9">#REF!+#REF!+#REF!+#REF!</definedName>
    <definedName name="SHARED_FORMULA_2_125_2_125_5">#REF!+#REF!+#REF!+#REF!</definedName>
    <definedName name="SHARED_FORMULA_2_127_2_127_5" localSheetId="11">#REF!</definedName>
    <definedName name="SHARED_FORMULA_2_127_2_127_5" localSheetId="12">#REF!</definedName>
    <definedName name="SHARED_FORMULA_2_127_2_127_5" localSheetId="8">#REF!</definedName>
    <definedName name="SHARED_FORMULA_2_127_2_127_5" localSheetId="9">#REF!</definedName>
    <definedName name="SHARED_FORMULA_2_127_2_127_5">#REF!</definedName>
    <definedName name="SHARED_FORMULA_2_131_2_131_5" localSheetId="11">#REF!+#REF!+#REF!+#REF!+#REF!+#REF!+#REF!+#REF!+#REF!+#REF!+#REF!+#REF!+#REF!+#REF!+#REF!+#REF!+#REF!+#REF!+#REF!+#REF!+#REF!+#REF!+#REF!</definedName>
    <definedName name="SHARED_FORMULA_2_131_2_131_5" localSheetId="12">#REF!+#REF!+#REF!+#REF!+#REF!+#REF!+#REF!+#REF!+#REF!+#REF!+#REF!+#REF!+#REF!+#REF!+#REF!+#REF!+#REF!+#REF!+#REF!+#REF!+#REF!+#REF!+#REF!</definedName>
    <definedName name="SHARED_FORMULA_2_131_2_131_5" localSheetId="8">#REF!+#REF!+#REF!+#REF!+#REF!+#REF!+#REF!+#REF!+#REF!+#REF!+#REF!+#REF!+#REF!+#REF!+#REF!+#REF!+#REF!+#REF!+#REF!+#REF!+#REF!+#REF!+#REF!</definedName>
    <definedName name="SHARED_FORMULA_2_131_2_131_5" localSheetId="9">#REF!+#REF!+#REF!+#REF!+#REF!+#REF!+#REF!+#REF!+#REF!+#REF!+#REF!+#REF!+#REF!+#REF!+#REF!+#REF!+#REF!+#REF!+#REF!+#REF!+#REF!+#REF!+#REF!</definedName>
    <definedName name="SHARED_FORMULA_2_131_2_131_5">#REF!+#REF!+#REF!+#REF!+#REF!+#REF!+#REF!+#REF!+#REF!+#REF!+#REF!+#REF!+#REF!+#REF!+#REF!+#REF!+#REF!+#REF!+#REF!+#REF!+#REF!+#REF!+#REF!</definedName>
    <definedName name="SHARED_FORMULA_2_132_2_132_5" localSheetId="11">#REF!+#REF!+#REF!+#REF!+#REF!+#REF!+#REF!+#REF!+#REF!+#REF!+#REF!+#REF!+#REF!+#REF!+#REF!+#REF!+#REF!+#REF!+#REF!+#REF!+#REF!+#REF!+#REF!</definedName>
    <definedName name="SHARED_FORMULA_2_132_2_132_5" localSheetId="12">#REF!+#REF!+#REF!+#REF!+#REF!+#REF!+#REF!+#REF!+#REF!+#REF!+#REF!+#REF!+#REF!+#REF!+#REF!+#REF!+#REF!+#REF!+#REF!+#REF!+#REF!+#REF!+#REF!</definedName>
    <definedName name="SHARED_FORMULA_2_132_2_132_5" localSheetId="8">#REF!+#REF!+#REF!+#REF!+#REF!+#REF!+#REF!+#REF!+#REF!+#REF!+#REF!+#REF!+#REF!+#REF!+#REF!+#REF!+#REF!+#REF!+#REF!+#REF!+#REF!+#REF!+#REF!</definedName>
    <definedName name="SHARED_FORMULA_2_132_2_132_5" localSheetId="9">#REF!+#REF!+#REF!+#REF!+#REF!+#REF!+#REF!+#REF!+#REF!+#REF!+#REF!+#REF!+#REF!+#REF!+#REF!+#REF!+#REF!+#REF!+#REF!+#REF!+#REF!+#REF!+#REF!</definedName>
    <definedName name="SHARED_FORMULA_2_132_2_132_5">#REF!+#REF!+#REF!+#REF!+#REF!+#REF!+#REF!+#REF!+#REF!+#REF!+#REF!+#REF!+#REF!+#REF!+#REF!+#REF!+#REF!+#REF!+#REF!+#REF!+#REF!+#REF!+#REF!</definedName>
    <definedName name="SHARED_FORMULA_2_134_2_134_5" localSheetId="11">#REF!+#REF!+#REF!+#REF!+#REF!+#REF!+#REF!+#REF!+#REF!+#REF!+#REF!+#REF!+#REF!+#REF!+#REF!+#REF!+#REF!+#REF!+#REF!+#REF!+#REF!+#REF!+#REF!</definedName>
    <definedName name="SHARED_FORMULA_2_134_2_134_5" localSheetId="12">#REF!+#REF!+#REF!+#REF!+#REF!+#REF!+#REF!+#REF!+#REF!+#REF!+#REF!+#REF!+#REF!+#REF!+#REF!+#REF!+#REF!+#REF!+#REF!+#REF!+#REF!+#REF!+#REF!</definedName>
    <definedName name="SHARED_FORMULA_2_134_2_134_5" localSheetId="8">#REF!+#REF!+#REF!+#REF!+#REF!+#REF!+#REF!+#REF!+#REF!+#REF!+#REF!+#REF!+#REF!+#REF!+#REF!+#REF!+#REF!+#REF!+#REF!+#REF!+#REF!+#REF!+#REF!</definedName>
    <definedName name="SHARED_FORMULA_2_134_2_134_5" localSheetId="9">#REF!+#REF!+#REF!+#REF!+#REF!+#REF!+#REF!+#REF!+#REF!+#REF!+#REF!+#REF!+#REF!+#REF!+#REF!+#REF!+#REF!+#REF!+#REF!+#REF!+#REF!+#REF!+#REF!</definedName>
    <definedName name="SHARED_FORMULA_2_134_2_134_5">#REF!+#REF!+#REF!+#REF!+#REF!+#REF!+#REF!+#REF!+#REF!+#REF!+#REF!+#REF!+#REF!+#REF!+#REF!+#REF!+#REF!+#REF!+#REF!+#REF!+#REF!+#REF!+#REF!</definedName>
    <definedName name="SHARED_FORMULA_2_137_2_137_5" localSheetId="11">#REF!+#REF!+#REF!+#REF!+#REF!+#REF!+#REF!+#REF!+#REF!+#REF!+#REF!+#REF!+#REF!+#REF!+#REF!+#REF!+#REF!+#REF!+#REF!+#REF!+#REF!+#REF!+#REF!</definedName>
    <definedName name="SHARED_FORMULA_2_137_2_137_5" localSheetId="12">#REF!+#REF!+#REF!+#REF!+#REF!+#REF!+#REF!+#REF!+#REF!+#REF!+#REF!+#REF!+#REF!+#REF!+#REF!+#REF!+#REF!+#REF!+#REF!+#REF!+#REF!+#REF!+#REF!</definedName>
    <definedName name="SHARED_FORMULA_2_137_2_137_5" localSheetId="8">#REF!+#REF!+#REF!+#REF!+#REF!+#REF!+#REF!+#REF!+#REF!+#REF!+#REF!+#REF!+#REF!+#REF!+#REF!+#REF!+#REF!+#REF!+#REF!+#REF!+#REF!+#REF!+#REF!</definedName>
    <definedName name="SHARED_FORMULA_2_137_2_137_5" localSheetId="9">#REF!+#REF!+#REF!+#REF!+#REF!+#REF!+#REF!+#REF!+#REF!+#REF!+#REF!+#REF!+#REF!+#REF!+#REF!+#REF!+#REF!+#REF!+#REF!+#REF!+#REF!+#REF!+#REF!</definedName>
    <definedName name="SHARED_FORMULA_2_137_2_137_5">#REF!+#REF!+#REF!+#REF!+#REF!+#REF!+#REF!+#REF!+#REF!+#REF!+#REF!+#REF!+#REF!+#REF!+#REF!+#REF!+#REF!+#REF!+#REF!+#REF!+#REF!+#REF!+#REF!</definedName>
    <definedName name="SHARED_FORMULA_2_14_2_14_5" localSheetId="11">#REF!</definedName>
    <definedName name="SHARED_FORMULA_2_14_2_14_5" localSheetId="12">#REF!</definedName>
    <definedName name="SHARED_FORMULA_2_14_2_14_5" localSheetId="8">#REF!</definedName>
    <definedName name="SHARED_FORMULA_2_14_2_14_5" localSheetId="9">#REF!</definedName>
    <definedName name="SHARED_FORMULA_2_14_2_14_5">#REF!</definedName>
    <definedName name="SHARED_FORMULA_2_140_2_140_5" localSheetId="11">#REF!+#REF!+#REF!+#REF!+#REF!+#REF!+#REF!+#REF!+#REF!+#REF!+#REF!+#REF!+#REF!+#REF!+#REF!+#REF!+#REF!+#REF!+#REF!+#REF!+#REF!+#REF!</definedName>
    <definedName name="SHARED_FORMULA_2_140_2_140_5" localSheetId="12">#REF!+#REF!+#REF!+#REF!+#REF!+#REF!+#REF!+#REF!+#REF!+#REF!+#REF!+#REF!+#REF!+#REF!+#REF!+#REF!+#REF!+#REF!+#REF!+#REF!+#REF!+#REF!</definedName>
    <definedName name="SHARED_FORMULA_2_140_2_140_5" localSheetId="8">#REF!+#REF!+#REF!+#REF!+#REF!+#REF!+#REF!+#REF!+#REF!+#REF!+#REF!+#REF!+#REF!+#REF!+#REF!+#REF!+#REF!+#REF!+#REF!+#REF!+#REF!+#REF!</definedName>
    <definedName name="SHARED_FORMULA_2_140_2_140_5" localSheetId="9">#REF!+#REF!+#REF!+#REF!+#REF!+#REF!+#REF!+#REF!+#REF!+#REF!+#REF!+#REF!+#REF!+#REF!+#REF!+#REF!+#REF!+#REF!+#REF!+#REF!+#REF!+#REF!</definedName>
    <definedName name="SHARED_FORMULA_2_140_2_140_5">#REF!+#REF!+#REF!+#REF!+#REF!+#REF!+#REF!+#REF!+#REF!+#REF!+#REF!+#REF!+#REF!+#REF!+#REF!+#REF!+#REF!+#REF!+#REF!+#REF!+#REF!+#REF!</definedName>
    <definedName name="SHARED_FORMULA_2_141_2_141_5" localSheetId="11">#REF!+#REF!+#REF!+#REF!+#REF!+#REF!+#REF!+#REF!+#REF!+#REF!+#REF!+#REF!+#REF!+#REF!+#REF!+#REF!+#REF!+#REF!+#REF!+#REF!+#REF!+#REF!</definedName>
    <definedName name="SHARED_FORMULA_2_141_2_141_5" localSheetId="12">#REF!+#REF!+#REF!+#REF!+#REF!+#REF!+#REF!+#REF!+#REF!+#REF!+#REF!+#REF!+#REF!+#REF!+#REF!+#REF!+#REF!+#REF!+#REF!+#REF!+#REF!+#REF!</definedName>
    <definedName name="SHARED_FORMULA_2_141_2_141_5" localSheetId="8">#REF!+#REF!+#REF!+#REF!+#REF!+#REF!+#REF!+#REF!+#REF!+#REF!+#REF!+#REF!+#REF!+#REF!+#REF!+#REF!+#REF!+#REF!+#REF!+#REF!+#REF!+#REF!</definedName>
    <definedName name="SHARED_FORMULA_2_141_2_141_5" localSheetId="9">#REF!+#REF!+#REF!+#REF!+#REF!+#REF!+#REF!+#REF!+#REF!+#REF!+#REF!+#REF!+#REF!+#REF!+#REF!+#REF!+#REF!+#REF!+#REF!+#REF!+#REF!+#REF!</definedName>
    <definedName name="SHARED_FORMULA_2_141_2_141_5">#REF!+#REF!+#REF!+#REF!+#REF!+#REF!+#REF!+#REF!+#REF!+#REF!+#REF!+#REF!+#REF!+#REF!+#REF!+#REF!+#REF!+#REF!+#REF!+#REF!+#REF!+#REF!</definedName>
    <definedName name="SHARED_FORMULA_2_142_2_142_5" localSheetId="11">#REF!+#REF!+#REF!+#REF!+#REF!+#REF!+#REF!+#REF!+#REF!+#REF!+#REF!+#REF!+#REF!+#REF!+#REF!+#REF!+#REF!+#REF!+#REF!+#REF!+#REF!+#REF!</definedName>
    <definedName name="SHARED_FORMULA_2_142_2_142_5" localSheetId="12">#REF!+#REF!+#REF!+#REF!+#REF!+#REF!+#REF!+#REF!+#REF!+#REF!+#REF!+#REF!+#REF!+#REF!+#REF!+#REF!+#REF!+#REF!+#REF!+#REF!+#REF!+#REF!</definedName>
    <definedName name="SHARED_FORMULA_2_142_2_142_5" localSheetId="8">#REF!+#REF!+#REF!+#REF!+#REF!+#REF!+#REF!+#REF!+#REF!+#REF!+#REF!+#REF!+#REF!+#REF!+#REF!+#REF!+#REF!+#REF!+#REF!+#REF!+#REF!+#REF!</definedName>
    <definedName name="SHARED_FORMULA_2_142_2_142_5" localSheetId="9">#REF!+#REF!+#REF!+#REF!+#REF!+#REF!+#REF!+#REF!+#REF!+#REF!+#REF!+#REF!+#REF!+#REF!+#REF!+#REF!+#REF!+#REF!+#REF!+#REF!+#REF!+#REF!</definedName>
    <definedName name="SHARED_FORMULA_2_142_2_142_5">#REF!+#REF!+#REF!+#REF!+#REF!+#REF!+#REF!+#REF!+#REF!+#REF!+#REF!+#REF!+#REF!+#REF!+#REF!+#REF!+#REF!+#REF!+#REF!+#REF!+#REF!+#REF!</definedName>
    <definedName name="SHARED_FORMULA_2_143_2_143_5" localSheetId="11">#REF!+#REF!+#REF!+#REF!+#REF!+#REF!+#REF!+#REF!+#REF!+#REF!+#REF!+#REF!+#REF!+#REF!+#REF!+#REF!+#REF!+#REF!+#REF!+#REF!+#REF!+#REF!</definedName>
    <definedName name="SHARED_FORMULA_2_143_2_143_5" localSheetId="12">#REF!+#REF!+#REF!+#REF!+#REF!+#REF!+#REF!+#REF!+#REF!+#REF!+#REF!+#REF!+#REF!+#REF!+#REF!+#REF!+#REF!+#REF!+#REF!+#REF!+#REF!+#REF!</definedName>
    <definedName name="SHARED_FORMULA_2_143_2_143_5" localSheetId="8">#REF!+#REF!+#REF!+#REF!+#REF!+#REF!+#REF!+#REF!+#REF!+#REF!+#REF!+#REF!+#REF!+#REF!+#REF!+#REF!+#REF!+#REF!+#REF!+#REF!+#REF!+#REF!</definedName>
    <definedName name="SHARED_FORMULA_2_143_2_143_5" localSheetId="9">#REF!+#REF!+#REF!+#REF!+#REF!+#REF!+#REF!+#REF!+#REF!+#REF!+#REF!+#REF!+#REF!+#REF!+#REF!+#REF!+#REF!+#REF!+#REF!+#REF!+#REF!+#REF!</definedName>
    <definedName name="SHARED_FORMULA_2_143_2_143_5">#REF!+#REF!+#REF!+#REF!+#REF!+#REF!+#REF!+#REF!+#REF!+#REF!+#REF!+#REF!+#REF!+#REF!+#REF!+#REF!+#REF!+#REF!+#REF!+#REF!+#REF!+#REF!</definedName>
    <definedName name="SHARED_FORMULA_2_144_2_144_5" localSheetId="11">#REF!+#REF!+#REF!+#REF!+#REF!+#REF!+#REF!+#REF!+#REF!+#REF!+#REF!+#REF!+#REF!+#REF!+#REF!+#REF!+#REF!+#REF!+#REF!+#REF!+#REF!+#REF!</definedName>
    <definedName name="SHARED_FORMULA_2_144_2_144_5" localSheetId="12">#REF!+#REF!+#REF!+#REF!+#REF!+#REF!+#REF!+#REF!+#REF!+#REF!+#REF!+#REF!+#REF!+#REF!+#REF!+#REF!+#REF!+#REF!+#REF!+#REF!+#REF!+#REF!</definedName>
    <definedName name="SHARED_FORMULA_2_144_2_144_5" localSheetId="8">#REF!+#REF!+#REF!+#REF!+#REF!+#REF!+#REF!+#REF!+#REF!+#REF!+#REF!+#REF!+#REF!+#REF!+#REF!+#REF!+#REF!+#REF!+#REF!+#REF!+#REF!+#REF!</definedName>
    <definedName name="SHARED_FORMULA_2_144_2_144_5" localSheetId="9">#REF!+#REF!+#REF!+#REF!+#REF!+#REF!+#REF!+#REF!+#REF!+#REF!+#REF!+#REF!+#REF!+#REF!+#REF!+#REF!+#REF!+#REF!+#REF!+#REF!+#REF!+#REF!</definedName>
    <definedName name="SHARED_FORMULA_2_144_2_144_5">#REF!+#REF!+#REF!+#REF!+#REF!+#REF!+#REF!+#REF!+#REF!+#REF!+#REF!+#REF!+#REF!+#REF!+#REF!+#REF!+#REF!+#REF!+#REF!+#REF!+#REF!+#REF!</definedName>
    <definedName name="SHARED_FORMULA_2_145_2_145_5" localSheetId="11">#REF!+#REF!+#REF!+#REF!+#REF!+#REF!+#REF!+#REF!+#REF!+#REF!+#REF!+#REF!+#REF!+#REF!+#REF!+#REF!+#REF!+#REF!+#REF!+#REF!+#REF!+#REF!</definedName>
    <definedName name="SHARED_FORMULA_2_145_2_145_5" localSheetId="12">#REF!+#REF!+#REF!+#REF!+#REF!+#REF!+#REF!+#REF!+#REF!+#REF!+#REF!+#REF!+#REF!+#REF!+#REF!+#REF!+#REF!+#REF!+#REF!+#REF!+#REF!+#REF!</definedName>
    <definedName name="SHARED_FORMULA_2_145_2_145_5" localSheetId="8">#REF!+#REF!+#REF!+#REF!+#REF!+#REF!+#REF!+#REF!+#REF!+#REF!+#REF!+#REF!+#REF!+#REF!+#REF!+#REF!+#REF!+#REF!+#REF!+#REF!+#REF!+#REF!</definedName>
    <definedName name="SHARED_FORMULA_2_145_2_145_5" localSheetId="9">#REF!+#REF!+#REF!+#REF!+#REF!+#REF!+#REF!+#REF!+#REF!+#REF!+#REF!+#REF!+#REF!+#REF!+#REF!+#REF!+#REF!+#REF!+#REF!+#REF!+#REF!+#REF!</definedName>
    <definedName name="SHARED_FORMULA_2_145_2_145_5">#REF!+#REF!+#REF!+#REF!+#REF!+#REF!+#REF!+#REF!+#REF!+#REF!+#REF!+#REF!+#REF!+#REF!+#REF!+#REF!+#REF!+#REF!+#REF!+#REF!+#REF!+#REF!</definedName>
    <definedName name="SHARED_FORMULA_2_146_2_146_5" localSheetId="11">#REF!-#REF!</definedName>
    <definedName name="SHARED_FORMULA_2_146_2_146_5" localSheetId="12">#REF!-#REF!</definedName>
    <definedName name="SHARED_FORMULA_2_146_2_146_5" localSheetId="8">#REF!-#REF!</definedName>
    <definedName name="SHARED_FORMULA_2_146_2_146_5" localSheetId="9">#REF!-#REF!</definedName>
    <definedName name="SHARED_FORMULA_2_146_2_146_5">#REF!-#REF!</definedName>
    <definedName name="SHARED_FORMULA_2_22_2_22_5" localSheetId="11">#REF!</definedName>
    <definedName name="SHARED_FORMULA_2_22_2_22_5" localSheetId="12">#REF!</definedName>
    <definedName name="SHARED_FORMULA_2_22_2_22_5" localSheetId="8">#REF!</definedName>
    <definedName name="SHARED_FORMULA_2_22_2_22_5" localSheetId="9">#REF!</definedName>
    <definedName name="SHARED_FORMULA_2_22_2_22_5">#REF!</definedName>
    <definedName name="SHARED_FORMULA_2_27_2_27_5" localSheetId="11">#REF!</definedName>
    <definedName name="SHARED_FORMULA_2_27_2_27_5" localSheetId="12">#REF!</definedName>
    <definedName name="SHARED_FORMULA_2_27_2_27_5" localSheetId="8">#REF!</definedName>
    <definedName name="SHARED_FORMULA_2_27_2_27_5" localSheetId="9">#REF!</definedName>
    <definedName name="SHARED_FORMULA_2_27_2_27_5">#REF!</definedName>
    <definedName name="SHARED_FORMULA_2_32_2_32_5" localSheetId="11">#REF!</definedName>
    <definedName name="SHARED_FORMULA_2_32_2_32_5" localSheetId="12">#REF!</definedName>
    <definedName name="SHARED_FORMULA_2_32_2_32_5" localSheetId="8">#REF!</definedName>
    <definedName name="SHARED_FORMULA_2_32_2_32_5" localSheetId="9">#REF!</definedName>
    <definedName name="SHARED_FORMULA_2_32_2_32_5">#REF!</definedName>
    <definedName name="SHARED_FORMULA_2_37_2_37_5" localSheetId="11">#REF!</definedName>
    <definedName name="SHARED_FORMULA_2_37_2_37_5" localSheetId="12">#REF!</definedName>
    <definedName name="SHARED_FORMULA_2_37_2_37_5" localSheetId="8">#REF!</definedName>
    <definedName name="SHARED_FORMULA_2_37_2_37_5" localSheetId="9">#REF!</definedName>
    <definedName name="SHARED_FORMULA_2_37_2_37_5">#REF!</definedName>
    <definedName name="SHARED_FORMULA_2_4_2_4_5" localSheetId="11">#REF!</definedName>
    <definedName name="SHARED_FORMULA_2_4_2_4_5" localSheetId="12">#REF!</definedName>
    <definedName name="SHARED_FORMULA_2_4_2_4_5" localSheetId="8">#REF!</definedName>
    <definedName name="SHARED_FORMULA_2_4_2_4_5" localSheetId="9">#REF!</definedName>
    <definedName name="SHARED_FORMULA_2_4_2_4_5">#REF!</definedName>
    <definedName name="SHARED_FORMULA_2_42_2_42_5" localSheetId="11">#REF!</definedName>
    <definedName name="SHARED_FORMULA_2_42_2_42_5" localSheetId="12">#REF!</definedName>
    <definedName name="SHARED_FORMULA_2_42_2_42_5" localSheetId="8">#REF!</definedName>
    <definedName name="SHARED_FORMULA_2_42_2_42_5" localSheetId="9">#REF!</definedName>
    <definedName name="SHARED_FORMULA_2_42_2_42_5">#REF!</definedName>
    <definedName name="SHARED_FORMULA_2_44_2_44_5" localSheetId="11">#REF!</definedName>
    <definedName name="SHARED_FORMULA_2_44_2_44_5" localSheetId="12">#REF!</definedName>
    <definedName name="SHARED_FORMULA_2_44_2_44_5" localSheetId="8">#REF!</definedName>
    <definedName name="SHARED_FORMULA_2_44_2_44_5" localSheetId="9">#REF!</definedName>
    <definedName name="SHARED_FORMULA_2_44_2_44_5">#REF!</definedName>
    <definedName name="SHARED_FORMULA_2_47_2_47_5" localSheetId="11">#REF!</definedName>
    <definedName name="SHARED_FORMULA_2_47_2_47_5" localSheetId="12">#REF!</definedName>
    <definedName name="SHARED_FORMULA_2_47_2_47_5" localSheetId="8">#REF!</definedName>
    <definedName name="SHARED_FORMULA_2_47_2_47_5" localSheetId="9">#REF!</definedName>
    <definedName name="SHARED_FORMULA_2_47_2_47_5">#REF!</definedName>
    <definedName name="SHARED_FORMULA_2_48_2_48_5" localSheetId="11">#REF!</definedName>
    <definedName name="SHARED_FORMULA_2_48_2_48_5" localSheetId="12">#REF!</definedName>
    <definedName name="SHARED_FORMULA_2_48_2_48_5" localSheetId="8">#REF!</definedName>
    <definedName name="SHARED_FORMULA_2_48_2_48_5" localSheetId="9">#REF!</definedName>
    <definedName name="SHARED_FORMULA_2_48_2_48_5">#REF!</definedName>
    <definedName name="SHARED_FORMULA_2_52_2_52_5" localSheetId="11">#REF!</definedName>
    <definedName name="SHARED_FORMULA_2_52_2_52_5" localSheetId="12">#REF!</definedName>
    <definedName name="SHARED_FORMULA_2_52_2_52_5" localSheetId="8">#REF!</definedName>
    <definedName name="SHARED_FORMULA_2_52_2_52_5" localSheetId="9">#REF!</definedName>
    <definedName name="SHARED_FORMULA_2_52_2_52_5">#REF!</definedName>
    <definedName name="SHARED_FORMULA_2_57_2_57_5" localSheetId="11">#REF!</definedName>
    <definedName name="SHARED_FORMULA_2_57_2_57_5" localSheetId="12">#REF!</definedName>
    <definedName name="SHARED_FORMULA_2_57_2_57_5" localSheetId="8">#REF!</definedName>
    <definedName name="SHARED_FORMULA_2_57_2_57_5" localSheetId="9">#REF!</definedName>
    <definedName name="SHARED_FORMULA_2_57_2_57_5">#REF!</definedName>
    <definedName name="SHARED_FORMULA_2_67_2_67_5" localSheetId="11">#REF!</definedName>
    <definedName name="SHARED_FORMULA_2_67_2_67_5" localSheetId="12">#REF!</definedName>
    <definedName name="SHARED_FORMULA_2_67_2_67_5" localSheetId="8">#REF!</definedName>
    <definedName name="SHARED_FORMULA_2_67_2_67_5" localSheetId="9">#REF!</definedName>
    <definedName name="SHARED_FORMULA_2_67_2_67_5">#REF!</definedName>
    <definedName name="SHARED_FORMULA_2_71_2_71_5" localSheetId="11">#REF!+#REF!+#REF!+#REF!</definedName>
    <definedName name="SHARED_FORMULA_2_71_2_71_5" localSheetId="12">#REF!+#REF!+#REF!+#REF!</definedName>
    <definedName name="SHARED_FORMULA_2_71_2_71_5" localSheetId="8">#REF!+#REF!+#REF!+#REF!</definedName>
    <definedName name="SHARED_FORMULA_2_71_2_71_5" localSheetId="9">#REF!+#REF!+#REF!+#REF!</definedName>
    <definedName name="SHARED_FORMULA_2_71_2_71_5">#REF!+#REF!+#REF!+#REF!</definedName>
    <definedName name="SHARED_FORMULA_2_72_2_72_5" localSheetId="11">#REF!+#REF!+#REF!+#REF!</definedName>
    <definedName name="SHARED_FORMULA_2_72_2_72_5" localSheetId="12">#REF!+#REF!+#REF!+#REF!</definedName>
    <definedName name="SHARED_FORMULA_2_72_2_72_5" localSheetId="8">#REF!+#REF!+#REF!+#REF!</definedName>
    <definedName name="SHARED_FORMULA_2_72_2_72_5" localSheetId="9">#REF!+#REF!+#REF!+#REF!</definedName>
    <definedName name="SHARED_FORMULA_2_72_2_72_5">#REF!+#REF!+#REF!+#REF!</definedName>
    <definedName name="SHARED_FORMULA_2_73_2_73_5" localSheetId="11">#REF!+#REF!+#REF!+#REF!</definedName>
    <definedName name="SHARED_FORMULA_2_73_2_73_5" localSheetId="12">#REF!+#REF!+#REF!+#REF!</definedName>
    <definedName name="SHARED_FORMULA_2_73_2_73_5" localSheetId="8">#REF!+#REF!+#REF!+#REF!</definedName>
    <definedName name="SHARED_FORMULA_2_73_2_73_5" localSheetId="9">#REF!+#REF!+#REF!+#REF!</definedName>
    <definedName name="SHARED_FORMULA_2_73_2_73_5">#REF!+#REF!+#REF!+#REF!</definedName>
    <definedName name="SHARED_FORMULA_2_74_2_74_5" localSheetId="11">#REF!+#REF!+#REF!+#REF!</definedName>
    <definedName name="SHARED_FORMULA_2_74_2_74_5" localSheetId="12">#REF!+#REF!+#REF!+#REF!</definedName>
    <definedName name="SHARED_FORMULA_2_74_2_74_5" localSheetId="8">#REF!+#REF!+#REF!+#REF!</definedName>
    <definedName name="SHARED_FORMULA_2_74_2_74_5" localSheetId="9">#REF!+#REF!+#REF!+#REF!</definedName>
    <definedName name="SHARED_FORMULA_2_74_2_74_5">#REF!+#REF!+#REF!+#REF!</definedName>
    <definedName name="SHARED_FORMULA_2_75_2_75_5" localSheetId="11">#REF!+#REF!+#REF!+#REF!</definedName>
    <definedName name="SHARED_FORMULA_2_75_2_75_5" localSheetId="12">#REF!+#REF!+#REF!+#REF!</definedName>
    <definedName name="SHARED_FORMULA_2_75_2_75_5" localSheetId="8">#REF!+#REF!+#REF!+#REF!</definedName>
    <definedName name="SHARED_FORMULA_2_75_2_75_5" localSheetId="9">#REF!+#REF!+#REF!+#REF!</definedName>
    <definedName name="SHARED_FORMULA_2_75_2_75_5">#REF!+#REF!+#REF!+#REF!</definedName>
    <definedName name="SHARED_FORMULA_2_82_2_82_5" localSheetId="11">#REF!</definedName>
    <definedName name="SHARED_FORMULA_2_82_2_82_5" localSheetId="12">#REF!</definedName>
    <definedName name="SHARED_FORMULA_2_82_2_82_5" localSheetId="8">#REF!</definedName>
    <definedName name="SHARED_FORMULA_2_82_2_82_5" localSheetId="9">#REF!</definedName>
    <definedName name="SHARED_FORMULA_2_82_2_82_5">#REF!</definedName>
    <definedName name="SHARED_FORMULA_2_86_2_86_5" localSheetId="11">#REF!+#REF!</definedName>
    <definedName name="SHARED_FORMULA_2_86_2_86_5" localSheetId="12">#REF!+#REF!</definedName>
    <definedName name="SHARED_FORMULA_2_86_2_86_5" localSheetId="8">#REF!+#REF!</definedName>
    <definedName name="SHARED_FORMULA_2_86_2_86_5" localSheetId="9">#REF!+#REF!</definedName>
    <definedName name="SHARED_FORMULA_2_86_2_86_5">#REF!+#REF!</definedName>
    <definedName name="SHARED_FORMULA_2_87_2_87_5" localSheetId="11">#REF!+#REF!</definedName>
    <definedName name="SHARED_FORMULA_2_87_2_87_5" localSheetId="12">#REF!+#REF!</definedName>
    <definedName name="SHARED_FORMULA_2_87_2_87_5" localSheetId="8">#REF!+#REF!</definedName>
    <definedName name="SHARED_FORMULA_2_87_2_87_5" localSheetId="9">#REF!+#REF!</definedName>
    <definedName name="SHARED_FORMULA_2_87_2_87_5">#REF!+#REF!</definedName>
    <definedName name="SHARED_FORMULA_2_88_2_88_5" localSheetId="11">#REF!+#REF!</definedName>
    <definedName name="SHARED_FORMULA_2_88_2_88_5" localSheetId="12">#REF!+#REF!</definedName>
    <definedName name="SHARED_FORMULA_2_88_2_88_5" localSheetId="8">#REF!+#REF!</definedName>
    <definedName name="SHARED_FORMULA_2_88_2_88_5" localSheetId="9">#REF!+#REF!</definedName>
    <definedName name="SHARED_FORMULA_2_88_2_88_5">#REF!+#REF!</definedName>
    <definedName name="SHARED_FORMULA_2_89_2_89_5" localSheetId="11">#REF!+#REF!</definedName>
    <definedName name="SHARED_FORMULA_2_89_2_89_5" localSheetId="12">#REF!+#REF!</definedName>
    <definedName name="SHARED_FORMULA_2_89_2_89_5" localSheetId="8">#REF!+#REF!</definedName>
    <definedName name="SHARED_FORMULA_2_89_2_89_5" localSheetId="9">#REF!+#REF!</definedName>
    <definedName name="SHARED_FORMULA_2_89_2_89_5">#REF!+#REF!</definedName>
    <definedName name="SHARED_FORMULA_2_9_2_9_5" localSheetId="11">#REF!</definedName>
    <definedName name="SHARED_FORMULA_2_9_2_9_5" localSheetId="12">#REF!</definedName>
    <definedName name="SHARED_FORMULA_2_9_2_9_5" localSheetId="8">#REF!</definedName>
    <definedName name="SHARED_FORMULA_2_9_2_9_5" localSheetId="9">#REF!</definedName>
    <definedName name="SHARED_FORMULA_2_9_2_9_5">#REF!</definedName>
    <definedName name="SHARED_FORMULA_2_90_2_90_5" localSheetId="11">#REF!+#REF!</definedName>
    <definedName name="SHARED_FORMULA_2_90_2_90_5" localSheetId="12">#REF!+#REF!</definedName>
    <definedName name="SHARED_FORMULA_2_90_2_90_5" localSheetId="8">#REF!+#REF!</definedName>
    <definedName name="SHARED_FORMULA_2_90_2_90_5" localSheetId="9">#REF!+#REF!</definedName>
    <definedName name="SHARED_FORMULA_2_90_2_90_5">#REF!+#REF!</definedName>
    <definedName name="SHARED_FORMULA_2_92_2_92_5" localSheetId="11">#REF!</definedName>
    <definedName name="SHARED_FORMULA_2_92_2_92_5" localSheetId="12">#REF!</definedName>
    <definedName name="SHARED_FORMULA_2_92_2_92_5" localSheetId="8">#REF!</definedName>
    <definedName name="SHARED_FORMULA_2_92_2_92_5" localSheetId="9">#REF!</definedName>
    <definedName name="SHARED_FORMULA_2_92_2_92_5">#REF!</definedName>
    <definedName name="SHARED_FORMULA_2_97_2_97_5" localSheetId="11">#REF!</definedName>
    <definedName name="SHARED_FORMULA_2_97_2_97_5" localSheetId="12">#REF!</definedName>
    <definedName name="SHARED_FORMULA_2_97_2_97_5" localSheetId="8">#REF!</definedName>
    <definedName name="SHARED_FORMULA_2_97_2_97_5" localSheetId="9">#REF!</definedName>
    <definedName name="SHARED_FORMULA_2_97_2_97_5">#REF!</definedName>
    <definedName name="SHARED_FORMULA_20_10_20_10_5" localSheetId="11">#REF!</definedName>
    <definedName name="SHARED_FORMULA_20_10_20_10_5" localSheetId="12">#REF!</definedName>
    <definedName name="SHARED_FORMULA_20_10_20_10_5" localSheetId="8">#REF!</definedName>
    <definedName name="SHARED_FORMULA_20_10_20_10_5" localSheetId="9">#REF!</definedName>
    <definedName name="SHARED_FORMULA_20_10_20_10_5">#REF!</definedName>
    <definedName name="SHARED_FORMULA_20_102_20_102_5" localSheetId="11">#REF!</definedName>
    <definedName name="SHARED_FORMULA_20_102_20_102_5" localSheetId="12">#REF!</definedName>
    <definedName name="SHARED_FORMULA_20_102_20_102_5" localSheetId="8">#REF!</definedName>
    <definedName name="SHARED_FORMULA_20_102_20_102_5" localSheetId="9">#REF!</definedName>
    <definedName name="SHARED_FORMULA_20_102_20_102_5">#REF!</definedName>
    <definedName name="SHARED_FORMULA_20_112_20_112_5" localSheetId="11">#REF!</definedName>
    <definedName name="SHARED_FORMULA_20_112_20_112_5" localSheetId="12">#REF!</definedName>
    <definedName name="SHARED_FORMULA_20_112_20_112_5" localSheetId="8">#REF!</definedName>
    <definedName name="SHARED_FORMULA_20_112_20_112_5" localSheetId="9">#REF!</definedName>
    <definedName name="SHARED_FORMULA_20_112_20_112_5">#REF!</definedName>
    <definedName name="SHARED_FORMULA_20_117_20_117_5" localSheetId="11">#REF!</definedName>
    <definedName name="SHARED_FORMULA_20_117_20_117_5" localSheetId="12">#REF!</definedName>
    <definedName name="SHARED_FORMULA_20_117_20_117_5" localSheetId="8">#REF!</definedName>
    <definedName name="SHARED_FORMULA_20_117_20_117_5" localSheetId="9">#REF!</definedName>
    <definedName name="SHARED_FORMULA_20_117_20_117_5">#REF!</definedName>
    <definedName name="SHARED_FORMULA_20_121_20_121_5" localSheetId="11">#REF!+#REF!+#REF!+#REF!</definedName>
    <definedName name="SHARED_FORMULA_20_121_20_121_5" localSheetId="12">#REF!+#REF!+#REF!+#REF!</definedName>
    <definedName name="SHARED_FORMULA_20_121_20_121_5" localSheetId="8">#REF!+#REF!+#REF!+#REF!</definedName>
    <definedName name="SHARED_FORMULA_20_121_20_121_5" localSheetId="9">#REF!+#REF!+#REF!+#REF!</definedName>
    <definedName name="SHARED_FORMULA_20_121_20_121_5">#REF!+#REF!+#REF!+#REF!</definedName>
    <definedName name="SHARED_FORMULA_20_127_20_127_5" localSheetId="11">#REF!</definedName>
    <definedName name="SHARED_FORMULA_20_127_20_127_5" localSheetId="12">#REF!</definedName>
    <definedName name="SHARED_FORMULA_20_127_20_127_5" localSheetId="8">#REF!</definedName>
    <definedName name="SHARED_FORMULA_20_127_20_127_5" localSheetId="9">#REF!</definedName>
    <definedName name="SHARED_FORMULA_20_127_20_127_5">#REF!</definedName>
    <definedName name="SHARED_FORMULA_20_131_20_131_5" localSheetId="11">#REF!+#REF!+#REF!+#REF!+#REF!+#REF!+#REF!+#REF!+#REF!+#REF!+#REF!+#REF!+#REF!+#REF!+#REF!+#REF!+#REF!+#REF!+#REF!+#REF!+#REF!+#REF!+#REF!</definedName>
    <definedName name="SHARED_FORMULA_20_131_20_131_5" localSheetId="12">#REF!+#REF!+#REF!+#REF!+#REF!+#REF!+#REF!+#REF!+#REF!+#REF!+#REF!+#REF!+#REF!+#REF!+#REF!+#REF!+#REF!+#REF!+#REF!+#REF!+#REF!+#REF!+#REF!</definedName>
    <definedName name="SHARED_FORMULA_20_131_20_131_5" localSheetId="8">#REF!+#REF!+#REF!+#REF!+#REF!+#REF!+#REF!+#REF!+#REF!+#REF!+#REF!+#REF!+#REF!+#REF!+#REF!+#REF!+#REF!+#REF!+#REF!+#REF!+#REF!+#REF!+#REF!</definedName>
    <definedName name="SHARED_FORMULA_20_131_20_131_5" localSheetId="9">#REF!+#REF!+#REF!+#REF!+#REF!+#REF!+#REF!+#REF!+#REF!+#REF!+#REF!+#REF!+#REF!+#REF!+#REF!+#REF!+#REF!+#REF!+#REF!+#REF!+#REF!+#REF!+#REF!</definedName>
    <definedName name="SHARED_FORMULA_20_131_20_131_5">#REF!+#REF!+#REF!+#REF!+#REF!+#REF!+#REF!+#REF!+#REF!+#REF!+#REF!+#REF!+#REF!+#REF!+#REF!+#REF!+#REF!+#REF!+#REF!+#REF!+#REF!+#REF!+#REF!</definedName>
    <definedName name="SHARED_FORMULA_20_14_20_14_5" localSheetId="11">#REF!</definedName>
    <definedName name="SHARED_FORMULA_20_14_20_14_5" localSheetId="12">#REF!</definedName>
    <definedName name="SHARED_FORMULA_20_14_20_14_5" localSheetId="8">#REF!</definedName>
    <definedName name="SHARED_FORMULA_20_14_20_14_5" localSheetId="9">#REF!</definedName>
    <definedName name="SHARED_FORMULA_20_14_20_14_5">#REF!</definedName>
    <definedName name="SHARED_FORMULA_20_141_20_141_5" localSheetId="11">#REF!+#REF!+#REF!+#REF!+#REF!+#REF!+#REF!+#REF!+#REF!+#REF!+#REF!+#REF!+#REF!+#REF!+#REF!+#REF!+#REF!+#REF!+#REF!+#REF!+#REF!+#REF!</definedName>
    <definedName name="SHARED_FORMULA_20_141_20_141_5" localSheetId="12">#REF!+#REF!+#REF!+#REF!+#REF!+#REF!+#REF!+#REF!+#REF!+#REF!+#REF!+#REF!+#REF!+#REF!+#REF!+#REF!+#REF!+#REF!+#REF!+#REF!+#REF!+#REF!</definedName>
    <definedName name="SHARED_FORMULA_20_141_20_141_5" localSheetId="8">#REF!+#REF!+#REF!+#REF!+#REF!+#REF!+#REF!+#REF!+#REF!+#REF!+#REF!+#REF!+#REF!+#REF!+#REF!+#REF!+#REF!+#REF!+#REF!+#REF!+#REF!+#REF!</definedName>
    <definedName name="SHARED_FORMULA_20_141_20_141_5" localSheetId="9">#REF!+#REF!+#REF!+#REF!+#REF!+#REF!+#REF!+#REF!+#REF!+#REF!+#REF!+#REF!+#REF!+#REF!+#REF!+#REF!+#REF!+#REF!+#REF!+#REF!+#REF!+#REF!</definedName>
    <definedName name="SHARED_FORMULA_20_141_20_141_5">#REF!+#REF!+#REF!+#REF!+#REF!+#REF!+#REF!+#REF!+#REF!+#REF!+#REF!+#REF!+#REF!+#REF!+#REF!+#REF!+#REF!+#REF!+#REF!+#REF!+#REF!+#REF!</definedName>
    <definedName name="SHARED_FORMULA_20_19_20_19_5" localSheetId="11">#REF!</definedName>
    <definedName name="SHARED_FORMULA_20_19_20_19_5" localSheetId="12">#REF!</definedName>
    <definedName name="SHARED_FORMULA_20_19_20_19_5" localSheetId="8">#REF!</definedName>
    <definedName name="SHARED_FORMULA_20_19_20_19_5" localSheetId="9">#REF!</definedName>
    <definedName name="SHARED_FORMULA_20_19_20_19_5">#REF!</definedName>
    <definedName name="SHARED_FORMULA_20_22_20_22_5" localSheetId="11">#REF!</definedName>
    <definedName name="SHARED_FORMULA_20_22_20_22_5" localSheetId="12">#REF!</definedName>
    <definedName name="SHARED_FORMULA_20_22_20_22_5" localSheetId="8">#REF!</definedName>
    <definedName name="SHARED_FORMULA_20_22_20_22_5" localSheetId="9">#REF!</definedName>
    <definedName name="SHARED_FORMULA_20_22_20_22_5">#REF!</definedName>
    <definedName name="SHARED_FORMULA_20_27_20_27_5" localSheetId="11">#REF!</definedName>
    <definedName name="SHARED_FORMULA_20_27_20_27_5" localSheetId="12">#REF!</definedName>
    <definedName name="SHARED_FORMULA_20_27_20_27_5" localSheetId="8">#REF!</definedName>
    <definedName name="SHARED_FORMULA_20_27_20_27_5" localSheetId="9">#REF!</definedName>
    <definedName name="SHARED_FORMULA_20_27_20_27_5">#REF!</definedName>
    <definedName name="SHARED_FORMULA_20_33_20_33_5" localSheetId="11">#REF!</definedName>
    <definedName name="SHARED_FORMULA_20_33_20_33_5" localSheetId="12">#REF!</definedName>
    <definedName name="SHARED_FORMULA_20_33_20_33_5" localSheetId="8">#REF!</definedName>
    <definedName name="SHARED_FORMULA_20_33_20_33_5" localSheetId="9">#REF!</definedName>
    <definedName name="SHARED_FORMULA_20_33_20_33_5">#REF!</definedName>
    <definedName name="SHARED_FORMULA_20_37_20_37_5" localSheetId="11">#REF!</definedName>
    <definedName name="SHARED_FORMULA_20_37_20_37_5" localSheetId="12">#REF!</definedName>
    <definedName name="SHARED_FORMULA_20_37_20_37_5" localSheetId="8">#REF!</definedName>
    <definedName name="SHARED_FORMULA_20_37_20_37_5" localSheetId="9">#REF!</definedName>
    <definedName name="SHARED_FORMULA_20_37_20_37_5">#REF!</definedName>
    <definedName name="SHARED_FORMULA_20_42_20_42_5" localSheetId="11">#REF!</definedName>
    <definedName name="SHARED_FORMULA_20_42_20_42_5" localSheetId="12">#REF!</definedName>
    <definedName name="SHARED_FORMULA_20_42_20_42_5" localSheetId="8">#REF!</definedName>
    <definedName name="SHARED_FORMULA_20_42_20_42_5" localSheetId="9">#REF!</definedName>
    <definedName name="SHARED_FORMULA_20_42_20_42_5">#REF!</definedName>
    <definedName name="SHARED_FORMULA_20_57_20_57_5" localSheetId="11">#REF!</definedName>
    <definedName name="SHARED_FORMULA_20_57_20_57_5" localSheetId="12">#REF!</definedName>
    <definedName name="SHARED_FORMULA_20_57_20_57_5" localSheetId="8">#REF!</definedName>
    <definedName name="SHARED_FORMULA_20_57_20_57_5" localSheetId="9">#REF!</definedName>
    <definedName name="SHARED_FORMULA_20_57_20_57_5">#REF!</definedName>
    <definedName name="SHARED_FORMULA_20_63_20_63_5" localSheetId="11">#REF!</definedName>
    <definedName name="SHARED_FORMULA_20_63_20_63_5" localSheetId="12">#REF!</definedName>
    <definedName name="SHARED_FORMULA_20_63_20_63_5" localSheetId="8">#REF!</definedName>
    <definedName name="SHARED_FORMULA_20_63_20_63_5" localSheetId="9">#REF!</definedName>
    <definedName name="SHARED_FORMULA_20_63_20_63_5">#REF!</definedName>
    <definedName name="SHARED_FORMULA_20_67_20_67_5" localSheetId="11">#REF!</definedName>
    <definedName name="SHARED_FORMULA_20_67_20_67_5" localSheetId="12">#REF!</definedName>
    <definedName name="SHARED_FORMULA_20_67_20_67_5" localSheetId="8">#REF!</definedName>
    <definedName name="SHARED_FORMULA_20_67_20_67_5" localSheetId="9">#REF!</definedName>
    <definedName name="SHARED_FORMULA_20_67_20_67_5">#REF!</definedName>
    <definedName name="SHARED_FORMULA_20_78_20_78_5" localSheetId="11">#REF!</definedName>
    <definedName name="SHARED_FORMULA_20_78_20_78_5" localSheetId="12">#REF!</definedName>
    <definedName name="SHARED_FORMULA_20_78_20_78_5" localSheetId="8">#REF!</definedName>
    <definedName name="SHARED_FORMULA_20_78_20_78_5" localSheetId="9">#REF!</definedName>
    <definedName name="SHARED_FORMULA_20_78_20_78_5">#REF!</definedName>
    <definedName name="SHARED_FORMULA_20_82_20_82_5" localSheetId="11">#REF!</definedName>
    <definedName name="SHARED_FORMULA_20_82_20_82_5" localSheetId="12">#REF!</definedName>
    <definedName name="SHARED_FORMULA_20_82_20_82_5" localSheetId="8">#REF!</definedName>
    <definedName name="SHARED_FORMULA_20_82_20_82_5" localSheetId="9">#REF!</definedName>
    <definedName name="SHARED_FORMULA_20_82_20_82_5">#REF!</definedName>
    <definedName name="SHARED_FORMULA_20_86_20_86_5" localSheetId="11">#REF!+#REF!</definedName>
    <definedName name="SHARED_FORMULA_20_86_20_86_5" localSheetId="12">#REF!+#REF!</definedName>
    <definedName name="SHARED_FORMULA_20_86_20_86_5" localSheetId="8">#REF!+#REF!</definedName>
    <definedName name="SHARED_FORMULA_20_86_20_86_5" localSheetId="9">#REF!+#REF!</definedName>
    <definedName name="SHARED_FORMULA_20_86_20_86_5">#REF!+#REF!</definedName>
    <definedName name="SHARED_FORMULA_20_92_20_92_5" localSheetId="11">#REF!</definedName>
    <definedName name="SHARED_FORMULA_20_92_20_92_5" localSheetId="12">#REF!</definedName>
    <definedName name="SHARED_FORMULA_20_92_20_92_5" localSheetId="8">#REF!</definedName>
    <definedName name="SHARED_FORMULA_20_92_20_92_5" localSheetId="9">#REF!</definedName>
    <definedName name="SHARED_FORMULA_20_92_20_92_5">#REF!</definedName>
    <definedName name="SHARED_FORMULA_23_3_23_3_5" localSheetId="11">SUM(#REF!)-#REF!</definedName>
    <definedName name="SHARED_FORMULA_23_3_23_3_5" localSheetId="12">SUM(#REF!)-#REF!</definedName>
    <definedName name="SHARED_FORMULA_23_3_23_3_5" localSheetId="8">SUM(#REF!)-#REF!</definedName>
    <definedName name="SHARED_FORMULA_23_3_23_3_5" localSheetId="9">SUM(#REF!)-#REF!</definedName>
    <definedName name="SHARED_FORMULA_23_3_23_3_5">SUM(#REF!)-#REF!</definedName>
    <definedName name="SHARED_FORMULA_23_32_23_32_5" localSheetId="11">SUM(#REF!)-#REF!</definedName>
    <definedName name="SHARED_FORMULA_23_32_23_32_5" localSheetId="12">SUM(#REF!)-#REF!</definedName>
    <definedName name="SHARED_FORMULA_23_32_23_32_5" localSheetId="8">SUM(#REF!)-#REF!</definedName>
    <definedName name="SHARED_FORMULA_23_32_23_32_5" localSheetId="9">SUM(#REF!)-#REF!</definedName>
    <definedName name="SHARED_FORMULA_23_32_23_32_5">SUM(#REF!)-#REF!</definedName>
    <definedName name="SHARED_FORMULA_23_64_23_64_5" localSheetId="11">SUM(#REF!)-#REF!</definedName>
    <definedName name="SHARED_FORMULA_23_64_23_64_5" localSheetId="12">SUM(#REF!)-#REF!</definedName>
    <definedName name="SHARED_FORMULA_23_64_23_64_5" localSheetId="8">SUM(#REF!)-#REF!</definedName>
    <definedName name="SHARED_FORMULA_23_64_23_64_5" localSheetId="9">SUM(#REF!)-#REF!</definedName>
    <definedName name="SHARED_FORMULA_23_64_23_64_5">SUM(#REF!)-#REF!</definedName>
    <definedName name="SHARED_FORMULA_23_96_23_96_5" localSheetId="11">SUM(#REF!)-#REF!</definedName>
    <definedName name="SHARED_FORMULA_23_96_23_96_5" localSheetId="12">SUM(#REF!)-#REF!</definedName>
    <definedName name="SHARED_FORMULA_23_96_23_96_5" localSheetId="8">SUM(#REF!)-#REF!</definedName>
    <definedName name="SHARED_FORMULA_23_96_23_96_5" localSheetId="9">SUM(#REF!)-#REF!</definedName>
    <definedName name="SHARED_FORMULA_23_96_23_96_5">SUM(#REF!)-#REF!</definedName>
    <definedName name="SHARED_FORMULA_25_131_25_131_5" localSheetId="11">SUM(#REF!)-#REF!</definedName>
    <definedName name="SHARED_FORMULA_25_131_25_131_5" localSheetId="12">SUM(#REF!)-#REF!</definedName>
    <definedName name="SHARED_FORMULA_25_131_25_131_5" localSheetId="8">SUM(#REF!)-#REF!</definedName>
    <definedName name="SHARED_FORMULA_25_131_25_131_5" localSheetId="9">SUM(#REF!)-#REF!</definedName>
    <definedName name="SHARED_FORMULA_25_131_25_131_5">SUM(#REF!)-#REF!</definedName>
    <definedName name="SHARED_FORMULA_3_10_3_10_3" localSheetId="11">SUM(#REF!)</definedName>
    <definedName name="SHARED_FORMULA_3_10_3_10_3" localSheetId="12">SUM(#REF!)</definedName>
    <definedName name="SHARED_FORMULA_3_10_3_10_3" localSheetId="8">SUM(#REF!)</definedName>
    <definedName name="SHARED_FORMULA_3_10_3_10_3" localSheetId="9">SUM(#REF!)</definedName>
    <definedName name="SHARED_FORMULA_3_10_3_10_3">SUM(#REF!)</definedName>
    <definedName name="SHARED_FORMULA_3_308_3_308_4" localSheetId="11">SUM(#REF!+#REF!+#REF!)</definedName>
    <definedName name="SHARED_FORMULA_3_308_3_308_4" localSheetId="12">SUM(#REF!+#REF!+#REF!)</definedName>
    <definedName name="SHARED_FORMULA_3_308_3_308_4" localSheetId="8">SUM(#REF!+#REF!+#REF!)</definedName>
    <definedName name="SHARED_FORMULA_3_308_3_308_4" localSheetId="9">SUM(#REF!+#REF!+#REF!)</definedName>
    <definedName name="SHARED_FORMULA_3_308_3_308_4">SUM(#REF!+#REF!+#REF!)</definedName>
    <definedName name="SHARED_FORMULA_3_309_3_309_4" localSheetId="11">#REF!+#REF!+#REF!</definedName>
    <definedName name="SHARED_FORMULA_3_309_3_309_4" localSheetId="12">#REF!+#REF!+#REF!</definedName>
    <definedName name="SHARED_FORMULA_3_309_3_309_4" localSheetId="8">#REF!+#REF!+#REF!</definedName>
    <definedName name="SHARED_FORMULA_3_309_3_309_4" localSheetId="9">#REF!+#REF!+#REF!</definedName>
    <definedName name="SHARED_FORMULA_3_309_3_309_4">#REF!+#REF!+#REF!</definedName>
    <definedName name="SHARED_FORMULA_3_312_3_312_4" localSheetId="11">SUM(#REF!+#REF!+#REF!)</definedName>
    <definedName name="SHARED_FORMULA_3_312_3_312_4" localSheetId="12">SUM(#REF!+#REF!+#REF!)</definedName>
    <definedName name="SHARED_FORMULA_3_312_3_312_4" localSheetId="8">SUM(#REF!+#REF!+#REF!)</definedName>
    <definedName name="SHARED_FORMULA_3_312_3_312_4" localSheetId="9">SUM(#REF!+#REF!+#REF!)</definedName>
    <definedName name="SHARED_FORMULA_3_312_3_312_4">SUM(#REF!+#REF!+#REF!)</definedName>
    <definedName name="SHARED_FORMULA_3_32_3_32_2" localSheetId="11">SUM(#REF!)</definedName>
    <definedName name="SHARED_FORMULA_3_32_3_32_2" localSheetId="12">SUM(#REF!)</definedName>
    <definedName name="SHARED_FORMULA_3_32_3_32_2" localSheetId="8">SUM(#REF!)</definedName>
    <definedName name="SHARED_FORMULA_3_32_3_32_2" localSheetId="9">SUM(#REF!)</definedName>
    <definedName name="SHARED_FORMULA_3_32_3_32_2">SUM(#REF!)</definedName>
    <definedName name="SHARED_FORMULA_3_320_3_320_4" localSheetId="11">SUM(#REF!+#REF!+#REF!+#REF!)</definedName>
    <definedName name="SHARED_FORMULA_3_320_3_320_4" localSheetId="12">SUM(#REF!+#REF!+#REF!+#REF!)</definedName>
    <definedName name="SHARED_FORMULA_3_320_3_320_4" localSheetId="8">SUM(#REF!+#REF!+#REF!+#REF!)</definedName>
    <definedName name="SHARED_FORMULA_3_320_3_320_4" localSheetId="9">SUM(#REF!+#REF!+#REF!+#REF!)</definedName>
    <definedName name="SHARED_FORMULA_3_320_3_320_4">SUM(#REF!+#REF!+#REF!+#REF!)</definedName>
    <definedName name="SHARED_FORMULA_3_321_3_321_4" localSheetId="11">SUM(#REF!+#REF!+#REF!+#REF!)</definedName>
    <definedName name="SHARED_FORMULA_3_321_3_321_4" localSheetId="12">SUM(#REF!+#REF!+#REF!+#REF!)</definedName>
    <definedName name="SHARED_FORMULA_3_321_3_321_4" localSheetId="8">SUM(#REF!+#REF!+#REF!+#REF!)</definedName>
    <definedName name="SHARED_FORMULA_3_321_3_321_4" localSheetId="9">SUM(#REF!+#REF!+#REF!+#REF!)</definedName>
    <definedName name="SHARED_FORMULA_3_321_3_321_4">SUM(#REF!+#REF!+#REF!+#REF!)</definedName>
    <definedName name="SHARED_FORMULA_3_37_3_37_2" localSheetId="11">SUM(#REF!)</definedName>
    <definedName name="SHARED_FORMULA_3_37_3_37_2" localSheetId="12">SUM(#REF!)</definedName>
    <definedName name="SHARED_FORMULA_3_37_3_37_2" localSheetId="8">SUM(#REF!)</definedName>
    <definedName name="SHARED_FORMULA_3_37_3_37_2" localSheetId="9">SUM(#REF!)</definedName>
    <definedName name="SHARED_FORMULA_3_37_3_37_2">SUM(#REF!)</definedName>
    <definedName name="SHARED_FORMULA_3_47_3_47_2" localSheetId="11">SUM(#REF!)</definedName>
    <definedName name="SHARED_FORMULA_3_47_3_47_2" localSheetId="12">SUM(#REF!)</definedName>
    <definedName name="SHARED_FORMULA_3_47_3_47_2" localSheetId="8">SUM(#REF!)</definedName>
    <definedName name="SHARED_FORMULA_3_47_3_47_2" localSheetId="9">SUM(#REF!)</definedName>
    <definedName name="SHARED_FORMULA_3_47_3_47_2">SUM(#REF!)</definedName>
    <definedName name="SHARED_FORMULA_3_59_3_59_5" localSheetId="11">#REF!</definedName>
    <definedName name="SHARED_FORMULA_3_59_3_59_5" localSheetId="12">#REF!</definedName>
    <definedName name="SHARED_FORMULA_3_59_3_59_5" localSheetId="8">#REF!</definedName>
    <definedName name="SHARED_FORMULA_3_59_3_59_5" localSheetId="9">#REF!</definedName>
    <definedName name="SHARED_FORMULA_3_59_3_59_5">#REF!</definedName>
    <definedName name="SHARED_FORMULA_3_77_3_77_5" localSheetId="11">#REF!</definedName>
    <definedName name="SHARED_FORMULA_3_77_3_77_5" localSheetId="12">#REF!</definedName>
    <definedName name="SHARED_FORMULA_3_77_3_77_5" localSheetId="8">#REF!</definedName>
    <definedName name="SHARED_FORMULA_3_77_3_77_5" localSheetId="9">#REF!</definedName>
    <definedName name="SHARED_FORMULA_3_77_3_77_5">#REF!</definedName>
    <definedName name="SHARED_FORMULA_3_94_3_94_5" localSheetId="11">#REF!</definedName>
    <definedName name="SHARED_FORMULA_3_94_3_94_5" localSheetId="12">#REF!</definedName>
    <definedName name="SHARED_FORMULA_3_94_3_94_5" localSheetId="8">#REF!</definedName>
    <definedName name="SHARED_FORMULA_3_94_3_94_5" localSheetId="9">#REF!</definedName>
    <definedName name="SHARED_FORMULA_3_94_3_94_5">#REF!</definedName>
    <definedName name="SHARED_FORMULA_4_133_4_133_5" localSheetId="11">SUM(#REF!)-#REF!-#REF!-#REF!</definedName>
    <definedName name="SHARED_FORMULA_4_133_4_133_5" localSheetId="12">SUM(#REF!)-#REF!-#REF!-#REF!</definedName>
    <definedName name="SHARED_FORMULA_4_133_4_133_5" localSheetId="8">SUM(#REF!)-#REF!-#REF!-#REF!</definedName>
    <definedName name="SHARED_FORMULA_4_133_4_133_5" localSheetId="9">SUM(#REF!)-#REF!-#REF!-#REF!</definedName>
    <definedName name="SHARED_FORMULA_4_133_4_133_5">SUM(#REF!)-#REF!-#REF!-#REF!</definedName>
    <definedName name="SHARED_FORMULA_4_136_4_136_4" localSheetId="11">SUM(#REF!)</definedName>
    <definedName name="SHARED_FORMULA_4_136_4_136_4" localSheetId="12">SUM(#REF!)</definedName>
    <definedName name="SHARED_FORMULA_4_136_4_136_4" localSheetId="8">SUM(#REF!)</definedName>
    <definedName name="SHARED_FORMULA_4_136_4_136_4" localSheetId="9">SUM(#REF!)</definedName>
    <definedName name="SHARED_FORMULA_4_136_4_136_4">SUM(#REF!)</definedName>
    <definedName name="SHARED_FORMULA_4_200_4_200_4" localSheetId="11">SUM(#REF!)</definedName>
    <definedName name="SHARED_FORMULA_4_200_4_200_4" localSheetId="12">SUM(#REF!)</definedName>
    <definedName name="SHARED_FORMULA_4_200_4_200_4" localSheetId="8">SUM(#REF!)</definedName>
    <definedName name="SHARED_FORMULA_4_200_4_200_4" localSheetId="9">SUM(#REF!)</definedName>
    <definedName name="SHARED_FORMULA_4_200_4_200_4">SUM(#REF!)</definedName>
    <definedName name="SHARED_FORMULA_4_264_4_264_4" localSheetId="11">SUM(#REF!)</definedName>
    <definedName name="SHARED_FORMULA_4_264_4_264_4" localSheetId="12">SUM(#REF!)</definedName>
    <definedName name="SHARED_FORMULA_4_264_4_264_4" localSheetId="8">SUM(#REF!)</definedName>
    <definedName name="SHARED_FORMULA_4_264_4_264_4" localSheetId="9">SUM(#REF!)</definedName>
    <definedName name="SHARED_FORMULA_4_264_4_264_4">SUM(#REF!)</definedName>
    <definedName name="SHARED_FORMULA_4_322_4_322_4" localSheetId="11">SUM(#REF!,#REF!,#REF!)</definedName>
    <definedName name="SHARED_FORMULA_4_322_4_322_4" localSheetId="12">SUM(#REF!,#REF!,#REF!)</definedName>
    <definedName name="SHARED_FORMULA_4_322_4_322_4" localSheetId="8">SUM(#REF!,#REF!,#REF!)</definedName>
    <definedName name="SHARED_FORMULA_4_322_4_322_4" localSheetId="9">SUM(#REF!,#REF!,#REF!)</definedName>
    <definedName name="SHARED_FORMULA_4_322_4_322_4">SUM(#REF!,#REF!,#REF!)</definedName>
    <definedName name="SHARED_FORMULA_4_43_4_43_3" localSheetId="11">SUM(#REF!,#REF!,#REF!,#REF!,#REF!,#REF!,#REF!,#REF!,#REF!,#REF!,#REF!,#REF!,#REF!,#REF!)</definedName>
    <definedName name="SHARED_FORMULA_4_43_4_43_3" localSheetId="12">SUM(#REF!,#REF!,#REF!,#REF!,#REF!,#REF!,#REF!,#REF!,#REF!,#REF!,#REF!,#REF!,#REF!,#REF!)</definedName>
    <definedName name="SHARED_FORMULA_4_43_4_43_3" localSheetId="8">SUM(#REF!,#REF!,#REF!,#REF!,#REF!,#REF!,#REF!,#REF!,#REF!,#REF!,#REF!,#REF!,#REF!,#REF!)</definedName>
    <definedName name="SHARED_FORMULA_4_43_4_43_3" localSheetId="9">SUM(#REF!,#REF!,#REF!,#REF!,#REF!,#REF!,#REF!,#REF!,#REF!,#REF!,#REF!,#REF!,#REF!,#REF!)</definedName>
    <definedName name="SHARED_FORMULA_4_43_4_43_3">SUM(#REF!,#REF!,#REF!,#REF!,#REF!,#REF!,#REF!,#REF!,#REF!,#REF!,#REF!,#REF!,#REF!,#REF!)</definedName>
    <definedName name="SHARED_FORMULA_4_58_4_58_2" localSheetId="11">SUM(#REF!,#REF!,#REF!,#REF!,#REF!,#REF!,#REF!,#REF!,#REF!,#REF!,#REF!)</definedName>
    <definedName name="SHARED_FORMULA_4_58_4_58_2" localSheetId="12">SUM(#REF!,#REF!,#REF!,#REF!,#REF!,#REF!,#REF!,#REF!,#REF!,#REF!,#REF!)</definedName>
    <definedName name="SHARED_FORMULA_4_58_4_58_2" localSheetId="8">SUM(#REF!,#REF!,#REF!,#REF!,#REF!,#REF!,#REF!,#REF!,#REF!,#REF!,#REF!)</definedName>
    <definedName name="SHARED_FORMULA_4_58_4_58_2" localSheetId="9">SUM(#REF!,#REF!,#REF!,#REF!,#REF!,#REF!,#REF!,#REF!,#REF!,#REF!,#REF!)</definedName>
    <definedName name="SHARED_FORMULA_4_58_4_58_2">SUM(#REF!,#REF!,#REF!,#REF!,#REF!,#REF!,#REF!,#REF!,#REF!,#REF!,#REF!)</definedName>
    <definedName name="SHARED_FORMULA_4_73_4_73_4" localSheetId="11">SUM(#REF!)</definedName>
    <definedName name="SHARED_FORMULA_4_73_4_73_4" localSheetId="12">SUM(#REF!)</definedName>
    <definedName name="SHARED_FORMULA_4_73_4_73_4" localSheetId="8">SUM(#REF!)</definedName>
    <definedName name="SHARED_FORMULA_4_73_4_73_4" localSheetId="9">SUM(#REF!)</definedName>
    <definedName name="SHARED_FORMULA_4_73_4_73_4">SUM(#REF!)</definedName>
    <definedName name="SHARED_FORMULA_4_8_4_8_4" localSheetId="11">SUM(#REF!)</definedName>
    <definedName name="SHARED_FORMULA_4_8_4_8_4" localSheetId="12">SUM(#REF!)</definedName>
    <definedName name="SHARED_FORMULA_4_8_4_8_4" localSheetId="8">SUM(#REF!)</definedName>
    <definedName name="SHARED_FORMULA_4_8_4_8_4" localSheetId="9">SUM(#REF!)</definedName>
    <definedName name="SHARED_FORMULA_4_8_4_8_4">SUM(#REF!)</definedName>
    <definedName name="SHARED_FORMULA_4_9_4_9_3" localSheetId="11">SUM(#REF!)</definedName>
    <definedName name="SHARED_FORMULA_4_9_4_9_3" localSheetId="12">SUM(#REF!)</definedName>
    <definedName name="SHARED_FORMULA_4_9_4_9_3" localSheetId="8">SUM(#REF!)</definedName>
    <definedName name="SHARED_FORMULA_4_9_4_9_3" localSheetId="9">SUM(#REF!)</definedName>
    <definedName name="SHARED_FORMULA_4_9_4_9_3">SUM(#REF!)</definedName>
    <definedName name="SHARED_FORMULA_5_108_5_108_5" localSheetId="11">#REF!</definedName>
    <definedName name="SHARED_FORMULA_5_108_5_108_5" localSheetId="12">#REF!</definedName>
    <definedName name="SHARED_FORMULA_5_108_5_108_5" localSheetId="8">#REF!</definedName>
    <definedName name="SHARED_FORMULA_5_108_5_108_5" localSheetId="9">#REF!</definedName>
    <definedName name="SHARED_FORMULA_5_108_5_108_5">#REF!</definedName>
    <definedName name="SHARED_FORMULA_5_109_5_109_5" localSheetId="11">#REF!</definedName>
    <definedName name="SHARED_FORMULA_5_109_5_109_5" localSheetId="12">#REF!</definedName>
    <definedName name="SHARED_FORMULA_5_109_5_109_5" localSheetId="8">#REF!</definedName>
    <definedName name="SHARED_FORMULA_5_109_5_109_5" localSheetId="9">#REF!</definedName>
    <definedName name="SHARED_FORMULA_5_109_5_109_5">#REF!</definedName>
    <definedName name="SHARED_FORMULA_5_129_5_129_5" localSheetId="11">#REF!</definedName>
    <definedName name="SHARED_FORMULA_5_129_5_129_5" localSheetId="12">#REF!</definedName>
    <definedName name="SHARED_FORMULA_5_129_5_129_5" localSheetId="8">#REF!</definedName>
    <definedName name="SHARED_FORMULA_5_129_5_129_5" localSheetId="9">#REF!</definedName>
    <definedName name="SHARED_FORMULA_5_129_5_129_5">#REF!</definedName>
    <definedName name="SHARED_FORMULA_5_19_5_19_5" localSheetId="11">#REF!</definedName>
    <definedName name="SHARED_FORMULA_5_19_5_19_5" localSheetId="12">#REF!</definedName>
    <definedName name="SHARED_FORMULA_5_19_5_19_5" localSheetId="8">#REF!</definedName>
    <definedName name="SHARED_FORMULA_5_19_5_19_5" localSheetId="9">#REF!</definedName>
    <definedName name="SHARED_FORMULA_5_19_5_19_5">#REF!</definedName>
    <definedName name="SHARED_FORMULA_5_28_5_28_5" localSheetId="11">#REF!</definedName>
    <definedName name="SHARED_FORMULA_5_28_5_28_5" localSheetId="12">#REF!</definedName>
    <definedName name="SHARED_FORMULA_5_28_5_28_5" localSheetId="8">#REF!</definedName>
    <definedName name="SHARED_FORMULA_5_28_5_28_5" localSheetId="9">#REF!</definedName>
    <definedName name="SHARED_FORMULA_5_28_5_28_5">#REF!</definedName>
    <definedName name="SHARED_FORMULA_5_288_5_288_4" localSheetId="11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12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8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9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9_5_289_4" localSheetId="11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12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8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9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35_5_35_5" localSheetId="11">#REF!</definedName>
    <definedName name="SHARED_FORMULA_5_35_5_35_5" localSheetId="12">#REF!</definedName>
    <definedName name="SHARED_FORMULA_5_35_5_35_5" localSheetId="8">#REF!</definedName>
    <definedName name="SHARED_FORMULA_5_35_5_35_5" localSheetId="9">#REF!</definedName>
    <definedName name="SHARED_FORMULA_5_35_5_35_5">#REF!</definedName>
    <definedName name="SHARED_FORMULA_5_69_5_69_5" localSheetId="11">#REF!</definedName>
    <definedName name="SHARED_FORMULA_5_69_5_69_5" localSheetId="12">#REF!</definedName>
    <definedName name="SHARED_FORMULA_5_69_5_69_5" localSheetId="8">#REF!</definedName>
    <definedName name="SHARED_FORMULA_5_69_5_69_5" localSheetId="9">#REF!</definedName>
    <definedName name="SHARED_FORMULA_5_69_5_69_5">#REF!</definedName>
    <definedName name="SHARED_FORMULA_5_7_5_7_5" localSheetId="11">#REF!</definedName>
    <definedName name="SHARED_FORMULA_5_7_5_7_5" localSheetId="12">#REF!</definedName>
    <definedName name="SHARED_FORMULA_5_7_5_7_5" localSheetId="8">#REF!</definedName>
    <definedName name="SHARED_FORMULA_5_7_5_7_5" localSheetId="9">#REF!</definedName>
    <definedName name="SHARED_FORMULA_5_7_5_7_5">#REF!</definedName>
    <definedName name="SHARED_FORMULA_6_5_6_5_0" localSheetId="11">#REF!/#REF!*100</definedName>
    <definedName name="SHARED_FORMULA_6_5_6_5_0" localSheetId="12">#REF!/#REF!*100</definedName>
    <definedName name="SHARED_FORMULA_6_5_6_5_0" localSheetId="8">#REF!/#REF!*100</definedName>
    <definedName name="SHARED_FORMULA_6_5_6_5_0" localSheetId="9">#REF!/#REF!*100</definedName>
    <definedName name="SHARED_FORMULA_6_5_6_5_0">#REF!/#REF!*100</definedName>
    <definedName name="SHARED_FORMULA_7_62_7_62_5" localSheetId="11">#REF!</definedName>
    <definedName name="SHARED_FORMULA_7_62_7_62_5" localSheetId="12">#REF!</definedName>
    <definedName name="SHARED_FORMULA_7_62_7_62_5" localSheetId="8">#REF!</definedName>
    <definedName name="SHARED_FORMULA_7_62_7_62_5" localSheetId="9">#REF!</definedName>
    <definedName name="SHARED_FORMULA_7_62_7_62_5">#REF!</definedName>
    <definedName name="SHARED_FORMULA_7_82_7_82_5" localSheetId="11">#REF!</definedName>
    <definedName name="SHARED_FORMULA_7_82_7_82_5" localSheetId="12">#REF!</definedName>
    <definedName name="SHARED_FORMULA_7_82_7_82_5" localSheetId="8">#REF!</definedName>
    <definedName name="SHARED_FORMULA_7_82_7_82_5" localSheetId="9">#REF!</definedName>
    <definedName name="SHARED_FORMULA_7_82_7_82_5">#REF!</definedName>
    <definedName name="SHARED_FORMULA_7_93_7_93_5" localSheetId="11">#REF!</definedName>
    <definedName name="SHARED_FORMULA_7_93_7_93_5" localSheetId="12">#REF!</definedName>
    <definedName name="SHARED_FORMULA_7_93_7_93_5" localSheetId="8">#REF!</definedName>
    <definedName name="SHARED_FORMULA_7_93_7_93_5" localSheetId="9">#REF!</definedName>
    <definedName name="SHARED_FORMULA_7_93_7_93_5">#REF!</definedName>
    <definedName name="SHARED_FORMULA_8_48_8_48_5" localSheetId="11">#REF!</definedName>
    <definedName name="SHARED_FORMULA_8_48_8_48_5" localSheetId="12">#REF!</definedName>
    <definedName name="SHARED_FORMULA_8_48_8_48_5" localSheetId="8">#REF!</definedName>
    <definedName name="SHARED_FORMULA_8_48_8_48_5" localSheetId="9">#REF!</definedName>
    <definedName name="SHARED_FORMULA_8_48_8_48_5">#REF!</definedName>
    <definedName name="SHARED_FORMULA_9_112_9_112_5" localSheetId="11">#REF!</definedName>
    <definedName name="SHARED_FORMULA_9_112_9_112_5" localSheetId="12">#REF!</definedName>
    <definedName name="SHARED_FORMULA_9_112_9_112_5" localSheetId="8">#REF!</definedName>
    <definedName name="SHARED_FORMULA_9_112_9_112_5" localSheetId="9">#REF!</definedName>
    <definedName name="SHARED_FORMULA_9_112_9_112_5">#REF!</definedName>
    <definedName name="SHARED_FORMULA_9_118_9_118_5" localSheetId="11">#REF!</definedName>
    <definedName name="SHARED_FORMULA_9_118_9_118_5" localSheetId="12">#REF!</definedName>
    <definedName name="SHARED_FORMULA_9_118_9_118_5" localSheetId="8">#REF!</definedName>
    <definedName name="SHARED_FORMULA_9_118_9_118_5" localSheetId="9">#REF!</definedName>
    <definedName name="SHARED_FORMULA_9_118_9_118_5">#REF!</definedName>
    <definedName name="SHARED_FORMULA_9_44_9_44_5" localSheetId="11">#REF!</definedName>
    <definedName name="SHARED_FORMULA_9_44_9_44_5" localSheetId="12">#REF!</definedName>
    <definedName name="SHARED_FORMULA_9_44_9_44_5" localSheetId="8">#REF!</definedName>
    <definedName name="SHARED_FORMULA_9_44_9_44_5" localSheetId="9">#REF!</definedName>
    <definedName name="SHARED_FORMULA_9_44_9_44_5">#REF!</definedName>
    <definedName name="SHARED_FORMULA_9_53_9_53_5" localSheetId="11">#REF!</definedName>
    <definedName name="SHARED_FORMULA_9_53_9_53_5" localSheetId="12">#REF!</definedName>
    <definedName name="SHARED_FORMULA_9_53_9_53_5" localSheetId="8">#REF!</definedName>
    <definedName name="SHARED_FORMULA_9_53_9_53_5" localSheetId="9">#REF!</definedName>
    <definedName name="SHARED_FORMULA_9_53_9_53_5">#REF!</definedName>
    <definedName name="SHARED_FORMULA_9_77_9_77_5" localSheetId="11">#REF!</definedName>
    <definedName name="SHARED_FORMULA_9_77_9_77_5" localSheetId="12">#REF!</definedName>
    <definedName name="SHARED_FORMULA_9_77_9_77_5" localSheetId="8">#REF!</definedName>
    <definedName name="SHARED_FORMULA_9_77_9_77_5" localSheetId="9">#REF!</definedName>
    <definedName name="SHARED_FORMULA_9_77_9_77_5">#REF!</definedName>
    <definedName name="SHARED_FORMULA_9_98_9_98_5" localSheetId="11">#REF!</definedName>
    <definedName name="SHARED_FORMULA_9_98_9_98_5" localSheetId="12">#REF!</definedName>
    <definedName name="SHARED_FORMULA_9_98_9_98_5" localSheetId="8">#REF!</definedName>
    <definedName name="SHARED_FORMULA_9_98_9_98_5" localSheetId="9">#REF!</definedName>
    <definedName name="SHARED_FORMULA_9_98_9_98_5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<sst xmlns="http://schemas.openxmlformats.org/spreadsheetml/2006/main" count="2230" uniqueCount="960">
  <si>
    <t>Tata Város Önkormányzata és az általa irányított költségvetési szervek 2014. évi bevételei forrásonként ( E Ft-ban)</t>
  </si>
  <si>
    <t>Zárolt vissza nem térítendő támogatások</t>
  </si>
  <si>
    <t xml:space="preserve">Tata Város Önkormányzata és az általa irányított költségvetési szervek 2014. évi kiadásai </t>
  </si>
  <si>
    <t>Önkormányzati költségvetési szervek engedélyezett létszáma</t>
  </si>
  <si>
    <t>Zárolt felhalmozási célú támogatások államháztartáson belülről (vissza nem térítendő)</t>
  </si>
  <si>
    <t>Termőföld alapú támogatás</t>
  </si>
  <si>
    <t>Költségvetési szervek megnevezése</t>
  </si>
  <si>
    <t>Engedélyezett létszám (fő)</t>
  </si>
  <si>
    <t>2014. évi felhalmozási célú bevételek és kiadások mérlege (E Ft-ban)</t>
  </si>
  <si>
    <t>Fürdő utcai Óvoda</t>
  </si>
  <si>
    <t>Szivárvány Óvoda</t>
  </si>
  <si>
    <t>Geszti Óvoda</t>
  </si>
  <si>
    <t>Bartók B. úti Óvoda</t>
  </si>
  <si>
    <t>Kertvárosi Óvoda</t>
  </si>
  <si>
    <t>Kincseskert Óvoda</t>
  </si>
  <si>
    <t>Bergengócia Óvoda</t>
  </si>
  <si>
    <t>Csillagsziget Bölcsőde</t>
  </si>
  <si>
    <t>Móricz Zsigmond Könyvtár</t>
  </si>
  <si>
    <t xml:space="preserve">Intézmények Gazdasági Hivatala </t>
  </si>
  <si>
    <t>Kuny Domokos Múzeum</t>
  </si>
  <si>
    <t>Városi Önkormányzat Intézmények összesen:</t>
  </si>
  <si>
    <t>- Közös Hivatal székhely szerinti szervezeti egysége</t>
  </si>
  <si>
    <t>- Neszmélyi Kirendeltség</t>
  </si>
  <si>
    <t>Önkormányzati közfoglalkoztatottak éves létszám-erőirányzata</t>
  </si>
  <si>
    <t>Hosszabb időtartamú közfoglalkoztatás</t>
  </si>
  <si>
    <t>Tatai Egészségügyi Alapellátó Intézmény</t>
  </si>
  <si>
    <t>Dunaalmási Kirendeltség</t>
  </si>
  <si>
    <t>Dunaszentmiklósi Kirendeltség</t>
  </si>
  <si>
    <t>Hódy Sport Egyesületnek</t>
  </si>
  <si>
    <t>Klapka Focisulinak</t>
  </si>
  <si>
    <t>Vívó Sport Egyesületnek</t>
  </si>
  <si>
    <t>Tatai Sportegyesületnek</t>
  </si>
  <si>
    <t>Dunaalmás Önkormányzatától</t>
  </si>
  <si>
    <t>( kiemelt előirányzatok szerinti részletezésben ) E Ft-ban</t>
  </si>
  <si>
    <t>Kiadások</t>
  </si>
  <si>
    <t>Intézmények Gazdasági Hivatala és a hozzá tartozó Intézményei</t>
  </si>
  <si>
    <t xml:space="preserve">Kuny Domokos  Múzeum </t>
  </si>
  <si>
    <t>Személyi juttatások</t>
  </si>
  <si>
    <t>Munkaadót terhelő járulékok és szociális hozzájárulási adó</t>
  </si>
  <si>
    <t>Dologi kiadások</t>
  </si>
  <si>
    <t>Ellátottak pénzbeli juttatása</t>
  </si>
  <si>
    <t>Egyéb működési kiadás</t>
  </si>
  <si>
    <t>Garancia és kezességvállalás</t>
  </si>
  <si>
    <t>Visszatérítendő támogatások és kölcsönök</t>
  </si>
  <si>
    <t>Egyéb működési célú támogatások (vissza nem térítendő)</t>
  </si>
  <si>
    <t xml:space="preserve"> - Általános tartalék</t>
  </si>
  <si>
    <t>Ellátottak pénzbeli juttatásai</t>
  </si>
  <si>
    <t>Központi költségvetésből származó támogatás</t>
  </si>
  <si>
    <t>Hiány finanszírozása belső forrásból:</t>
  </si>
  <si>
    <t xml:space="preserve"> - Pénzmaradvány</t>
  </si>
  <si>
    <t>Hiány finanszírozása külső forrásból:</t>
  </si>
  <si>
    <t>Általános működési és ágazati támogatás</t>
  </si>
  <si>
    <t>Termékek és szolgáltatások</t>
  </si>
  <si>
    <t>Késedelmi pótlék és pénzbírság</t>
  </si>
  <si>
    <t>Szolgáltatások ellenértéke</t>
  </si>
  <si>
    <t>Tulajdonosi bevételek</t>
  </si>
  <si>
    <t>Garancia és kezességvállalásból visszatérülés (Távhőtől)</t>
  </si>
  <si>
    <t>Iparűzési adóból</t>
  </si>
  <si>
    <t>Föld- és ingatlan értékesítésből átcsoportosítandó</t>
  </si>
  <si>
    <t>Zárolt vissza nem térítendő támogatás</t>
  </si>
  <si>
    <t>Felhalmozási célú visszatérítendő támogatás és kölcsön</t>
  </si>
  <si>
    <t xml:space="preserve">Egyéb felhalmozási célú átvett pénzeszközök </t>
  </si>
  <si>
    <t>Visszatérítendő támogatás és kölcsön</t>
  </si>
  <si>
    <t>Egyéb működési célú támogatás (vissza nem térítendő)</t>
  </si>
  <si>
    <t xml:space="preserve"> - Működési céltartalék</t>
  </si>
  <si>
    <t>Beruházás ( ÁFA-val )</t>
  </si>
  <si>
    <t>Felújítás ( ÁFA-val )</t>
  </si>
  <si>
    <t>Egyéb felhalmozási kiadások</t>
  </si>
  <si>
    <t>Egyéb felhalmozási célú támogatások (vissza nem térítendő)</t>
  </si>
  <si>
    <t xml:space="preserve"> - Felhalmozási tartalék</t>
  </si>
  <si>
    <t xml:space="preserve"> - Felhalmozási céltartalék</t>
  </si>
  <si>
    <t xml:space="preserve"> - Zárolt tartalék</t>
  </si>
  <si>
    <t>KÖLTSÉGVETÉSI KIADÁSOK ÖSSZESEN</t>
  </si>
  <si>
    <t>FINANSZÍROZÁSI KIADÁSOK ÖSSZESEN</t>
  </si>
  <si>
    <t>KIADÁSOK MINDÖSSZESEN</t>
  </si>
  <si>
    <t>Tata Város Önkormányzatának 2014. évi</t>
  </si>
  <si>
    <t>általános működési és ágazati feladatainak támogatásáról (E Ft-ban)</t>
  </si>
  <si>
    <t>Közutak, hidak, alagutak üzemeltetése, fenntartása dologi kiadásainak fedezetére</t>
  </si>
  <si>
    <t>Közvilágítás dologi kiadásainak fedezetére</t>
  </si>
  <si>
    <t>Zöldterület kezelés (Parkfenntartás) dologi kiadásainak fedezetére</t>
  </si>
  <si>
    <t>Neszmély Önkormányzatától</t>
  </si>
  <si>
    <t>Dunaszentmiklós Önkormányzatától</t>
  </si>
  <si>
    <t>Bevételek</t>
  </si>
  <si>
    <t>Működési támogatások</t>
  </si>
  <si>
    <t>Központosított támogatások</t>
  </si>
  <si>
    <t>Általános működés és ágazati feladatok támogatása</t>
  </si>
  <si>
    <t>Egyes szociális feladatok támogatása</t>
  </si>
  <si>
    <t>Működési célú támogatások</t>
  </si>
  <si>
    <t>Visszatérítendő támogatások és kölcsönök (igénylés és visszatérülés)</t>
  </si>
  <si>
    <t>Vissza nem térítendő támogatások</t>
  </si>
  <si>
    <t>Felhalmozási célú támogatások</t>
  </si>
  <si>
    <t>Közhatalmi bevétel</t>
  </si>
  <si>
    <t>Vagyoni típusú adók</t>
  </si>
  <si>
    <t xml:space="preserve"> - Építményadó</t>
  </si>
  <si>
    <t xml:space="preserve"> - Telekadó</t>
  </si>
  <si>
    <t xml:space="preserve"> - Idegenforgalmi adó</t>
  </si>
  <si>
    <t xml:space="preserve">Termékek és szolgáltatások </t>
  </si>
  <si>
    <t xml:space="preserve"> - Iparűzési adó</t>
  </si>
  <si>
    <t xml:space="preserve"> - Gépjárműadó</t>
  </si>
  <si>
    <t xml:space="preserve"> - Talajterhelési díj</t>
  </si>
  <si>
    <t>Szabálysértési és helyszíni bírság</t>
  </si>
  <si>
    <t>Késedelmi pótlék, pénzbírság</t>
  </si>
  <si>
    <t>Működési bevételek</t>
  </si>
  <si>
    <t>Szolgáltatások ellenértéke (bérleti díjak, közvetített szolgáltatások)</t>
  </si>
  <si>
    <t xml:space="preserve"> - ebből lakbér</t>
  </si>
  <si>
    <t>Ellátási díjak</t>
  </si>
  <si>
    <t>Kamatbevétel</t>
  </si>
  <si>
    <t>Felhalmozási bevételek</t>
  </si>
  <si>
    <t>Ingatlanok (döntéstől számított 3 hónapig)</t>
  </si>
  <si>
    <t>Működési célú átvett pénzeszközök</t>
  </si>
  <si>
    <t>Működési célú visszatérítendő támogatások és kölcsönök</t>
  </si>
  <si>
    <t>Egyéb működési célú átvett pénzeszközök</t>
  </si>
  <si>
    <t>Felhalmozási célú átvett pénzeszközök</t>
  </si>
  <si>
    <t>Felhalmozási célú visszatérítendő támogatások és kölcsönök</t>
  </si>
  <si>
    <t>Egyéb felhalmozási célú átvett pénzeszközök</t>
  </si>
  <si>
    <t>KÖLTSÉGVETÉSI BEVÉTELEK ÖSSZESEN</t>
  </si>
  <si>
    <t>Hitel, kölcsönfelvétel</t>
  </si>
  <si>
    <t>Előző évi költségvetési maradványának igénybevétele</t>
  </si>
  <si>
    <t>Irányító szervi támogatás</t>
  </si>
  <si>
    <t>FINANSZÍROZÁSI BEVÉTELEK ÖSSZESEN</t>
  </si>
  <si>
    <t>BEVÉTELEK MINDÖSSZESEN</t>
  </si>
  <si>
    <t>(E Ft-ban)</t>
  </si>
  <si>
    <t>Megnevezés</t>
  </si>
  <si>
    <t xml:space="preserve">Eredeti </t>
  </si>
  <si>
    <t>Lehívható központi támogatás Eredeti</t>
  </si>
  <si>
    <t>Foglalkoztatást helyettesítő támogatás</t>
  </si>
  <si>
    <t>Lakásfenntartási támogatás (normatív)</t>
  </si>
  <si>
    <t>Ápolási díj (helyi megállapítás)</t>
  </si>
  <si>
    <t>Tatai fiatalok életkezdési támogatásához</t>
  </si>
  <si>
    <t>Közlekedési támogatás tanulóknak</t>
  </si>
  <si>
    <t>Óvodáztatási támogatás</t>
  </si>
  <si>
    <t>Rászorultságtól függő pénzbeli szociális, gyermekvédelmi ellátások összesen</t>
  </si>
  <si>
    <t>Önkormányzati saját hatáskörben adott természetbeni ellátás (HPV védőoltás)</t>
  </si>
  <si>
    <t>Köztemetés</t>
  </si>
  <si>
    <t>Közgyógyellátás</t>
  </si>
  <si>
    <t>Természetben nyújtott átmeneti segély</t>
  </si>
  <si>
    <t>Tatai Városkapu Zrt. működési feladataira</t>
  </si>
  <si>
    <t>Természetben nyújtott ellátások összesen</t>
  </si>
  <si>
    <t>Önkormányzatok által folyósított szociális, gyermekvédelmi ellátások összesen:</t>
  </si>
  <si>
    <t>Rendszeres szociális segély (egészségkárosodottak részére)</t>
  </si>
  <si>
    <t>Adósságkezelési szolgáltatással kapcsolatos támogatás</t>
  </si>
  <si>
    <t>Tata</t>
  </si>
  <si>
    <t>Tata összesen</t>
  </si>
  <si>
    <t>Neszmély</t>
  </si>
  <si>
    <t>Neszmély összesen</t>
  </si>
  <si>
    <t>Dunaalmás</t>
  </si>
  <si>
    <t>Dunaalmás összesen</t>
  </si>
  <si>
    <t>Dunaszentmiklós</t>
  </si>
  <si>
    <t>Dunaszentmiklós összesen</t>
  </si>
  <si>
    <t>Pénzbeni és természetbeni segély</t>
  </si>
  <si>
    <t>Aktív korúak rendszeres szociális segélye</t>
  </si>
  <si>
    <t>Tata Város Önkormányzata által folyósított 2014. évi ellátottak pénzbeli juttatásának részletezése</t>
  </si>
  <si>
    <t>Tatai Közös Önkormányzati Hivatal által folyósított 2014. évi ellátottak pénzbeli juttatásának részletezése</t>
  </si>
  <si>
    <t>Működési tartalékok</t>
  </si>
  <si>
    <t>Általános tartalék</t>
  </si>
  <si>
    <t>Működési tartalék</t>
  </si>
  <si>
    <t>Működési céltartalék</t>
  </si>
  <si>
    <t>Tatai Televízió Közalapítványnak sikertelen pályázat esetén</t>
  </si>
  <si>
    <t xml:space="preserve">Felhalmozási tartalékok </t>
  </si>
  <si>
    <t>Felhalmozási tartalék</t>
  </si>
  <si>
    <t>Felhalmozási céltartalék</t>
  </si>
  <si>
    <t>Zárolt tartalék</t>
  </si>
  <si>
    <t>MINDÖSSZESEN:</t>
  </si>
  <si>
    <t>Eredeti</t>
  </si>
  <si>
    <t>Önkormányzat</t>
  </si>
  <si>
    <t>Tatai Angolpark rehabilitációja KDOP -2.1.1/B-2f-2009-0002</t>
  </si>
  <si>
    <t>Öreg-tavi Ökoturisztikai Központ kialakítása a csatlakozó kerékpárutak felújításával Tatán és a tematikus aktív turisztikai fejlesztések a kistérségben KDOP–2.1.1/B–09-2010-0002</t>
  </si>
  <si>
    <t>Természetes vizes élőhely kialakítása a tatai Réti 8-as tó  rehabilitációjával KEOP–7.3.1.2/09-11-2011-0023</t>
  </si>
  <si>
    <t>Intermodális közösségi közlekedési központ létrehozása Tatán KÖZOP–5.5.0-09-11-2011-0010</t>
  </si>
  <si>
    <t>Ökoturisztikai tanösvény kialakítása a tatai Fényes-Fürdő területén KDOP-2.1.1/B-12-2012-0046</t>
  </si>
  <si>
    <t>Tatai Közös Önkormányzati Hivatal</t>
  </si>
  <si>
    <t xml:space="preserve">Kuny Domokos Múzeum </t>
  </si>
  <si>
    <t>Mindösszesen</t>
  </si>
  <si>
    <t>Óvodafejlesztés TÁMOP-3.1.11-12/1.2</t>
  </si>
  <si>
    <t>E Ft-ban</t>
  </si>
  <si>
    <t>011130</t>
  </si>
  <si>
    <t>Fekete út- Arany J.u- Komáromi út Nagykert u. csapadékvíz elvezetés kivitelezés I. ütem</t>
  </si>
  <si>
    <t xml:space="preserve">Tavasz u. vízelvezetés II. ütem </t>
  </si>
  <si>
    <t>Tatai 17/4 hrsz-ú ingatlanon sportcsarnok kialakítása</t>
  </si>
  <si>
    <t>Kossuth tér városközpont értékmegőrző rehabilitációja KDOP–3.1.1/A–09-1f-2010-0001</t>
  </si>
  <si>
    <t>Kossuth téren közterületi szobor felállítása NKA - AN2000N6284</t>
  </si>
  <si>
    <t>Tatabánya-Vértesszőlős-Tata településeket összekötő közlekedési célú kerékpárút építése az Általér mentén KÖZOP–3.2.0/c-08-2010-0003</t>
  </si>
  <si>
    <t>A munka és a magánélet összehangolását segítő helyi kezdeményezések megvalósítása Tata városában” (Tata Város Önkormányzata) TÁMOP-2.4.5-12/3-2012-0028</t>
  </si>
  <si>
    <t>Egészségre nevelő és szemléletformáló életmódprogramok a Tatai Kistérségben TÁMOP-6.1.2/11/3</t>
  </si>
  <si>
    <t>A munka és a magánélet összehangolása a Tatai Polgármesteri Hivatalban” TÁMOP-2.4.5-12/7-2012-0705</t>
  </si>
  <si>
    <t>Tata Város Önkormányzatának szervezetfejlesztése ÁROP – 1.A.5-2013-2013-0003</t>
  </si>
  <si>
    <t>Közigazgatási partnerség építése Tatán ÁROP – 1.A.6-2013-2013-0007</t>
  </si>
  <si>
    <t>Országos Mentőszolgálat Tatai Állomásának</t>
  </si>
  <si>
    <t>Fényes Fürdő Kft.-nek tagi kölcön</t>
  </si>
  <si>
    <t>Tatai Városkapu Zrt. támogatása</t>
  </si>
  <si>
    <t>Tatai Városkapu Zrt.-nek a megvalósuló projektek üzemeltetési költségeire (Angolpark, Ökoturisztikai központ, Fényesi ökoturisztikai tanösvény)</t>
  </si>
  <si>
    <t>Pályázatokkal kapcsolatos feladatok</t>
  </si>
  <si>
    <t>Útfejlesztésekkel kapcsolatos feladatok</t>
  </si>
  <si>
    <t>Vízelvezetéssel kapcsolatos feladatok</t>
  </si>
  <si>
    <t>Közvilágítással és közbiztonsággal kapcsolatos feladatok</t>
  </si>
  <si>
    <t>Önkormányzati támogatás a lakosság energiatakarékos felújításaihoz</t>
  </si>
  <si>
    <t>Önkormányzati tulajdonú ingatlanokon végzendő felújítási feladatok</t>
  </si>
  <si>
    <t>Egyéb működési bevétel</t>
  </si>
  <si>
    <t>Ingatlanok</t>
  </si>
  <si>
    <t xml:space="preserve">Ingatlanok értékesítése </t>
  </si>
  <si>
    <t>A tatai Réti 8-as számú tó vízi élőhellyé történő rehabilitációja KEOP – 3.1.2/2F/09-11-2013-0014</t>
  </si>
  <si>
    <t>A tatai Angolkert természeti és kulturális örökségének helyreállítása KEOP – 3.1.2/2F/09-11-2013-0043</t>
  </si>
  <si>
    <t>„C” típusú kilátó megvalósítása a 66/2013. (VII.29.) VM rendelet alapján</t>
  </si>
  <si>
    <t>Garancia és kezességvállalásból származó visszatérülés (Tatai Távhő Kft-től)</t>
  </si>
  <si>
    <t xml:space="preserve">Belső finanszírozás, pénzmaradvány </t>
  </si>
  <si>
    <t xml:space="preserve">Külső finanszírozás hitel felvétel </t>
  </si>
  <si>
    <t>Irányítószervi támogatás folyósítás</t>
  </si>
  <si>
    <t>KÖLTSÉGVETÉSI BEVÉTELEK ÖSSZESEN:</t>
  </si>
  <si>
    <t>KÖLTSÉGVETÉSI KIADÁSOK ÖSSZESEN:</t>
  </si>
  <si>
    <t>FINANSZÍROZÁSI BEVÉTELEK ÖSSZESEN:</t>
  </si>
  <si>
    <t>FINANSZÍROZÁSI KIADÁSOK ÖSSZESEN:</t>
  </si>
  <si>
    <t>Tata Város Önkormányzat 2014. évi költségvetési terve (kormányzati funkciók és kiemelt előirányzatok szerinti bontásban) ( E Ft-ban)</t>
  </si>
  <si>
    <t>Tatai Közös Önkormányzati Hivatal 2014. évi költségvetési terve (kormányzati funkciók és kiemelt előirányzatok szerinti bontásban) ( E Ft-ban)</t>
  </si>
  <si>
    <t>FELHALMOZÁSI TARTALÉK</t>
  </si>
  <si>
    <t>MŰKÖDÉSI TARTALÉK</t>
  </si>
  <si>
    <t>Tulipán u., Nyírfa u. mart aszfaltos felújítása</t>
  </si>
  <si>
    <t>Tópart sétány közvilágítás (Casablanca- Pötörke malom) kivitelezés</t>
  </si>
  <si>
    <t>Tata, közvilágítás hálózat korszerűsítése KEOP– 5.5.0/A.-12-2013-0229</t>
  </si>
  <si>
    <t>066020</t>
  </si>
  <si>
    <t>Térfigyelő kamerarendszer</t>
  </si>
  <si>
    <t>081071</t>
  </si>
  <si>
    <t>Összesen:</t>
  </si>
  <si>
    <t>A tatai Vaszary villa felújítása AN2000N9038</t>
  </si>
  <si>
    <t>Rákóczi u. 9. homlokzat felújítás</t>
  </si>
  <si>
    <t>Újvilág u. II. ütem mart aszfaltos felújítása</t>
  </si>
  <si>
    <t>Balogh F. u. Határ u. mart aszfaltos felújítása</t>
  </si>
  <si>
    <t>Tatai Közös Önkormányzati hivatal tatai épületében aula üvegfödém</t>
  </si>
  <si>
    <t>ÖNKORMÁNYZAT</t>
  </si>
  <si>
    <t>Tulajdonosi bevételek (használatba adásból, üzemeltetésbe adásból származó bevételek)</t>
  </si>
  <si>
    <t>ÁFA bevétel</t>
  </si>
  <si>
    <t>Egyéb tárgyi eszköz értékesítése (döntéstől számított 3 hónapig)</t>
  </si>
  <si>
    <t>Működési célú pénzeszközátadás és támogatása</t>
  </si>
  <si>
    <t>Tata, közvilágítás hálózat korszerűsítése II. ütem (A KEOP pályázatban szereplő utcákhoz közvetlenül csatlakozó utcák)</t>
  </si>
  <si>
    <t>Közép-Duna Vidéke Önkormányzati Társulásnak működési hozzájárulás</t>
  </si>
  <si>
    <t>Concerto Kft-nek a Tatai Barokk Fesztiválra</t>
  </si>
  <si>
    <t>ÚSZT pályázat  fűtéskorszerűsítés /2012, TEF/ 2013</t>
  </si>
  <si>
    <t>Tatai Távhőszolgáltató Kft-nek nyújtott működési kölcsön visszafizetése</t>
  </si>
  <si>
    <t>3. mell.</t>
  </si>
  <si>
    <t>A helyi önkormányzatok által felhasználható központosított előirányzatok</t>
  </si>
  <si>
    <t>3.</t>
  </si>
  <si>
    <t>15.</t>
  </si>
  <si>
    <t>Üdülőhelyi feladatok támogatása</t>
  </si>
  <si>
    <t xml:space="preserve">Idegenforgalmi adó </t>
  </si>
  <si>
    <t>Ft</t>
  </si>
  <si>
    <t>2. mell.</t>
  </si>
  <si>
    <t>A helyi önkormányzatok általános működésének és ágazati feladatainak támog.</t>
  </si>
  <si>
    <t>ÁLLAMI TÁMOGATÁS MINDÖSSZESEN</t>
  </si>
  <si>
    <t>Működési célú visszatérítendő támogatások, kölcsönök nyújtása államháztartáson belülre</t>
  </si>
  <si>
    <t>Működési célú támogatások államháztartáson belülre (vissza nem térítendő)</t>
  </si>
  <si>
    <t>Működési célú visszatérítendő támogatások, kölcsönök nyújtása államháztartáson kívülre</t>
  </si>
  <si>
    <t>Működési célú támogatások államháztartáson kívülre (vissza nem térítendő)</t>
  </si>
  <si>
    <t>Működési célú támogatások (vissza nem térítendő) összesen:</t>
  </si>
  <si>
    <t>Működési célú visszatérítendő támogatások, kölcsönök nyújtása összesen:</t>
  </si>
  <si>
    <t>Működési célú támogatások (visszatérítendő és vissza nem térítendő) mindösszesen:</t>
  </si>
  <si>
    <t>Felhalmozási célú támogatások államháztartáson belülre (vissza nem térítendő)</t>
  </si>
  <si>
    <t>Felhalmozási célú támogatások államháztartáson kívülre (vissza nem térítendő)</t>
  </si>
  <si>
    <t>Felhalmozási célú támogatások (vissza nem térítendő) összesen:</t>
  </si>
  <si>
    <t>Felhalmozási célú visszatérítendő támogatások, kölcsönök nyújtása államháztartáson belülre</t>
  </si>
  <si>
    <t>Felhalmozási célú visszatérítendő támogatások, kölcsönök nyújtása államháztartáson kívülre</t>
  </si>
  <si>
    <t>Felhalmozási célú visszatérítendő támogatások, kölcsönök nyújtása összesen:</t>
  </si>
  <si>
    <t>Felhalmozási célú támogatások (visszatérítendő és vissza nem térítendő) mindösszesen:</t>
  </si>
  <si>
    <t>TATAI KÖZÖS ÖNKORMÁNYZATI HIVATAL</t>
  </si>
  <si>
    <t>Juniorka Alapítványi Óvoda támogatása</t>
  </si>
  <si>
    <t>Juniorka Alapítványi Bölcsőde támogatása</t>
  </si>
  <si>
    <t>Hajnalcsillag Óvodának jubileumi jutalomra</t>
  </si>
  <si>
    <t>Oktatási és Kulturális Alap</t>
  </si>
  <si>
    <t>Sportiskola - Kőkúti Sasok</t>
  </si>
  <si>
    <t>Vaszary János Általános Iskola Alapítványának matematika versenyre és táborra</t>
  </si>
  <si>
    <t>Háziorvosi alapellátás támogatása 268 E Ft/praxis, 21 körzet</t>
  </si>
  <si>
    <t>3. számú fogorvosi körzet feladataira</t>
  </si>
  <si>
    <t>Tatai Kistérségi Többcélú Társulásnak</t>
  </si>
  <si>
    <t>Magyar Máltai Szeretetszolgálat tatai csoportjának</t>
  </si>
  <si>
    <t>Magyar Vöröskereszt tatai szervezetének</t>
  </si>
  <si>
    <t>Egészségvédelmi, Szociális és Sportalap</t>
  </si>
  <si>
    <t>Magyarországi PKU Egyesületnek</t>
  </si>
  <si>
    <t>Színes Iskola Alapítvány támogatása</t>
  </si>
  <si>
    <t>Szociális Háló Közalapítvány támogatása</t>
  </si>
  <si>
    <t>Kamatmentes kölcsön nyújtása lakáscélra</t>
  </si>
  <si>
    <t>061030</t>
  </si>
  <si>
    <t>Betegséggel kapcsolatos pénzbeli ellátások, támogatások (Közgyógyellátás)</t>
  </si>
  <si>
    <t xml:space="preserve"> Tata Város Önkormányzatának 2014. évi közgazdasági mérlege (E Ft-ban)</t>
  </si>
  <si>
    <t>Egyéb működési kiadások</t>
  </si>
  <si>
    <t>Beruházási kiadások</t>
  </si>
  <si>
    <t>Általános működés és ágazatai feladatok támogatása</t>
  </si>
  <si>
    <t>Felújítási kiadások</t>
  </si>
  <si>
    <t>Központi költségvetésből származó támogatások</t>
  </si>
  <si>
    <t xml:space="preserve">Költségvetési egyenleg: </t>
  </si>
  <si>
    <t>Hiány és a finanszírozási kiadások fedezetének finanszírozása:</t>
  </si>
  <si>
    <t>Törvény- javaslat hivatk.sz.</t>
  </si>
  <si>
    <t>Jogcímek megnevezése</t>
  </si>
  <si>
    <t>Bevétel tervezéséhez</t>
  </si>
  <si>
    <t>Mutató</t>
  </si>
  <si>
    <t>Fajlagos összeg Ft/mutató</t>
  </si>
  <si>
    <t>Összeg (Ft)</t>
  </si>
  <si>
    <t>2.mell. I.</t>
  </si>
  <si>
    <t>A HELYI ÖNKORMÁNYZATOK MŰKÖDÉSÉNEK ÁLTALÁNOS TÁMOGATÁSA</t>
  </si>
  <si>
    <t>I.1.a)</t>
  </si>
  <si>
    <t>Önkormányzati Hivatal működésének támogatása</t>
  </si>
  <si>
    <t>fő</t>
  </si>
  <si>
    <t>I.1.b)</t>
  </si>
  <si>
    <t>Település-üzemeltetéshez kapcsolódó feladatellátás támogatása</t>
  </si>
  <si>
    <t>I.1.ba)</t>
  </si>
  <si>
    <t>A zöldterület-gazdálkodással kapcsolatos feladatok ellátásának támogatása</t>
  </si>
  <si>
    <t>ha</t>
  </si>
  <si>
    <t>I.1.bb)</t>
  </si>
  <si>
    <t>Közvilágítás fenntartásának támogatása</t>
  </si>
  <si>
    <t>nettó Ft</t>
  </si>
  <si>
    <t>I.1.bc)</t>
  </si>
  <si>
    <t>Köztemető fenntartással kapcsolatos feladatok támogatása</t>
  </si>
  <si>
    <t>I.1.bd)</t>
  </si>
  <si>
    <t>Közutak fenntartásának támogatása</t>
  </si>
  <si>
    <t>Település-üzemeltetéshez kapcsolódó feladatellátás támogatása összesen</t>
  </si>
  <si>
    <t>I.1.c)</t>
  </si>
  <si>
    <t>Egyéb kötelező önkormányzati feladat támogatása, de legalább 3 000 E Ft</t>
  </si>
  <si>
    <t>I.1.</t>
  </si>
  <si>
    <t>A települési önkormányzatok működésének támogatása</t>
  </si>
  <si>
    <t>I. 2.</t>
  </si>
  <si>
    <t>Nem közművel összegyűjtött háztartási szennyvíz ártalmatlanítása</t>
  </si>
  <si>
    <t>m3</t>
  </si>
  <si>
    <t>100 Ft/m3</t>
  </si>
  <si>
    <t>II.1.</t>
  </si>
  <si>
    <t>Óvodapedagógusok, és az óvodapedagógusok nevelő munkáját közvetlenül segítők bértámogatása</t>
  </si>
  <si>
    <t>Óvodapedagógusok bértámogatása - 8 hónapra</t>
  </si>
  <si>
    <t>Óvodapedagógusok bértámogatása - 4 hónapra</t>
  </si>
  <si>
    <t>Óvodapedagógusok bértámogatása pótlólagos összege 3 hónapra 2014/2015-re</t>
  </si>
  <si>
    <t>Óvodapedagógusok munkáját közvetlenül segítők bértámogatása - 8 hónapra</t>
  </si>
  <si>
    <t>Óvodapedagógusok munkáját közvetlenül segítők bértámogatása - 4 hónapra</t>
  </si>
  <si>
    <t>Óvodapedagógusok, és az óvodapedagógusok nevelő munkáját közvetlenül segítők bértámogatása összesen</t>
  </si>
  <si>
    <t xml:space="preserve">II.2. </t>
  </si>
  <si>
    <t>Óvodaműködtetési támogatás</t>
  </si>
  <si>
    <t>Óvodaműk. támogatás 8 hónapra: gyermekek nevelése a napi 8 órát nem éri el</t>
  </si>
  <si>
    <t>Óvodaműk. támogatás 8 hónapra: gyermekek nevelése a napi 8 órát eléri</t>
  </si>
  <si>
    <t>Óvodaműk. támogatás 4 hónapra: gyermekek nevelése a napi 8 órát nem éri el</t>
  </si>
  <si>
    <t>Óvodaműködtetési támogatás összesen</t>
  </si>
  <si>
    <t>2.mell. II.</t>
  </si>
  <si>
    <t>A települési önkormányzatok egyes köznevelési feladatainak támogatása</t>
  </si>
  <si>
    <t>III.1.</t>
  </si>
  <si>
    <t>Egyes jövedelempótló támogatások kiegészítése</t>
  </si>
  <si>
    <t>III.2.</t>
  </si>
  <si>
    <t>Hozzájárulás a pénzbeli szociális ellátásokhoz</t>
  </si>
  <si>
    <t>III.3.</t>
  </si>
  <si>
    <t>Egyes szociális és gyermekjóléti feladatok támogatása</t>
  </si>
  <si>
    <t>III.3.aa)</t>
  </si>
  <si>
    <t>Balatonvilágosi üdülő energiatakarékossági felújítása</t>
  </si>
  <si>
    <t>Bacsó B. ltp. belső út, Váczi M. u. Spar előtti szerviz út marás, aszfaltozás</t>
  </si>
  <si>
    <t>Áru és készletértékesítés (a döntést követő 3 hónap utáni föld- és ingatlan értékesítés)</t>
  </si>
  <si>
    <t>Üdülői szálláshely szolgáltatás és étkeztetés</t>
  </si>
  <si>
    <t>Önkormányzatok és önkormányzati hivatalok jogalkotás és általános igazgatási tevékenysége</t>
  </si>
  <si>
    <t>011220</t>
  </si>
  <si>
    <t>Tatai Fényes Fürdő Kft-nek nyújtott kölcsön visszatérülése</t>
  </si>
  <si>
    <t>Adó-, vám és jövedéki igazgatás</t>
  </si>
  <si>
    <t>Város- községgazdálkodási szolgáltatások</t>
  </si>
  <si>
    <t>Lakáshoz jutást segítő támogatások</t>
  </si>
  <si>
    <t>105010</t>
  </si>
  <si>
    <t>106020</t>
  </si>
  <si>
    <t>104051</t>
  </si>
  <si>
    <t>107060</t>
  </si>
  <si>
    <t>084010</t>
  </si>
  <si>
    <t>Közterület rendjének fenntartása</t>
  </si>
  <si>
    <t>018030</t>
  </si>
  <si>
    <t>Neszmélyi Kirendeltség</t>
  </si>
  <si>
    <t>Neszmélyi Kirendeltség összesen:</t>
  </si>
  <si>
    <t>Dunaalmási Kirendeltség összesen:</t>
  </si>
  <si>
    <t>Dunaszentmiklósi Kirendeltség összesen:</t>
  </si>
  <si>
    <t>Községek összesen:</t>
  </si>
  <si>
    <t>Eredeti összesen:</t>
  </si>
  <si>
    <t>Kötelező összesen:</t>
  </si>
  <si>
    <t>Áru- és készletértékesítés (a döntést követő 3 hónap utáni föld- és ingatlan értékesítés)</t>
  </si>
  <si>
    <t>Szociális és gyermekjóléti alapszolgáltatások általános feladatai (társult formában)</t>
  </si>
  <si>
    <t>Társulási kiegészítés családsegítésre</t>
  </si>
  <si>
    <t>III.a)</t>
  </si>
  <si>
    <t>Szociális és gyermekjóléti alapszolgáltatások általános feladatai összesen</t>
  </si>
  <si>
    <t>III.3.c)</t>
  </si>
  <si>
    <t>Szociális étkeztetés - társulási kiegészítéssel (fajlagos összeg 110 %-a)</t>
  </si>
  <si>
    <t>III.3.d)</t>
  </si>
  <si>
    <t>Házi segítségnyújtás - társult formában, ezért a fajlagos összeg 130 %-a a támogatás</t>
  </si>
  <si>
    <t>III.3.f)</t>
  </si>
  <si>
    <t>Időskorúak nappali intézményi ellátása -társult formában, ezért a fajlagos összeg 150 %-a a támogatás</t>
  </si>
  <si>
    <t>III.3.g)</t>
  </si>
  <si>
    <t>Fogyatékosok személyek nappali intézményi ellátása - társult formában, ezért a fajlagos összeg 110 %-a a támogatás</t>
  </si>
  <si>
    <t>III.3.i)</t>
  </si>
  <si>
    <t>Hajléktalanok nappali intézményi ellátása - társult formában, ezért a fajlagos összeg 120 %-a a támogatás</t>
  </si>
  <si>
    <t>III.3.j)</t>
  </si>
  <si>
    <t>Gyermekek napközbeni ellátása</t>
  </si>
  <si>
    <t>III.3.ja)</t>
  </si>
  <si>
    <t>Bölcsődei ellátás - nem fogyatékos, nem hátrányos helyzetű gyermek</t>
  </si>
  <si>
    <t>Bölcsődei ellátás - nem fogyatékos, hátrányos helyzetű gyermek (fajlagos összeg 105 %-a)</t>
  </si>
  <si>
    <t>Bölcsődei ellátás - nem fogyatékos, halmozottan hátrányos helyzetű gyermek (fajlagos összeg 110 %-a)</t>
  </si>
  <si>
    <t>Bölcsődei ellátás - fogyatékos gyermek (fajlagos összeg 150 %-a)</t>
  </si>
  <si>
    <t>Bölcsődei ellátás összesen:</t>
  </si>
  <si>
    <t>III.3.k)</t>
  </si>
  <si>
    <t>Hajléktalanok átmeneti intézményei - társult formában, ezért a fajlagos összeg 110 %-a a támogatás</t>
  </si>
  <si>
    <t>fhely</t>
  </si>
  <si>
    <t>Egyes szociális és gyermekjóléti feladatok támogatása összesen</t>
  </si>
  <si>
    <t>III.4./</t>
  </si>
  <si>
    <t>Kistérségi Idősk. Otthona állami támogatása - szakmai dolgozók bértám.</t>
  </si>
  <si>
    <t>Kistérségi Idősk. Otthona állami támogatása - intézményüzemeltetés tám.</t>
  </si>
  <si>
    <t>III.4.</t>
  </si>
  <si>
    <t>Kistérségi Időskorúak Otthona állami támogatása - átadandó Kist.Társ.</t>
  </si>
  <si>
    <t xml:space="preserve">III.5. </t>
  </si>
  <si>
    <t>Gyermekétkeztetés támogatása</t>
  </si>
  <si>
    <t>III.5.a)</t>
  </si>
  <si>
    <t>Finanszírozás szempontjából elismert dolgozók bértámogatása</t>
  </si>
  <si>
    <t>fő/év</t>
  </si>
  <si>
    <t>III.5.b)</t>
  </si>
  <si>
    <t>Gyermekétkeztetés üzemeltetési támogatása</t>
  </si>
  <si>
    <t>Gyermekétkeztetés támogatása összesen</t>
  </si>
  <si>
    <t>2014. évi kapott visszatérítendő és vissza nem térítendő támogatások és pénzeszközátvételek alakulása Tata Város Önkormányzatánál és a Tatai Közös Önkormányzati Hivatalnál</t>
  </si>
  <si>
    <t>Tata Város Önkormányzatának 2014. évi tartalékai (E Ft-ban)</t>
  </si>
  <si>
    <t xml:space="preserve">2.mell. III. </t>
  </si>
  <si>
    <t>A települési önkormányzatok szociális és gyermekjóléti feladatainak támogatása</t>
  </si>
  <si>
    <t>IV.</t>
  </si>
  <si>
    <t>A TELEPÜLÉSI ÖNKORMÁNYZATOK KULTURÁLIS FELADATAINAK TÁMOGATÁSA</t>
  </si>
  <si>
    <t>IV.1.a)</t>
  </si>
  <si>
    <t>Tata Kuny Domokos Múzeum feladatainak támogatása</t>
  </si>
  <si>
    <t>IV.1.d)</t>
  </si>
  <si>
    <t>Települési önk.támog. a nyilvános könyvtári ellátási és közműv. feladatokhoz</t>
  </si>
  <si>
    <t>2.mell. IV.</t>
  </si>
  <si>
    <t>A települési önkormányzatok kulturáli feladatainak támogatása</t>
  </si>
  <si>
    <t>V.</t>
  </si>
  <si>
    <t>BESZÁMÍTÁS</t>
  </si>
  <si>
    <r>
      <t xml:space="preserve">Önkormányzat elvárt bevétele: </t>
    </r>
    <r>
      <rPr>
        <b/>
        <sz val="12"/>
        <rFont val="Times New Roman CE"/>
        <family val="0"/>
      </rPr>
      <t xml:space="preserve">2012.évi </t>
    </r>
    <r>
      <rPr>
        <sz val="12"/>
        <rFont val="Times New Roman CE"/>
        <family val="0"/>
      </rPr>
      <t>iparűzési adóalap 0,5 %-a</t>
    </r>
  </si>
  <si>
    <t>0,5 %</t>
  </si>
  <si>
    <t>Differenciálás: Támogatás csökkentés 100 % lenne, mert adóerő-képesség &gt; 15 000 Ft, de közös hivatal székhelye miatt 5 %-kal csökkenthető, ezért 95 % a támogatás csökkentés.</t>
  </si>
  <si>
    <t>csökk.</t>
  </si>
  <si>
    <t>95 %</t>
  </si>
  <si>
    <t>2.mell. V.</t>
  </si>
  <si>
    <t>- Dunaszentmiklósi Kirendeltség</t>
  </si>
  <si>
    <t>- Dunaalmási Kirendeltség</t>
  </si>
  <si>
    <t>Tatai Közös Önkormányzati Hivatal összesen:</t>
  </si>
  <si>
    <r>
      <t xml:space="preserve">Tata Város Önkormányzata </t>
    </r>
    <r>
      <rPr>
        <sz val="10"/>
        <rFont val="Times New Roman"/>
        <family val="1"/>
      </rPr>
      <t>- választott tisztségviselő</t>
    </r>
  </si>
  <si>
    <t xml:space="preserve">Vissza nem térítendő támogatások  </t>
  </si>
  <si>
    <t>Szabálysértési és helyszíni bírságok</t>
  </si>
  <si>
    <t>Kamat bevétel</t>
  </si>
  <si>
    <t xml:space="preserve">Működési célú visszatérítendő támogatások és kölcsönök </t>
  </si>
  <si>
    <t>Garancia és kezességvállalásból visszatérülés</t>
  </si>
  <si>
    <t>Munkaadókat terhelő járulékok és szociális hozzájárulási adó</t>
  </si>
  <si>
    <t>Kenderke Néptánc Egyesület támogatása</t>
  </si>
  <si>
    <t>TIT KEM Egyesületének támogatása</t>
  </si>
  <si>
    <t>Tatai Mecénás Közalapítvány támogatása</t>
  </si>
  <si>
    <t>Víz-Zene-Virág Fesztivál Egyesületnek rövid távú kölcsön nyújtása</t>
  </si>
  <si>
    <t>Polgárőrségnek</t>
  </si>
  <si>
    <t>031030</t>
  </si>
  <si>
    <t>Rendőrségnek</t>
  </si>
  <si>
    <t>Szakmai Képzésért Közalapítvány támogatása (Bláthy Ottó Szakközépiskola, Szakiskola és Kollégium)</t>
  </si>
  <si>
    <t>Cirmos Cica Közhasznú Alapítvány támogatása</t>
  </si>
  <si>
    <t>Tatai Televízió Közalapítvány támogatása</t>
  </si>
  <si>
    <t>Panel program   346/2009./IX.30./ sz. határozat alapján</t>
  </si>
  <si>
    <t>Öko program</t>
  </si>
  <si>
    <t>NEP</t>
  </si>
  <si>
    <t>ZBR</t>
  </si>
  <si>
    <t>Vértes Volán Zrt. részére szerződés alapján 353/2010.(XI.24.) Tata Kt. határozat</t>
  </si>
  <si>
    <t>Vértes Volán Zrt. részére veszteség kiegyenlítésre</t>
  </si>
  <si>
    <t>Tata és Környéke Turisztikai Egyesület részére forrás biztosítás a Duna-Gerecse Turisztikai Közhasznú Nonprofit Kft. tőkeemeléséhez a 2013. évi V. tv. 3:161.§ (4) bek. alapján</t>
  </si>
  <si>
    <t>Környezetvédelmi Alap</t>
  </si>
  <si>
    <t>Kis- és középvállalkozások munkahelyteremtő támogatása</t>
  </si>
  <si>
    <t>TAC támogatása</t>
  </si>
  <si>
    <t>Turisztikai Desztinációs Menedzsment támogatása 270/2009. (VIII.12.) Tata Kt. határozat</t>
  </si>
  <si>
    <t>Tatai Városgazda Nonprofit Kft. támogatása</t>
  </si>
  <si>
    <t>Bursa Hungarica ösztöndíjakra 444/2011. (IX. 29.) tata Kt. határozat alapján</t>
  </si>
  <si>
    <t>Munkáltatói kölcsön nyújtása</t>
  </si>
  <si>
    <t>Működési célú visszatérítendő támogatások, kölcsönök visszatérülése államháztartáson kívülről</t>
  </si>
  <si>
    <t>Felhalmozási célú átvett pénzeszközök államháztartáson kívülről (vissza nem térítendő)</t>
  </si>
  <si>
    <t>Felhalmozási célú visszatérítendő támogatások, kölcsönök visszatérülése államháztartáson kívülről</t>
  </si>
  <si>
    <t>Felhalmozási célú visszatérítendő támogatások, kölcsönök visszatérülése összesen:</t>
  </si>
  <si>
    <t>Felhalmozási célú visszatérítendő támogatások, kölcsönök visszatérülése államháztartáson belülről</t>
  </si>
  <si>
    <t>Működési célú visszatérítendő támogatások, kölcsönök visszatérülése államháztartáson belülre</t>
  </si>
  <si>
    <t>Működési célú visszatérítendő támogatások, kölcsönök visszatérülése összesen:</t>
  </si>
  <si>
    <t>Felhalmozási célú támogatások államháztartáson belülről (vissza nem térítendő)</t>
  </si>
  <si>
    <t>Működési célú támogatások államháztartáson belülről (vissza nem térítendő)</t>
  </si>
  <si>
    <t>Működési célra átvett pénzeszközök államháztartáson kívülről (vissza nem térítendő)</t>
  </si>
  <si>
    <t>Működési célú támogatások és átvett pénzeszközök (vissza nem térítendő) összesen:</t>
  </si>
  <si>
    <t>Felhalmozási célú támogatások és átvett pénzeszközök (vissza nem térítendő) összesen:</t>
  </si>
  <si>
    <t>Közösségi ellátás</t>
  </si>
  <si>
    <t>Talentum Angol-Magyar Két Tanítási Nyelvű Általános Iskola, Gimnázium és Művészeti Szakiskolától a fűtéskorszerűsítéssel kapcsolatban</t>
  </si>
  <si>
    <t>Pons Danubii EGTC-től HUSK/1101/Információval a határon át a Pons Danubii határtérségben</t>
  </si>
  <si>
    <t>Munkaügyi Központtól a hosszabb távú közfoglalkoztatás támogatására</t>
  </si>
  <si>
    <t>Munkaügyi Központtól a téli közfoglalkoztatás támogatására</t>
  </si>
  <si>
    <t>Irányító szervi támogatás folyósítása</t>
  </si>
  <si>
    <t>Felhalmozási tartalékok</t>
  </si>
  <si>
    <t>Költségvetési szerveknek folyósított támogatás</t>
  </si>
  <si>
    <t>Sportlétesítmények, edzőtáborok működtetése és fejlesztése</t>
  </si>
  <si>
    <t>KKK-nak a körforgalom pénzügyi elszámolásával kapcsolatosan</t>
  </si>
  <si>
    <t>ÖNKORMÁNYZATI TÁMOGATÁSOK (VISSZATÉRÍTENDŐ ÉS VISSZA NEM TÉRÍTENDŐ) MINDÖSSZESEN:</t>
  </si>
  <si>
    <t>KÖZÖS ÖNKORMÁNYZATI HIVATALI TÁMOGATÁSOK (VISSZATÉRÍTENDŐ ÉS VISSZA NEM TÉRÍTENDŐ) MINDÖSSZESEN:</t>
  </si>
  <si>
    <t>OEP-től finanszírozás a 3. sz. fogorvosi körzetre</t>
  </si>
  <si>
    <t>Nemzeti Kulturális Alaptól a Magyarország, szeretlek pályázatra</t>
  </si>
  <si>
    <t>ÖNKORMÁNYZATI TÁMOGATÁSOK ÉS ÁTVETT PÉNZESZKÖZÖK (VISSZATÉRÍTENDŐ ÉS VISSZA NEM TÉRÍTENDŐ) MINDÖSSZESEN:</t>
  </si>
  <si>
    <t>KÖZÖS ÖNKORMÁNYZATI HIVATALI TÁMOGATÁSOK ÉS ÁTVETT PÉNZESZKÖZÖK (VISSZATÉRÍTENDŐ ÉS VISSZA NEM TÉRÍTENDŐ) MINDÖSSZESEN:</t>
  </si>
  <si>
    <t>Munkaügyi Központtól a hulladékválogatók foglalkoztatására</t>
  </si>
  <si>
    <t>Munkaügyi Központtól az Első Munkahely Garancia Programban (25 év alattiak) és az 55 év felettiek foglalkoztatására</t>
  </si>
  <si>
    <t>Munkaügyi Központtól a parkgondozók foglalkoztatására</t>
  </si>
  <si>
    <t>Munkaügyi Központtól az Első Munkahely Garancia Programban (25 év alattiak) részt vevők foglalkoztatására</t>
  </si>
  <si>
    <t>Tatai Távhőszolgáltató Kft.-nek a KEOP projekttel kapcsolatban nyújtott kölcsön visszatérülése</t>
  </si>
  <si>
    <t>Víz-Zene-Virág Fesztivál Egyesületnek nyújtott rövid lejáratú kölcsön visszafizetése</t>
  </si>
  <si>
    <t>Kamatmentes szociális kölcsön visszafizetése</t>
  </si>
  <si>
    <t>Munkáltatói kölcsön visszafizetése</t>
  </si>
  <si>
    <t>Háztartásoknak nyújtott egyéb felhalmozási célú kölcsön visszafizetése</t>
  </si>
  <si>
    <t>Fiatalok lendületben program támogatása</t>
  </si>
  <si>
    <t>Gerlingentől átvett</t>
  </si>
  <si>
    <t>Vértes Volán Zrt-től a minimarathonnal kapcsolatban</t>
  </si>
  <si>
    <t>Összesen</t>
  </si>
  <si>
    <t>Megkötött kölcsönszerződés alapján</t>
  </si>
  <si>
    <t>Garancia és kezességvállalásból származó kifizetés államháztartáson kívülre</t>
  </si>
  <si>
    <t>Tata-Tóparti Viziközmű Társulat</t>
  </si>
  <si>
    <t>Öreg-tavi Ökoturisztikai Központ kialakítása a csatlakozó kerékpárutak felújításával Tatán és a tematikus aktív turisztikai fejlesztések a kistérségben KDOP–2.1.1/B–09-2010-0002 ebből önerő alap: 48 445 E Ft</t>
  </si>
  <si>
    <t>Pénzmaradvány</t>
  </si>
  <si>
    <t>Vis maior Erzsébet téri útbeszakadás</t>
  </si>
  <si>
    <t>Tervezett hitel és kölcsönfelvétel</t>
  </si>
  <si>
    <t>2014. évi működési célú bevételek és kiadások mérlege (E Ft-ban)</t>
  </si>
  <si>
    <t>Bevételi előirányzat</t>
  </si>
  <si>
    <t>Kiadási előirányzat</t>
  </si>
  <si>
    <t>Személyi juttatás</t>
  </si>
  <si>
    <t>Járulékok</t>
  </si>
  <si>
    <t>Dologi kiadás</t>
  </si>
  <si>
    <t>Közhatalmi bevételek</t>
  </si>
  <si>
    <t>Felhalmozási kiadásokra átcsoportosított (-)</t>
  </si>
  <si>
    <t>Költségvetési bevételek összesen:</t>
  </si>
  <si>
    <t>Költségvetési kiadások összesen:</t>
  </si>
  <si>
    <t>Egyenleg:</t>
  </si>
  <si>
    <t>Irányítószervi támogatás</t>
  </si>
  <si>
    <t>Saját bevételek</t>
  </si>
  <si>
    <t>Bevételek mindösszesen</t>
  </si>
  <si>
    <t>Finanszírozási bevételek</t>
  </si>
  <si>
    <t>Finanszírozási kiadások</t>
  </si>
  <si>
    <t>Mindösszesen:</t>
  </si>
  <si>
    <t>Beruházás</t>
  </si>
  <si>
    <t>Felújítás</t>
  </si>
  <si>
    <t>Egyéb felhalmozási kiadás</t>
  </si>
  <si>
    <t>Működési bevételekből átcsoportosított</t>
  </si>
  <si>
    <t>Hitel és kölcsönfelvétel (megkötött szerződés alapján)</t>
  </si>
  <si>
    <t>Mindösszesen bevételek:</t>
  </si>
  <si>
    <t>Mindösszesen kiadások:</t>
  </si>
  <si>
    <t>Adósságot keletkeztető ügyletek</t>
  </si>
  <si>
    <t xml:space="preserve"> 2014 - 2031-ig a kötvénykibocsátást és a hitel visszafizetéseket figyelembe véve (E Ft-ban)</t>
  </si>
  <si>
    <t>2013.12.31-i  (242,14 HUF/CHF) árfolyam alapján</t>
  </si>
  <si>
    <t>Tervezett hitelfelvétel felhalmozási célok szerinti bontásban (E Ft-ban)</t>
  </si>
  <si>
    <t>Cél megnevezése</t>
  </si>
  <si>
    <t>A kiadás forrása</t>
  </si>
  <si>
    <t>Vissza nem térítendő támogatás</t>
  </si>
  <si>
    <t>Tervezett hitel</t>
  </si>
  <si>
    <t>Pénzmaradvány igénybevétele működési- és felhalmozási cél szerinti tagolásban (E Ft-ban)</t>
  </si>
  <si>
    <t>Működési pénzmaradvány</t>
  </si>
  <si>
    <t>Kiadás, melyre a pénzmaradvány fordítódik</t>
  </si>
  <si>
    <t>Felhalmozási pénzmaradvány</t>
  </si>
  <si>
    <t>Beruházások</t>
  </si>
  <si>
    <t>Angolpark rehabilitációja KDOP-2.1.1/B-2f-2009-0002</t>
  </si>
  <si>
    <t>Eu-s pályázatok</t>
  </si>
  <si>
    <t>Egyéb felhalmozási pénzmaradvány</t>
  </si>
  <si>
    <t>Felhalmozási hitelek</t>
  </si>
  <si>
    <t>Tartozás 2014.</t>
  </si>
  <si>
    <t xml:space="preserve">törlesztés </t>
  </si>
  <si>
    <t>kamat</t>
  </si>
  <si>
    <t>Tartozás 2015.</t>
  </si>
  <si>
    <t>Tartozás 2016.</t>
  </si>
  <si>
    <t>Tartozás 2017.</t>
  </si>
  <si>
    <t>Tartozás 2018.</t>
  </si>
  <si>
    <t>Tartozás 2019.</t>
  </si>
  <si>
    <t>Tartozás 2020.</t>
  </si>
  <si>
    <t>Tartozás 2021.</t>
  </si>
  <si>
    <t>Tartozás 2022.</t>
  </si>
  <si>
    <t>Tartozás 2023.</t>
  </si>
  <si>
    <t>Tartozás 2024.</t>
  </si>
  <si>
    <t>Tartozás 2025.</t>
  </si>
  <si>
    <t>Tartozás 2026.</t>
  </si>
  <si>
    <t>Tartozás 2027.</t>
  </si>
  <si>
    <t>Tartozás 2028.</t>
  </si>
  <si>
    <t>Tartozás 2029.</t>
  </si>
  <si>
    <t>Tartozás 2030.</t>
  </si>
  <si>
    <t>Tartozás 2031.</t>
  </si>
  <si>
    <t>Kedvezményezett</t>
  </si>
  <si>
    <t xml:space="preserve">2014. </t>
  </si>
  <si>
    <t xml:space="preserve">           törlesztés</t>
  </si>
  <si>
    <t xml:space="preserve">           kamat</t>
  </si>
  <si>
    <t>Tata Város Önkormányzata</t>
  </si>
  <si>
    <t xml:space="preserve">Panel program </t>
  </si>
  <si>
    <t>Hitel és kötvénytörlesztés</t>
  </si>
  <si>
    <t>Hiteltörlesztés (megkötött szerződés alapján)</t>
  </si>
  <si>
    <t>Intézmények Gazdasági Hivatalához tartozó intézmények</t>
  </si>
  <si>
    <t>E. Ft-ban</t>
  </si>
  <si>
    <t>Bevétel</t>
  </si>
  <si>
    <t>Kiadás</t>
  </si>
  <si>
    <t>Működési kiadások</t>
  </si>
  <si>
    <t>Felhalmozási kiadások</t>
  </si>
  <si>
    <t xml:space="preserve">Személyi juttatások </t>
  </si>
  <si>
    <t>M.adókat terh. jár. és szochó</t>
  </si>
  <si>
    <t xml:space="preserve">Dologi </t>
  </si>
  <si>
    <t>Hitel- és kölcsön törlesztés</t>
  </si>
  <si>
    <t>Állam (igazgatás)</t>
  </si>
  <si>
    <t xml:space="preserve"> 011 130</t>
  </si>
  <si>
    <t>Önkormányzatok és önkormányzati hivatalok jogalkotó és általános igazgatási tevékenysége (Pénzmaradv.)</t>
  </si>
  <si>
    <t>011 130</t>
  </si>
  <si>
    <t>Önkormányzatok és önkormányzati hivatalok jogalkotó és általános igazgatási tevékenysége</t>
  </si>
  <si>
    <t>Kötelező</t>
  </si>
  <si>
    <t>011 220</t>
  </si>
  <si>
    <t>Adó, vám- és jövedéki igazgatás</t>
  </si>
  <si>
    <t>Nem kötelező</t>
  </si>
  <si>
    <t>011 320</t>
  </si>
  <si>
    <t>Nemzetközi szervezetekben való részvétel</t>
  </si>
  <si>
    <t>013 320</t>
  </si>
  <si>
    <t>Köztemető fenntartás és működtetés</t>
  </si>
  <si>
    <t>013 350</t>
  </si>
  <si>
    <t>Az önkormányzati vagyonnal való gazdálkodással kapcsolatos feladatok</t>
  </si>
  <si>
    <t>016 080</t>
  </si>
  <si>
    <t>Kiemelt állami és önkormányzati rendezvények (Nemzeti ünnepek)</t>
  </si>
  <si>
    <t>Kiemelt állami és önkormányzati rendezvények (Minimarathon)</t>
  </si>
  <si>
    <t>Kiemelt állami és önkormányzati rendezvények (Városi ünnepek)</t>
  </si>
  <si>
    <t>Kiemelt állami és önkormányzati rendezvények</t>
  </si>
  <si>
    <t>018 010</t>
  </si>
  <si>
    <t>Önkormányzatok elszámolásai a központi költségvetéssel</t>
  </si>
  <si>
    <t>018 020</t>
  </si>
  <si>
    <t>Központi költségvetési befizetések</t>
  </si>
  <si>
    <t>018 030</t>
  </si>
  <si>
    <t>Támogatási célú finanszírozási műveletek</t>
  </si>
  <si>
    <t>022 010</t>
  </si>
  <si>
    <t>Polgári honvédelem ágazati feladatai, a lakosság felkészítése</t>
  </si>
  <si>
    <t>031 030</t>
  </si>
  <si>
    <t xml:space="preserve">Közterület rendjének fenntartása </t>
  </si>
  <si>
    <t>032 020</t>
  </si>
  <si>
    <t xml:space="preserve">Tűz- és katasztrófavédelmi tevékenységek </t>
  </si>
  <si>
    <t>041 232</t>
  </si>
  <si>
    <t>Rövid időtartamú közfoglalkoztatás</t>
  </si>
  <si>
    <t>041 233</t>
  </si>
  <si>
    <t>Bérpótló juttatásra jogosultak hosszabb időtartamú közfoglalkoztatása</t>
  </si>
  <si>
    <t>042 180</t>
  </si>
  <si>
    <t>Állat-egészségügy</t>
  </si>
  <si>
    <t>042 220</t>
  </si>
  <si>
    <t>Erdőgazdálkodás</t>
  </si>
  <si>
    <t>045 120</t>
  </si>
  <si>
    <t>Út, autópálya építése</t>
  </si>
  <si>
    <t>045 140</t>
  </si>
  <si>
    <t>Városi és elővárosi közúti személyszállítás</t>
  </si>
  <si>
    <t>045 160</t>
  </si>
  <si>
    <t>Közutak, hidak, alagutak üzemeltetése, fenntartása</t>
  </si>
  <si>
    <t>047 460</t>
  </si>
  <si>
    <t>Kis- és középvállalkozások működési és fejlesztési támogatásai</t>
  </si>
  <si>
    <t>051 030</t>
  </si>
  <si>
    <t>Nem veszélyes (települési) hulladék összetevőinek válogatása, elkülönített begyűjtése, szállítása, átrakása</t>
  </si>
  <si>
    <t>052 020</t>
  </si>
  <si>
    <t>Szennyvíz gyűjtése, tisztítása, elhelyezése</t>
  </si>
  <si>
    <t>053 010</t>
  </si>
  <si>
    <t>Környezetszennyezés csökkentésének igazgatása</t>
  </si>
  <si>
    <t>Környezetvédelmi csoportok támogatása</t>
  </si>
  <si>
    <t>061 030</t>
  </si>
  <si>
    <t>Önkormányzat által nyújtott lakástámogatás</t>
  </si>
  <si>
    <t>063 080</t>
  </si>
  <si>
    <t>Víztermelés-kezelés ellátás</t>
  </si>
  <si>
    <t>064 010</t>
  </si>
  <si>
    <t>Közvilágítás</t>
  </si>
  <si>
    <t>066 010</t>
  </si>
  <si>
    <t>Zöldterület kezelés (parkfenntartás)</t>
  </si>
  <si>
    <t>Zöldterület kezelés (játszótér)</t>
  </si>
  <si>
    <t>Zöldterület kezelés (Munkaügyi Központ)</t>
  </si>
  <si>
    <t>066 020</t>
  </si>
  <si>
    <t>Város- községgazdálkodási egyéb szolgáltatások (Közbeszerzés)</t>
  </si>
  <si>
    <t>Város- községgazdálkodási egyéb szolgáltatások  (Építés- és területfejlesztés)</t>
  </si>
  <si>
    <t xml:space="preserve">066 020 </t>
  </si>
  <si>
    <t>Város- községgazdálkodási egyéb szolgáltatások (VKG)</t>
  </si>
  <si>
    <t>081 030</t>
  </si>
  <si>
    <t>081 045</t>
  </si>
  <si>
    <t>Máshová nem sorolható egyéb sporttámogatás</t>
  </si>
  <si>
    <t>081 061</t>
  </si>
  <si>
    <t>Szabadidős park, fürdő és strandszolgáltatás</t>
  </si>
  <si>
    <t>082 092</t>
  </si>
  <si>
    <t>Közművelődési tevékenységek és támogatásuk</t>
  </si>
  <si>
    <t>083 020</t>
  </si>
  <si>
    <t>Könyvkiadás</t>
  </si>
  <si>
    <t>083 030</t>
  </si>
  <si>
    <t>Egyéb kiadói tevékenység</t>
  </si>
  <si>
    <t>084 032</t>
  </si>
  <si>
    <t>Civil szervezetek programtámogatása</t>
  </si>
  <si>
    <t>084 060</t>
  </si>
  <si>
    <t xml:space="preserve">Érdekképviseleti, szakszervezeti tevékenységek támogatása </t>
  </si>
  <si>
    <t>084 070</t>
  </si>
  <si>
    <t>Önkormányzat ifjúsági kezdeményezések és programok (Gyermekbarát város)</t>
  </si>
  <si>
    <t>086 030</t>
  </si>
  <si>
    <t>Nemzetközi kulturális együttműködés (Testvérvárosi feladatok)</t>
  </si>
  <si>
    <t>Nemzetközi kulturális együttműködés - HUSK 1301/2.1.1. Megújuló energia p.</t>
  </si>
  <si>
    <t>Nemzetközi kulturális együttműködés - Fiatalok lendületben program</t>
  </si>
  <si>
    <t>098 031</t>
  </si>
  <si>
    <t>Pedagógiai szakmai szolgáltatások szakmai feladatai</t>
  </si>
  <si>
    <t>101 043</t>
  </si>
  <si>
    <t>Közösségi szolgáltatás</t>
  </si>
  <si>
    <t>101 150</t>
  </si>
  <si>
    <t>Betegséggel kapcsolatos pénzbeli ellátások, támogatások</t>
  </si>
  <si>
    <t>101 222</t>
  </si>
  <si>
    <t>Támogató szolgáltatás</t>
  </si>
  <si>
    <t>103 010</t>
  </si>
  <si>
    <t>Elhunyt személyek hátramaradottainak pénzbeli ellátásai</t>
  </si>
  <si>
    <t>104 051</t>
  </si>
  <si>
    <t>Gyermekvédelmi pénzbeli és természetbeni ellátások</t>
  </si>
  <si>
    <t>Otthonteremtési támogatás</t>
  </si>
  <si>
    <t>105 010</t>
  </si>
  <si>
    <t>Munkanélküli aktív korúak ellátásai</t>
  </si>
  <si>
    <t>106 010</t>
  </si>
  <si>
    <t>Lakóingatlan szociális célú bérbeadása, üzemeltetése</t>
  </si>
  <si>
    <t>106 020</t>
  </si>
  <si>
    <t>Lakásfenntartással, lakhatással összefüggő ellátások</t>
  </si>
  <si>
    <t>107 060</t>
  </si>
  <si>
    <t>Egyéb szociális pénzbeli és természetbeni ellátások, támogatások</t>
  </si>
  <si>
    <t>900 060</t>
  </si>
  <si>
    <t>Forgatási és befektetési célú finanszírozási műveletek</t>
  </si>
  <si>
    <t>900 070</t>
  </si>
  <si>
    <t>Fejezeti és befektetési célú finanszírozási műveletek - Általános tartalék</t>
  </si>
  <si>
    <t>Tatai Távhő Kft-től készfizető kezességből eredő követelés teljesítése esetén felhasználható</t>
  </si>
  <si>
    <t>Garancia és kezességvállalásból származó bevétel államháztartáson kívülről</t>
  </si>
  <si>
    <t>Tatai Távhő Kft-től</t>
  </si>
  <si>
    <t xml:space="preserve"> - Működési tartalék (ebből 20 090 E Ft felhasználása kötött)</t>
  </si>
  <si>
    <t>Intézmények Gazdasági Hivatalához tartozó önállóan működő intézmények 2014. évi költségvetése</t>
  </si>
  <si>
    <t>Intézmények Gazdasági Hivatalához tartozó  önállóan működő intézmények 2014. évi költségvetése</t>
  </si>
  <si>
    <t>Költségvetési alcím megnevezése</t>
  </si>
  <si>
    <t>Feladat jellege</t>
  </si>
  <si>
    <t>Felhalmozási bevétel</t>
  </si>
  <si>
    <t>Bevételek összesen</t>
  </si>
  <si>
    <t>Kiadások összesen</t>
  </si>
  <si>
    <t>Szolgáltatások bevétele</t>
  </si>
  <si>
    <t>ÁFA</t>
  </si>
  <si>
    <t>előző évi átvétele</t>
  </si>
  <si>
    <t>Finanszírozás</t>
  </si>
  <si>
    <t>M.adókat terhelő jár.</t>
  </si>
  <si>
    <t>Dologi</t>
  </si>
  <si>
    <t>Dologiból ellátottakra vonatkozó élelmiszer beszerzés és vásárolt élelmezés</t>
  </si>
  <si>
    <t>Pénzbeli juttatás</t>
  </si>
  <si>
    <t>össz</t>
  </si>
  <si>
    <t>Bartók B. utcai Óvoda</t>
  </si>
  <si>
    <t>Vaszary J. Általános Iskola</t>
  </si>
  <si>
    <t>Vaszary - Logopédiai Intézet</t>
  </si>
  <si>
    <t>Vaszary összesen</t>
  </si>
  <si>
    <t>Kőkúti Általános Iskola</t>
  </si>
  <si>
    <t>Kőkúti összesen</t>
  </si>
  <si>
    <t>Zeneiskola</t>
  </si>
  <si>
    <t>Diákotthon</t>
  </si>
  <si>
    <t>Intézmények Gazdasági Hivatala</t>
  </si>
  <si>
    <t>Iskolák és IGH összesen</t>
  </si>
  <si>
    <t>Könyvtár</t>
  </si>
  <si>
    <t>IGH feladatkörébe tartozó kötelező feladatok</t>
  </si>
  <si>
    <t>Kötelező összesen</t>
  </si>
  <si>
    <t>IGH feladatkörébe tartozó önként vállalt  feladatok</t>
  </si>
  <si>
    <t>Kuny Domokos Múzeum 2014. évi költségvetése (bevételek)  E Ft-ban</t>
  </si>
  <si>
    <t>Kormányzati funkciók</t>
  </si>
  <si>
    <t>Működési bevétel</t>
  </si>
  <si>
    <t>Működési bevételből</t>
  </si>
  <si>
    <t>Kapott fenntartói kölcsön</t>
  </si>
  <si>
    <t>Átvett pénzeszközök</t>
  </si>
  <si>
    <t>Támogatásértékű bevétel</t>
  </si>
  <si>
    <t>Tárgyi eszköz, immat. javak értékesítése</t>
  </si>
  <si>
    <t>Önkormányzati támogatás</t>
  </si>
  <si>
    <t>Kamat</t>
  </si>
  <si>
    <t>működési célra</t>
  </si>
  <si>
    <t>felhalmozási célra</t>
  </si>
  <si>
    <t>0862061 kötelező</t>
  </si>
  <si>
    <t>0862062 kötelező</t>
  </si>
  <si>
    <t>0862063 kötelező</t>
  </si>
  <si>
    <t>0862064 kötelező</t>
  </si>
  <si>
    <t>Kuny Domokos Múzeum  2014. évi költségvetése (kiadások)  E Ft-ban</t>
  </si>
  <si>
    <t>Dologi és egyéb folyó kiadás</t>
  </si>
  <si>
    <t xml:space="preserve">Dologiból kamat </t>
  </si>
  <si>
    <t>Szociális Pénzbeli juttatás</t>
  </si>
  <si>
    <t>pénzforgalom nélküli</t>
  </si>
  <si>
    <t>Fejezeti és befektetési célú finanszírozási műveletek - Működési- és felhalmozási tartalék</t>
  </si>
  <si>
    <t xml:space="preserve"> Kötelező összesen:</t>
  </si>
  <si>
    <t>Egyéb munkaügyi pályázathoz kapcsolódó foglalkoztatás éves létszám előirányzata</t>
  </si>
  <si>
    <t>Tatai Közös Önkormányzati Hivatal Tatai Székhely</t>
  </si>
  <si>
    <t>Nem kötelező összesen:</t>
  </si>
  <si>
    <t>Állam (igazgatás) összesen:</t>
  </si>
  <si>
    <t>Mód.(V.28.)</t>
  </si>
  <si>
    <t>Lehívható központi támogatás Módosított</t>
  </si>
  <si>
    <t>M.adókat terh. jár. és szochj.</t>
  </si>
  <si>
    <t>Eredeti előirányzat         E Ft-ban</t>
  </si>
  <si>
    <t>E-útdíj bevezetése miatti  évi adóbevétel kiesés ellentételezése</t>
  </si>
  <si>
    <t>Beruházási előleg - Öreg-tavi Ökoturisztikai Központ kialakítása a csatlakozó kerékpárutak felújításával Tatán és a tematikus aktív turisztikai fejlesztések a kistérségben KDOP–2.1.1/B–09-2010-0002</t>
  </si>
  <si>
    <t>Bercsényi u. 1. ingatlan átalakításának kiadásaira 53/2014. (II.27.) Tata Kt. határozat alapján</t>
  </si>
  <si>
    <t>Immateriális javakra adott előleg - Angolpark rehabilitációja KDOP-2.1.1/B-2f-2009-0002</t>
  </si>
  <si>
    <t>Tatai 686/7 hrsz-ú ingatlanon lévő játszótér vételára</t>
  </si>
  <si>
    <t>Tata Város Önkormányzatának szervezetfejlesztése ÁROP-1.A.5-2013-2013-003</t>
  </si>
  <si>
    <t>016010</t>
  </si>
  <si>
    <t>Országgyűlési képviselő választás</t>
  </si>
  <si>
    <t>Pénzmar. átvét</t>
  </si>
  <si>
    <t>Pénzmaradvány átadás</t>
  </si>
  <si>
    <t>Önként</t>
  </si>
  <si>
    <t xml:space="preserve">Önként </t>
  </si>
  <si>
    <t>Önként vállalt feladat összesen</t>
  </si>
  <si>
    <t>Mindösszesen
Eredeti</t>
  </si>
  <si>
    <t>Mindösszesen
Mód. V.28.</t>
  </si>
  <si>
    <t>Kötvénykibocsátás 
6 havi CHF LIBOR 
+ 0,7% = 0,7794%
(átlag 1%)
Eredeti</t>
  </si>
  <si>
    <t>Kötvény-kibocsátás
Mód. V.28.</t>
  </si>
  <si>
    <t>Hosszú lejáratú fejlesztési hitel 
CHF 3 havi CHF LIBOR + 0,1 % 
= 0,123 %
Eredeti</t>
  </si>
  <si>
    <t>Hosszú 
lejáratú fejlesztési 
Hitel 
Mód. V.28.</t>
  </si>
  <si>
    <t>Hosszú lejáratú fejlesztési hitel 
HUF 3,8 %+4 % =7,8 %
Eredeti</t>
  </si>
  <si>
    <t>Hosszú 
lejáratú fejlesztési 
Hitel
Mód. V.28.</t>
  </si>
  <si>
    <t>Készfizető kezesség vállalást figyelembe véve E Ft-ban</t>
  </si>
  <si>
    <t>Tata-Tóparti 
V. Társulat
Eredeti</t>
  </si>
  <si>
    <t>Tata-Tóparti 
V. Társulat 
Mód. V.28.</t>
  </si>
  <si>
    <t>Eredeti
Összesen</t>
  </si>
  <si>
    <t>Mód. V.28.
Összesen</t>
  </si>
  <si>
    <t>Tatai Kistérségi Többcélú Társulástól feladatellátáshoz hozzájárulás és egyéb támogatás</t>
  </si>
  <si>
    <t>Pötörke Népművészeti Egyesület támogatása</t>
  </si>
  <si>
    <t>Peter Cserny Alapítvány támogatása 142/2014.(V.5.) Tata Kt. Határozat</t>
  </si>
  <si>
    <t xml:space="preserve">2012-2013. évi normatíva és feladatmutatók miatt visszafizetési kötelezettség </t>
  </si>
  <si>
    <t xml:space="preserve"> - Fiatal Zenészek Alapítvány támogatása</t>
  </si>
  <si>
    <t>Lakóssági közműfejlesztési támogatás</t>
  </si>
  <si>
    <t>TAC támogatása, sportpályához önerő</t>
  </si>
  <si>
    <t xml:space="preserve">1. </t>
  </si>
  <si>
    <t>Lakossági közműfejlesztés támogatása</t>
  </si>
  <si>
    <t>2013. évről áthuzódó bérkompenzáció támogatása</t>
  </si>
  <si>
    <t>13.</t>
  </si>
  <si>
    <t>Támogatás csökkentés a következő sorrend szerint III.2., I.1.c), I.1.ba), I.1.bb), I.1.bc), I.1.bd), I.1.a) támogatás összegéig terheli az önkormányzatot.</t>
  </si>
  <si>
    <t>Tata Város Önkormányzata és a Tatai Közös Önkormányzati Hivatal által nyújtott visszatérítendő és vissza nem térítendő támogatások 2014. évi alakulása</t>
  </si>
  <si>
    <t>Mód.(VIII.27.)</t>
  </si>
  <si>
    <t>Társadalmi tevékenységgel, esélyegyenlőséggel, érdekképviselettel, nemzetiségekkel, egyházakkal 
összefüggő feladatok igazgatása és szabályozása</t>
  </si>
  <si>
    <t>Miniszterelnökségtől Holokauszt pályázatra támogatás</t>
  </si>
  <si>
    <t>I. világháborúban elesett katonák sírjának gondozására</t>
  </si>
  <si>
    <t>Tatai Városgazda Nonprofit Kft. Jegyzett tőke emelése</t>
  </si>
  <si>
    <t>Csatorna közműfejlesztési hozzájárulás</t>
  </si>
  <si>
    <t>Arany János Tehetséggondozó Program keretében megújított szociális támogatás</t>
  </si>
  <si>
    <t xml:space="preserve"> - Petőfi Sándor halálának 165. évfordulója - megemlékezéshez támogatás</t>
  </si>
  <si>
    <t xml:space="preserve"> - Tatai Városi Nyugdíjasklub </t>
  </si>
  <si>
    <t xml:space="preserve"> - Magyarkanizsai árvízkárosultaknak</t>
  </si>
  <si>
    <t xml:space="preserve"> - Tatai Sportegyesület kosárlabda edzőtábor </t>
  </si>
  <si>
    <t xml:space="preserve"> - Magyary Zoltán Népfőiskolai Társaság</t>
  </si>
  <si>
    <t>Német Nemzetiségi Önkormányzatnak Testvérvárosok üvegkönyve köztéri szobor megvalósításához</t>
  </si>
  <si>
    <t>Szent Kereszt Plébánia nagyharang és toronyóra felújítása</t>
  </si>
  <si>
    <t>Értékvédelmi feladatok támogatása (2012-ről áthúzódó 4 000 E Ft, 2013-ról áthúzódó 3 247 E Ft)</t>
  </si>
  <si>
    <t>Támogatások, elszámolások után fel nem használt összegek visszafizetése (G.P. System, TAC, Emberi Erőforrás Támogatáskezelő)</t>
  </si>
  <si>
    <t>Városkapu Közhasznú Zrt. Támogatás kiegészítése</t>
  </si>
  <si>
    <t xml:space="preserve">Gyermekétkeztetés miatti állami támogatás visszautalása </t>
  </si>
  <si>
    <t>V.hó mód.</t>
  </si>
  <si>
    <t>VIII.hó.mód</t>
  </si>
  <si>
    <t>Bölcsőde</t>
  </si>
  <si>
    <t>Vaszary - Jázmin Tagintézmény</t>
  </si>
  <si>
    <t>Kőkúti Általános Iskola - Tazekas u. Tagintézménye</t>
  </si>
  <si>
    <t>VIII.hó mód.</t>
  </si>
  <si>
    <t>Egészségügyi Alapellátó</t>
  </si>
  <si>
    <t>Kvi. Alcímek és szakf. Összesen:</t>
  </si>
  <si>
    <t>Központosított támogatás</t>
  </si>
  <si>
    <t>Elvonások és befizetések</t>
  </si>
  <si>
    <t>2014. évi beruházási kiadások feladatonként (ÁFA-val)</t>
  </si>
  <si>
    <t xml:space="preserve">E Ft-ban </t>
  </si>
  <si>
    <t>Pályázatok és azokhoz kapcsolódó feladatok</t>
  </si>
  <si>
    <t xml:space="preserve">Baji úti és Sport utcai útkorszerűsítés </t>
  </si>
  <si>
    <t>A munka és a magánélet összehangolását segítő helyi kezdeményezések megvalósítása Tata városában TÁMOP-2.4.5-12/3-2012-0028</t>
  </si>
  <si>
    <t>A munka és a magánélet összehangolása a Tatai Polgármesteri Hivatalban TÁMOP-2.4.5-12/7-2012-0705</t>
  </si>
  <si>
    <t>Kossuth tér városközpont értékmegőrző rehabilitációja KDOP–3.1.1/A–09-1f-2010-0001 - Bercsényi u. 1. átalakítására 53/2014. (II.27.) Tata Kt. határozat, 178/2014. (V.29.) Tata Kt. határozat</t>
  </si>
  <si>
    <t>Határozatokkal elfogadott feladatok</t>
  </si>
  <si>
    <t>Fényes Fürdő strandnyitásához szükséges munkálatok elvégzése (574/2013.(XII.19.) Tata Kt. határozat)</t>
  </si>
  <si>
    <t>460/135 hrsz-ú ingatlan megvásárlása (Tatai MG Zrt.) (509/2013. (X.31) Tata Kt.határozat)</t>
  </si>
  <si>
    <t>Közművek vásárlás a Barina Kft.-től II. részlet (489/2013.(XI.31.) Tata Kt. határozat)</t>
  </si>
  <si>
    <t>Testvérvárosok üvegkönyve köztéri szobor megvalósításának önereje 60/2014. (III.14.) Tata Kt. határozat</t>
  </si>
  <si>
    <t>Tatai Városgazda Nonprofit Kft. jegyzett tőke emelése 393/2013. (VIII.15) Tata Kt. határozat</t>
  </si>
  <si>
    <t>Egyéb 2014. évi igények</t>
  </si>
  <si>
    <t>Tárgyi eszköz beszerzés (gondnokság)</t>
  </si>
  <si>
    <t>Képviselői, tisztségviselői laptopok és Windows 8 Office irodai csomag</t>
  </si>
  <si>
    <t>Mikro Voks jegyzőkönyv vezető rendszer</t>
  </si>
  <si>
    <t>Fényes fürdő területén fejlesztések végrehajtása (üzemeltetési szerződés alapján)</t>
  </si>
  <si>
    <t>Bláthy O. u. támfal építés</t>
  </si>
  <si>
    <t>Kukorica dűlő, Kálvária u. Diákotthon mögötti terület járhatóság biztosítása</t>
  </si>
  <si>
    <t>Piac tér kiszolgáló út II. ütem</t>
  </si>
  <si>
    <t>Piac téri ingatlannal kapcsolatos kártalanítás</t>
  </si>
  <si>
    <t>Tata-Agostyán, Kert utca kisajátítás</t>
  </si>
  <si>
    <t>Tatai Távhőszolgáltató Kft. tőkeemelése 2013. V. törvény 3: 161§ (4) alapján</t>
  </si>
  <si>
    <t>Visszatérő forrásokkal kapcsolatos feladatok</t>
  </si>
  <si>
    <t>Grófi-tó (Katonai-tó) természetes állapot helyreállítása vízjogi engedély alapján</t>
  </si>
  <si>
    <t>Energiaültetvény telepítése önkormányzati területen (Fényes)</t>
  </si>
  <si>
    <t>Katona u.(Lo presti forrás ) vízelvezetés kivitelezés</t>
  </si>
  <si>
    <t>Rákóczi u.- Bercsényi u. vízelvezető nyomvonal kiváltás a Kastély park- Öreg tó felé</t>
  </si>
  <si>
    <t>Új úti árok áteresz átépítése, a lakótelep csapadékcsatorna befogadó csatlakozásának kiépítése a Csever árok felé</t>
  </si>
  <si>
    <t>Közfoglalkoztatás - traktor beszerzés</t>
  </si>
  <si>
    <t>Közfoglalkoztatás - kis értékű eszközök beszerzése</t>
  </si>
  <si>
    <t>Tatai 686/7 hrsz-ú ingatlanon játszótér vételára</t>
  </si>
  <si>
    <t>Sportpályával kapcsolatos kiadások (Jávorka S. Mezőgazdasági Szakközépiskola és Kollégium)</t>
  </si>
  <si>
    <t>Menekülési irányt jelző táblák a városi rendezvényekre</t>
  </si>
  <si>
    <t>3. sz. fogorvosi körzet rendelőjében található bútor megvásárlására</t>
  </si>
  <si>
    <t>Gútay galériába képfüggesztő rendszer</t>
  </si>
  <si>
    <t>Tatai székhely</t>
  </si>
  <si>
    <t>Számítógépek cseréje, új operációs rendszer</t>
  </si>
  <si>
    <t>Számítástechnikai eszközök vásárlása</t>
  </si>
  <si>
    <t>Polisz pénzügyi programhoz szerver vásárlás</t>
  </si>
  <si>
    <t>Balatonfüredi üdülőbe eszköz beszerzés</t>
  </si>
  <si>
    <t>Fényes fürdőn lévő hivatali üdülőbe eszköz beszerzés</t>
  </si>
  <si>
    <t>Balatonvilágosi üdülőbe eszköz beszerzés</t>
  </si>
  <si>
    <t>Információbiztonsági beruházás, eszközbeszerzés</t>
  </si>
  <si>
    <t>Eszköz beszerzésre</t>
  </si>
  <si>
    <t>Eszközbeszerzés</t>
  </si>
  <si>
    <t>Intézmények Gazdasági Hivatala és a hozzá tartozó költségvetési szervek</t>
  </si>
  <si>
    <t>Tatai Fürdő Utcai Óvoda - eszközbeszerzés</t>
  </si>
  <si>
    <t>Tatai Geszti Óvoda - villanytűzhely, udvari eszközök</t>
  </si>
  <si>
    <t>Tatai Kincseskert Óvoda - Befogadó Élettér pályázat, beépített szekrény, udvari játékok</t>
  </si>
  <si>
    <t>Csillagsziget Bölcsőde - villanytűzhely</t>
  </si>
  <si>
    <t>Intézmények Gazdasági Hivatala - mindennapos testneveléssel kapcsolatos feladatokra</t>
  </si>
  <si>
    <t>Tatai Szivárvány óvoda - udvari játékok</t>
  </si>
  <si>
    <t>Tatai Bartók B. utcai Óvoda - udvai játékok</t>
  </si>
  <si>
    <t>Bergengócia Óvoda - mosógép és játékok várálása</t>
  </si>
  <si>
    <t>Tatai Kertvárosi Óvoda - udvari játékok, főzőüst</t>
  </si>
  <si>
    <t>Vaszary János Általános Iskola - eszközbeszerzés</t>
  </si>
  <si>
    <t>Tatai Egészségügyi Alapellátó Intézmény - eszközbeszerzés</t>
  </si>
  <si>
    <t>Móricz Zsigmond Városi Könyvtár - eszközbeszerzés</t>
  </si>
  <si>
    <t>Kiállításokhoz, működéshez digitális és informatikai eszközök</t>
  </si>
  <si>
    <t>2014. évi felújítási kiadások célonként (ÁFA-val)</t>
  </si>
  <si>
    <t>Erzsébet téri (Szarka köz) útbeszakadás helyreállítás (vis maior)</t>
  </si>
  <si>
    <t>Fényes Fürdő szállások felújítása (574/2013.(XII.19.) Tata Kt. határozat)</t>
  </si>
  <si>
    <t>Magyar Zoltán Művelődési Központ felújítása (487/2013. (X.31.) Tata Kt.) I. ütem</t>
  </si>
  <si>
    <t>Vaszary Villa állagmegóvó munkálatai (297/2010. (IX.1.) Kt. határozat)</t>
  </si>
  <si>
    <t>Hajnalcsillag Óvoda (Kálvária u. 5.) felújítása (376/2013. (VII.12.) Tata Kt.)</t>
  </si>
  <si>
    <t>Gútay galéria felújítása (499/2013. (X.31) Tata Kt.)</t>
  </si>
  <si>
    <t>Szivárvány Óvoda felújítására pályázati önerő 31/2014. (II.27.) Tata Kt. határozat</t>
  </si>
  <si>
    <t>Magyary Zoltán Művelődési Központ színpadpadlózat cseréjére 61/2014. (III.14.) Tata Kt. határozat</t>
  </si>
  <si>
    <t>Tatai 1850/9 hrsz-ú ingatlanon található támfal helyreállítására</t>
  </si>
  <si>
    <t>Ivóvíz közmű felújítás</t>
  </si>
  <si>
    <t>Szennyvíz közmű felújítása</t>
  </si>
  <si>
    <t>Informatikai infrastruktúra fejlesztés (Közös Önkormányzati hivatal épületében felújítások)</t>
  </si>
  <si>
    <t>Bacsó B.u.66. ltp. szennyvíz vezeték felújítása I. ütem</t>
  </si>
  <si>
    <t>Balatonvilágosi üdülő fűtés</t>
  </si>
  <si>
    <t>Balatonfüredi üdülő víz- és szennyvízvezetékek cseréjével és az önálló vízóra (bekötési mérés) beszerelése</t>
  </si>
  <si>
    <t>Fényesi üdülő felújítása (vízszigetelés,nyílászárók cseréje, belső felújítás)</t>
  </si>
  <si>
    <t>Önkormányzati bérlakások felújítása</t>
  </si>
  <si>
    <t>Nem lakás célú helységek felújítása</t>
  </si>
  <si>
    <t>Rákóczi u. 9. hátsó homlokzat felújítás</t>
  </si>
  <si>
    <t>Fürdő u. 2. ingatlanon felújítási munkálatok</t>
  </si>
  <si>
    <t>Rózsa u. burkolat felújítása</t>
  </si>
  <si>
    <t>Nagy L. u. mart aszfaltos felújítása</t>
  </si>
  <si>
    <t xml:space="preserve">Járda felújítások </t>
  </si>
  <si>
    <t>Kodály-tér öntözőrendszer felújítása</t>
  </si>
  <si>
    <t>Játszóterek felújítása, bekerítése és bővítése új eszközökkel, homokozók kialakítása Bartók B. u. 3 kerítés, 5×18 lakás térvilágítás, Építők parkja mászó vár, Bacsó B. úti, Levendula ltp-i ivókútak létesítése</t>
  </si>
  <si>
    <t>Bacsó B. u. 66. közvilágítás mérősítése leválasztása az energia átviteli rendszerről</t>
  </si>
  <si>
    <t>Bacsó B. u. 66. közvilágítási hálózat felújítása ( I. ütem 1. kábelkör, oszlopok 350 fm )</t>
  </si>
  <si>
    <t>Kocsi úti temetőben ravatalozó felújítása</t>
  </si>
  <si>
    <t>Környei úti temetőben ravatalozó előtető felújítása</t>
  </si>
  <si>
    <t xml:space="preserve">Balatonfüredi üdülő bejárati ajtó csere </t>
  </si>
  <si>
    <t>Klíma beszerzés a hivatal épületébe</t>
  </si>
  <si>
    <t>Zsidó temető sírkert felújítása</t>
  </si>
  <si>
    <t>Fényes fürdőn a strand nyitáshoz szükséges felújításokra</t>
  </si>
  <si>
    <t>Hivatal épületében földszinten mozgáskorlátozott mosdó kialakítása</t>
  </si>
  <si>
    <t>Tatai Geszti Óvoda - udvar térburkolat felújítás</t>
  </si>
  <si>
    <t>Tatai Kertvárosi Óvoda - Nyílászáró csere, elektromos kapcsolószekrény, járda</t>
  </si>
  <si>
    <t>Tatai Szivárvány Óvoda - Udvari csapadékvíz elvezetés</t>
  </si>
  <si>
    <t>Vaszary János Általános Iskola - tetőfelújítás, elektromos hálózat felújítás, kerékpártároló, udvari játszótér, tornaszoba</t>
  </si>
  <si>
    <t>Vaszary János Általános Iskola Jázmin Utcai Tagintézménye - Udvar burkolat, kerékpártároló, vizesblokk</t>
  </si>
  <si>
    <t>Kőkúti Általános Iskola - vizesblokk, hőközpont, aula kerékpártároló, aszfalt, fizika-kémia szertár felújítása</t>
  </si>
  <si>
    <t>Kőkúti Általános Iskola Fazekas Utcai Tagintézménye - folyosói világítás korszerűsítése, illatoskert játszótér kialakítása</t>
  </si>
  <si>
    <t>Tárgyi eszköz felújítási munkákra</t>
  </si>
  <si>
    <r>
      <t>Társulási kiegészítés gyermekjóléti ellátásra</t>
    </r>
    <r>
      <rPr>
        <sz val="12"/>
        <rFont val="Times New Roman CE"/>
        <family val="1"/>
      </rPr>
      <t xml:space="preserve"> a </t>
    </r>
    <r>
      <rPr>
        <sz val="12"/>
        <rFont val="Times New Roman CE"/>
        <family val="0"/>
      </rPr>
      <t>0-17 éves korcsoportos lakosokra</t>
    </r>
  </si>
  <si>
    <t>Egyéb jogcímen kapott központosított támogatások</t>
  </si>
  <si>
    <t>Augusztusi módosított előirányzat         E Ft</t>
  </si>
  <si>
    <t>Májusi módosított előirányzat         E Ft</t>
  </si>
  <si>
    <t>Mód.(VIII.29.)</t>
  </si>
  <si>
    <t>Mód. (VIII.29)</t>
  </si>
  <si>
    <t>Mód. (VIII.29.)</t>
  </si>
  <si>
    <t xml:space="preserve">Mód.(VIII.29.) </t>
  </si>
  <si>
    <t>Tatai Református Egyházközségnek Hajnalcsillag Református Óvodában csoport megszűnése miatt</t>
  </si>
  <si>
    <t>Országgyűlési képviselő választás, Európai Parlamenti képviselő választás</t>
  </si>
  <si>
    <t>Országgyűlési és Európa Parlamenti képviselők választásához támogatás</t>
  </si>
  <si>
    <t>Mód. VIII. 29. öszesen</t>
  </si>
  <si>
    <t>Tata-Tóparti 
V. Társulat 
Mód. VIII.29.</t>
  </si>
  <si>
    <t>Központi támogatások</t>
  </si>
  <si>
    <t>átvett működési célra</t>
  </si>
  <si>
    <t>támogatás értékű működési célra</t>
  </si>
  <si>
    <t>átvett felhalmozási célra</t>
  </si>
  <si>
    <t>támogatásértékű felhalmozási célra</t>
  </si>
  <si>
    <t>pénzforalom nélküli</t>
  </si>
  <si>
    <t>2012-2013. évi normatíva és feladatmutatók miatti visszafizetési kötelezettség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</si>
</sst>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0"/>
    <numFmt numFmtId="171" formatCode="yyyy/\ m/\ d\."/>
    <numFmt numFmtId="172" formatCode="#,##0.0"/>
    <numFmt numFmtId="173" formatCode="0&quot;.folyósítás&quot;"/>
    <numFmt numFmtId="174" formatCode="#,##0.000"/>
    <numFmt numFmtId="175" formatCode="#,##0,"/>
    <numFmt numFmtId="176" formatCode="#,##0;[Red]\-#,##0"/>
    <numFmt numFmtId="177" formatCode="0.0%"/>
    <numFmt numFmtId="178" formatCode="[$-40E]yyyy\.\ mmmm\ d\."/>
    <numFmt numFmtId="179" formatCode="[$-40E]yyyy/\ mmm/\ d\.;@"/>
    <numFmt numFmtId="180" formatCode="[$-F800]dddd\,\ mmmm\ dd\,\ yyyy"/>
    <numFmt numFmtId="181" formatCode="#,##0.0000000"/>
    <numFmt numFmtId="182" formatCode="#,##0.000000"/>
    <numFmt numFmtId="183" formatCode="#,##0;\-#,##0"/>
    <numFmt numFmtId="184" formatCode="dddd&quot;, &quot;mmmm\ dd&quot;, &quot;yyyy"/>
    <numFmt numFmtId="185" formatCode="_-* #,##0.00\ _F_t_-;\-* #,##0.00\ _F_t_-;_-* \-??\ _F_t_-;_-@_-"/>
    <numFmt numFmtId="186" formatCode="&quot;H-&quot;0000"/>
    <numFmt numFmtId="187" formatCode="#,##0.00\ [$EUR]"/>
    <numFmt numFmtId="188" formatCode="_-* #,##0.0\ _F_t_-;\-* #,##0.0\ _F_t_-;_-* &quot;-&quot;??\ _F_t_-;_-@_-"/>
    <numFmt numFmtId="189" formatCode="_-* #,##0.000\ _F_t_-;\-* #,##0.000\ _F_t_-;_-* &quot;-&quot;??\ _F_t_-;_-@_-"/>
    <numFmt numFmtId="190" formatCode="_-* #,##0\ _F_t_-;\-* #,##0\ _F_t_-;_-* &quot;-&quot;??\ _F_t_-;_-@_-"/>
    <numFmt numFmtId="191" formatCode="#,##0_ ;[Red]\-#,##0\ "/>
    <numFmt numFmtId="192" formatCode="0.0000"/>
    <numFmt numFmtId="193" formatCode="0.00000"/>
    <numFmt numFmtId="194" formatCode="0.0000000"/>
    <numFmt numFmtId="195" formatCode="0.000000"/>
    <numFmt numFmtId="196" formatCode="0.00000000"/>
    <numFmt numFmtId="197" formatCode="0.000000000"/>
    <numFmt numFmtId="198" formatCode="#,##0&quot; Ft&quot;"/>
    <numFmt numFmtId="199" formatCode="yyyy\-mm\-dd"/>
    <numFmt numFmtId="200" formatCode="yyyy/\ mmmm\ d\."/>
    <numFmt numFmtId="201" formatCode="yyyy/\ mmm/\ d\."/>
    <numFmt numFmtId="202" formatCode="yy/\ mmmm\ d\."/>
    <numFmt numFmtId="203" formatCode="#,##0.0000,"/>
    <numFmt numFmtId="204" formatCode="#,##0.00000,"/>
  </numFmts>
  <fonts count="68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0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2"/>
      <name val="Arial CE"/>
      <family val="0"/>
    </font>
    <font>
      <sz val="10"/>
      <name val="MS Sans Serif"/>
      <family val="2"/>
    </font>
    <font>
      <i/>
      <sz val="11"/>
      <name val="Times New Roman"/>
      <family val="1"/>
    </font>
    <font>
      <b/>
      <sz val="11"/>
      <name val="Times New Roman CE"/>
      <family val="0"/>
    </font>
    <font>
      <i/>
      <sz val="10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0"/>
    </font>
    <font>
      <b/>
      <sz val="8"/>
      <name val="Times New Roman"/>
      <family val="1"/>
    </font>
    <font>
      <i/>
      <sz val="10"/>
      <name val="Times New Roman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 CE"/>
      <family val="0"/>
    </font>
    <font>
      <b/>
      <u val="single"/>
      <sz val="11"/>
      <name val="Times New Roman"/>
      <family val="1"/>
    </font>
    <font>
      <sz val="8"/>
      <name val="Arial"/>
      <family val="2"/>
    </font>
    <font>
      <sz val="11"/>
      <name val="Arial CE"/>
      <family val="0"/>
    </font>
    <font>
      <b/>
      <sz val="10"/>
      <name val="Arial CE"/>
      <family val="0"/>
    </font>
    <font>
      <b/>
      <u val="single"/>
      <sz val="10"/>
      <name val="Times New Roman CE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name val="Arial CE"/>
      <family val="0"/>
    </font>
    <font>
      <sz val="11"/>
      <color theme="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3" fillId="11" borderId="0" applyNumberFormat="0" applyBorder="0" applyAlignment="0" applyProtection="0"/>
    <xf numFmtId="0" fontId="4" fillId="9" borderId="1" applyNumberFormat="0" applyAlignment="0" applyProtection="0"/>
    <xf numFmtId="0" fontId="5" fillId="40" borderId="1" applyNumberFormat="0" applyAlignment="0" applyProtection="0"/>
    <xf numFmtId="0" fontId="6" fillId="4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42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15" borderId="1" applyNumberFormat="0" applyAlignment="0" applyProtection="0"/>
    <xf numFmtId="0" fontId="0" fillId="43" borderId="10" applyNumberFormat="0" applyFont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13" fillId="6" borderId="0" applyNumberFormat="0" applyBorder="0" applyAlignment="0" applyProtection="0"/>
    <xf numFmtId="0" fontId="16" fillId="48" borderId="11" applyNumberFormat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8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50" borderId="10" applyNumberFormat="0" applyAlignment="0" applyProtection="0"/>
    <xf numFmtId="0" fontId="16" fillId="40" borderId="11" applyNumberFormat="0" applyAlignment="0" applyProtection="0"/>
    <xf numFmtId="0" fontId="19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18" fillId="51" borderId="0" applyNumberFormat="0" applyBorder="0" applyAlignment="0" applyProtection="0"/>
    <xf numFmtId="0" fontId="5" fillId="48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2" fillId="0" borderId="0" applyNumberFormat="0" applyFill="0" applyBorder="0" applyAlignment="0" applyProtection="0"/>
  </cellStyleXfs>
  <cellXfs count="1163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101">
      <alignment/>
      <protection/>
    </xf>
    <xf numFmtId="3" fontId="23" fillId="0" borderId="0" xfId="101" applyNumberFormat="1">
      <alignment/>
      <protection/>
    </xf>
    <xf numFmtId="0" fontId="25" fillId="0" borderId="13" xfId="101" applyFont="1" applyBorder="1" applyAlignment="1">
      <alignment wrapText="1"/>
      <protection/>
    </xf>
    <xf numFmtId="0" fontId="23" fillId="0" borderId="0" xfId="101" applyFont="1">
      <alignment/>
      <protection/>
    </xf>
    <xf numFmtId="3" fontId="27" fillId="0" borderId="14" xfId="101" applyNumberFormat="1" applyFont="1" applyBorder="1">
      <alignment/>
      <protection/>
    </xf>
    <xf numFmtId="0" fontId="25" fillId="0" borderId="0" xfId="101" applyFont="1">
      <alignment/>
      <protection/>
    </xf>
    <xf numFmtId="3" fontId="25" fillId="0" borderId="0" xfId="101" applyNumberFormat="1" applyFont="1">
      <alignment/>
      <protection/>
    </xf>
    <xf numFmtId="0" fontId="25" fillId="0" borderId="0" xfId="101" applyFont="1" applyBorder="1">
      <alignment/>
      <protection/>
    </xf>
    <xf numFmtId="0" fontId="30" fillId="0" borderId="0" xfId="101" applyFont="1">
      <alignment/>
      <protection/>
    </xf>
    <xf numFmtId="0" fontId="27" fillId="0" borderId="13" xfId="101" applyFont="1" applyBorder="1" applyAlignment="1">
      <alignment wrapText="1"/>
      <protection/>
    </xf>
    <xf numFmtId="3" fontId="30" fillId="0" borderId="0" xfId="101" applyNumberFormat="1" applyFont="1">
      <alignment/>
      <protection/>
    </xf>
    <xf numFmtId="0" fontId="23" fillId="0" borderId="0" xfId="101" applyAlignment="1">
      <alignment wrapText="1"/>
      <protection/>
    </xf>
    <xf numFmtId="0" fontId="27" fillId="0" borderId="15" xfId="101" applyFont="1" applyBorder="1" applyAlignment="1">
      <alignment wrapText="1"/>
      <protection/>
    </xf>
    <xf numFmtId="0" fontId="26" fillId="0" borderId="16" xfId="101" applyFont="1" applyBorder="1" applyAlignment="1">
      <alignment wrapText="1"/>
      <protection/>
    </xf>
    <xf numFmtId="0" fontId="25" fillId="0" borderId="0" xfId="101" applyFont="1" applyAlignment="1">
      <alignment wrapText="1"/>
      <protection/>
    </xf>
    <xf numFmtId="0" fontId="27" fillId="0" borderId="0" xfId="101" applyFont="1" applyBorder="1" applyAlignment="1">
      <alignment wrapText="1"/>
      <protection/>
    </xf>
    <xf numFmtId="0" fontId="32" fillId="0" borderId="13" xfId="101" applyFont="1" applyBorder="1" applyAlignment="1">
      <alignment wrapText="1"/>
      <protection/>
    </xf>
    <xf numFmtId="3" fontId="32" fillId="0" borderId="14" xfId="101" applyNumberFormat="1" applyFont="1" applyBorder="1">
      <alignment/>
      <protection/>
    </xf>
    <xf numFmtId="3" fontId="31" fillId="0" borderId="0" xfId="101" applyNumberFormat="1" applyFont="1">
      <alignment/>
      <protection/>
    </xf>
    <xf numFmtId="0" fontId="31" fillId="0" borderId="0" xfId="101" applyFont="1">
      <alignment/>
      <protection/>
    </xf>
    <xf numFmtId="0" fontId="26" fillId="0" borderId="13" xfId="101" applyFont="1" applyBorder="1" applyAlignment="1">
      <alignment wrapText="1"/>
      <protection/>
    </xf>
    <xf numFmtId="3" fontId="26" fillId="0" borderId="14" xfId="101" applyNumberFormat="1" applyFont="1" applyBorder="1">
      <alignment/>
      <protection/>
    </xf>
    <xf numFmtId="3" fontId="24" fillId="0" borderId="0" xfId="101" applyNumberFormat="1" applyFont="1">
      <alignment/>
      <protection/>
    </xf>
    <xf numFmtId="0" fontId="24" fillId="0" borderId="0" xfId="101" applyFont="1">
      <alignment/>
      <protection/>
    </xf>
    <xf numFmtId="3" fontId="23" fillId="0" borderId="0" xfId="101" applyNumberFormat="1" applyFont="1">
      <alignment/>
      <protection/>
    </xf>
    <xf numFmtId="0" fontId="33" fillId="0" borderId="13" xfId="0" applyFont="1" applyBorder="1" applyAlignment="1">
      <alignment/>
    </xf>
    <xf numFmtId="0" fontId="27" fillId="0" borderId="0" xfId="100" applyFont="1" applyAlignment="1">
      <alignment horizontal="center"/>
      <protection/>
    </xf>
    <xf numFmtId="0" fontId="29" fillId="0" borderId="0" xfId="100" applyFont="1" applyAlignment="1">
      <alignment horizontal="center"/>
      <protection/>
    </xf>
    <xf numFmtId="0" fontId="25" fillId="0" borderId="0" xfId="100" applyFont="1" applyAlignment="1">
      <alignment/>
      <protection/>
    </xf>
    <xf numFmtId="3" fontId="25" fillId="0" borderId="17" xfId="100" applyNumberFormat="1" applyFont="1" applyBorder="1" applyAlignment="1">
      <alignment horizontal="right"/>
      <protection/>
    </xf>
    <xf numFmtId="0" fontId="25" fillId="0" borderId="18" xfId="100" applyFont="1" applyBorder="1">
      <alignment/>
      <protection/>
    </xf>
    <xf numFmtId="0" fontId="25" fillId="0" borderId="19" xfId="100" applyFont="1" applyBorder="1">
      <alignment/>
      <protection/>
    </xf>
    <xf numFmtId="3" fontId="25" fillId="0" borderId="19" xfId="100" applyNumberFormat="1" applyFont="1" applyBorder="1" applyAlignment="1">
      <alignment horizontal="right"/>
      <protection/>
    </xf>
    <xf numFmtId="3" fontId="27" fillId="0" borderId="20" xfId="100" applyNumberFormat="1" applyFont="1" applyBorder="1" applyAlignment="1">
      <alignment horizontal="right"/>
      <protection/>
    </xf>
    <xf numFmtId="0" fontId="25" fillId="0" borderId="21" xfId="100" applyFont="1" applyBorder="1">
      <alignment/>
      <protection/>
    </xf>
    <xf numFmtId="0" fontId="25" fillId="0" borderId="22" xfId="100" applyFont="1" applyBorder="1">
      <alignment/>
      <protection/>
    </xf>
    <xf numFmtId="3" fontId="25" fillId="0" borderId="22" xfId="100" applyNumberFormat="1" applyFont="1" applyBorder="1" applyAlignment="1">
      <alignment horizontal="right"/>
      <protection/>
    </xf>
    <xf numFmtId="3" fontId="27" fillId="0" borderId="23" xfId="100" applyNumberFormat="1" applyFont="1" applyBorder="1" applyAlignment="1">
      <alignment horizontal="right"/>
      <protection/>
    </xf>
    <xf numFmtId="3" fontId="25" fillId="0" borderId="24" xfId="100" applyNumberFormat="1" applyFont="1" applyBorder="1" applyAlignment="1">
      <alignment horizontal="right"/>
      <protection/>
    </xf>
    <xf numFmtId="0" fontId="25" fillId="0" borderId="21" xfId="100" applyFont="1" applyBorder="1" applyAlignment="1">
      <alignment horizontal="left"/>
      <protection/>
    </xf>
    <xf numFmtId="0" fontId="25" fillId="0" borderId="18" xfId="100" applyFont="1" applyBorder="1" applyAlignment="1">
      <alignment horizontal="left"/>
      <protection/>
    </xf>
    <xf numFmtId="0" fontId="25" fillId="0" borderId="0" xfId="100" applyFont="1">
      <alignment/>
      <protection/>
    </xf>
    <xf numFmtId="0" fontId="27" fillId="0" borderId="0" xfId="100" applyFont="1" applyBorder="1">
      <alignment/>
      <protection/>
    </xf>
    <xf numFmtId="3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5" fillId="0" borderId="25" xfId="0" applyFont="1" applyBorder="1" applyAlignment="1">
      <alignment horizontal="justify" vertical="top" wrapText="1"/>
    </xf>
    <xf numFmtId="0" fontId="25" fillId="0" borderId="13" xfId="0" applyFont="1" applyBorder="1" applyAlignment="1">
      <alignment horizontal="justify" vertical="top" wrapText="1"/>
    </xf>
    <xf numFmtId="0" fontId="32" fillId="0" borderId="25" xfId="0" applyFont="1" applyBorder="1" applyAlignment="1">
      <alignment horizontal="justify" vertical="top" wrapText="1"/>
    </xf>
    <xf numFmtId="0" fontId="27" fillId="0" borderId="25" xfId="0" applyFont="1" applyBorder="1" applyAlignment="1">
      <alignment horizontal="justify" vertical="top" wrapText="1"/>
    </xf>
    <xf numFmtId="0" fontId="25" fillId="0" borderId="25" xfId="0" applyFont="1" applyBorder="1" applyAlignment="1" quotePrefix="1">
      <alignment horizontal="justify" vertical="top" wrapText="1"/>
    </xf>
    <xf numFmtId="0" fontId="25" fillId="0" borderId="26" xfId="0" applyFont="1" applyBorder="1" applyAlignment="1">
      <alignment horizontal="justify" vertical="top" wrapText="1"/>
    </xf>
    <xf numFmtId="0" fontId="27" fillId="0" borderId="27" xfId="0" applyFont="1" applyBorder="1" applyAlignment="1">
      <alignment horizontal="justify" vertical="top" wrapText="1"/>
    </xf>
    <xf numFmtId="0" fontId="44" fillId="0" borderId="0" xfId="0" applyFont="1" applyAlignment="1">
      <alignment horizontal="justify"/>
    </xf>
    <xf numFmtId="165" fontId="25" fillId="0" borderId="0" xfId="0" applyNumberFormat="1" applyFont="1" applyAlignment="1">
      <alignment/>
    </xf>
    <xf numFmtId="0" fontId="28" fillId="0" borderId="0" xfId="0" applyFont="1" applyAlignment="1">
      <alignment horizontal="justify"/>
    </xf>
    <xf numFmtId="0" fontId="25" fillId="0" borderId="25" xfId="0" applyFont="1" applyBorder="1" applyAlignment="1">
      <alignment/>
    </xf>
    <xf numFmtId="0" fontId="25" fillId="0" borderId="16" xfId="0" applyFont="1" applyBorder="1" applyAlignment="1">
      <alignment/>
    </xf>
    <xf numFmtId="0" fontId="27" fillId="0" borderId="28" xfId="0" applyFont="1" applyBorder="1" applyAlignment="1">
      <alignment/>
    </xf>
    <xf numFmtId="0" fontId="27" fillId="0" borderId="0" xfId="0" applyFont="1" applyAlignment="1">
      <alignment/>
    </xf>
    <xf numFmtId="3" fontId="24" fillId="0" borderId="0" xfId="101" applyNumberFormat="1" applyFont="1" applyBorder="1">
      <alignment/>
      <protection/>
    </xf>
    <xf numFmtId="0" fontId="24" fillId="0" borderId="0" xfId="101" applyFont="1" applyBorder="1">
      <alignment/>
      <protection/>
    </xf>
    <xf numFmtId="0" fontId="27" fillId="0" borderId="16" xfId="101" applyFont="1" applyBorder="1" applyAlignment="1">
      <alignment wrapText="1"/>
      <protection/>
    </xf>
    <xf numFmtId="3" fontId="27" fillId="0" borderId="29" xfId="101" applyNumberFormat="1" applyFont="1" applyBorder="1">
      <alignment/>
      <protection/>
    </xf>
    <xf numFmtId="0" fontId="25" fillId="0" borderId="16" xfId="101" applyFont="1" applyBorder="1" applyAlignment="1">
      <alignment wrapText="1"/>
      <protection/>
    </xf>
    <xf numFmtId="0" fontId="40" fillId="0" borderId="25" xfId="0" applyFont="1" applyBorder="1" applyAlignment="1">
      <alignment horizontal="justify" vertical="top" wrapText="1"/>
    </xf>
    <xf numFmtId="0" fontId="40" fillId="0" borderId="25" xfId="0" applyFont="1" applyBorder="1" applyAlignment="1">
      <alignment horizontal="left" vertical="center" wrapText="1"/>
    </xf>
    <xf numFmtId="0" fontId="25" fillId="0" borderId="0" xfId="99" applyFont="1" applyFill="1">
      <alignment/>
      <protection/>
    </xf>
    <xf numFmtId="0" fontId="45" fillId="0" borderId="0" xfId="99" applyFont="1" applyFill="1" applyAlignment="1">
      <alignment horizontal="center"/>
      <protection/>
    </xf>
    <xf numFmtId="0" fontId="25" fillId="0" borderId="0" xfId="99" applyFont="1" applyFill="1" applyAlignment="1">
      <alignment horizontal="center"/>
      <protection/>
    </xf>
    <xf numFmtId="3" fontId="25" fillId="0" borderId="0" xfId="99" applyNumberFormat="1" applyFont="1" applyFill="1">
      <alignment/>
      <protection/>
    </xf>
    <xf numFmtId="0" fontId="25" fillId="0" borderId="0" xfId="99" applyFont="1" applyFill="1" applyAlignment="1">
      <alignment horizontal="right"/>
      <protection/>
    </xf>
    <xf numFmtId="0" fontId="46" fillId="0" borderId="0" xfId="99" applyFont="1" applyFill="1" applyBorder="1" applyAlignment="1">
      <alignment horizontal="center"/>
      <protection/>
    </xf>
    <xf numFmtId="3" fontId="27" fillId="0" borderId="0" xfId="99" applyNumberFormat="1" applyFont="1" applyFill="1" applyAlignment="1">
      <alignment horizontal="right"/>
      <protection/>
    </xf>
    <xf numFmtId="3" fontId="27" fillId="0" borderId="17" xfId="99" applyNumberFormat="1" applyFont="1" applyFill="1" applyBorder="1">
      <alignment/>
      <protection/>
    </xf>
    <xf numFmtId="3" fontId="25" fillId="0" borderId="17" xfId="99" applyNumberFormat="1" applyFont="1" applyFill="1" applyBorder="1">
      <alignment/>
      <protection/>
    </xf>
    <xf numFmtId="3" fontId="25" fillId="0" borderId="19" xfId="99" applyNumberFormat="1" applyFont="1" applyFill="1" applyBorder="1">
      <alignment/>
      <protection/>
    </xf>
    <xf numFmtId="3" fontId="25" fillId="0" borderId="19" xfId="99" applyNumberFormat="1" applyFont="1" applyFill="1" applyBorder="1" applyAlignment="1">
      <alignment horizontal="right"/>
      <protection/>
    </xf>
    <xf numFmtId="0" fontId="25" fillId="0" borderId="0" xfId="99" applyFont="1" applyFill="1" applyBorder="1">
      <alignment/>
      <protection/>
    </xf>
    <xf numFmtId="3" fontId="27" fillId="0" borderId="19" xfId="99" applyNumberFormat="1" applyFont="1" applyFill="1" applyBorder="1">
      <alignment/>
      <protection/>
    </xf>
    <xf numFmtId="0" fontId="25" fillId="0" borderId="19" xfId="99" applyFont="1" applyFill="1" applyBorder="1" applyAlignment="1">
      <alignment horizontal="right"/>
      <protection/>
    </xf>
    <xf numFmtId="3" fontId="25" fillId="0" borderId="19" xfId="99" applyNumberFormat="1" applyFont="1" applyFill="1" applyBorder="1">
      <alignment/>
      <protection/>
    </xf>
    <xf numFmtId="3" fontId="27" fillId="0" borderId="19" xfId="99" applyNumberFormat="1" applyFont="1" applyFill="1" applyBorder="1" applyAlignment="1" quotePrefix="1">
      <alignment/>
      <protection/>
    </xf>
    <xf numFmtId="3" fontId="27" fillId="0" borderId="20" xfId="99" applyNumberFormat="1" applyFont="1" applyFill="1" applyBorder="1" applyAlignment="1" quotePrefix="1">
      <alignment/>
      <protection/>
    </xf>
    <xf numFmtId="3" fontId="27" fillId="0" borderId="19" xfId="99" applyNumberFormat="1" applyFont="1" applyFill="1" applyBorder="1" applyAlignment="1">
      <alignment/>
      <protection/>
    </xf>
    <xf numFmtId="3" fontId="27" fillId="0" borderId="20" xfId="99" applyNumberFormat="1" applyFont="1" applyFill="1" applyBorder="1" applyAlignment="1">
      <alignment/>
      <protection/>
    </xf>
    <xf numFmtId="3" fontId="25" fillId="0" borderId="0" xfId="99" applyNumberFormat="1" applyFont="1" applyFill="1" applyAlignment="1">
      <alignment horizontal="right"/>
      <protection/>
    </xf>
    <xf numFmtId="0" fontId="25" fillId="0" borderId="27" xfId="0" applyFont="1" applyBorder="1" applyAlignment="1">
      <alignment/>
    </xf>
    <xf numFmtId="0" fontId="47" fillId="0" borderId="0" xfId="103" applyFont="1" applyFill="1" applyBorder="1" applyAlignment="1">
      <alignment horizontal="center" vertical="center"/>
      <protection/>
    </xf>
    <xf numFmtId="0" fontId="25" fillId="0" borderId="0" xfId="103" applyFont="1" applyFill="1">
      <alignment/>
      <protection/>
    </xf>
    <xf numFmtId="0" fontId="25" fillId="0" borderId="30" xfId="103" applyFont="1" applyFill="1" applyBorder="1" applyAlignment="1">
      <alignment horizontal="center" vertical="center" wrapText="1"/>
      <protection/>
    </xf>
    <xf numFmtId="0" fontId="25" fillId="0" borderId="19" xfId="103" applyFont="1" applyFill="1" applyBorder="1" applyAlignment="1">
      <alignment vertical="center" wrapText="1"/>
      <protection/>
    </xf>
    <xf numFmtId="3" fontId="25" fillId="0" borderId="19" xfId="103" applyNumberFormat="1" applyFont="1" applyFill="1" applyBorder="1" applyAlignment="1">
      <alignment vertical="center"/>
      <protection/>
    </xf>
    <xf numFmtId="3" fontId="25" fillId="0" borderId="20" xfId="103" applyNumberFormat="1" applyFont="1" applyFill="1" applyBorder="1" applyAlignment="1">
      <alignment vertical="center"/>
      <protection/>
    </xf>
    <xf numFmtId="0" fontId="27" fillId="0" borderId="30" xfId="103" applyFont="1" applyFill="1" applyBorder="1" applyAlignment="1">
      <alignment horizontal="center" vertical="center" wrapText="1"/>
      <protection/>
    </xf>
    <xf numFmtId="0" fontId="27" fillId="0" borderId="19" xfId="103" applyFont="1" applyFill="1" applyBorder="1" applyAlignment="1">
      <alignment vertical="center" wrapText="1"/>
      <protection/>
    </xf>
    <xf numFmtId="3" fontId="27" fillId="0" borderId="19" xfId="103" applyNumberFormat="1" applyFont="1" applyFill="1" applyBorder="1" applyAlignment="1">
      <alignment vertical="center"/>
      <protection/>
    </xf>
    <xf numFmtId="3" fontId="27" fillId="0" borderId="20" xfId="103" applyNumberFormat="1" applyFont="1" applyFill="1" applyBorder="1" applyAlignment="1">
      <alignment vertical="center"/>
      <protection/>
    </xf>
    <xf numFmtId="3" fontId="27" fillId="0" borderId="22" xfId="103" applyNumberFormat="1" applyFont="1" applyFill="1" applyBorder="1" applyAlignment="1">
      <alignment vertical="center"/>
      <protection/>
    </xf>
    <xf numFmtId="0" fontId="25" fillId="0" borderId="0" xfId="103" applyFont="1" applyFill="1" applyBorder="1">
      <alignment/>
      <protection/>
    </xf>
    <xf numFmtId="0" fontId="48" fillId="0" borderId="0" xfId="106" applyFont="1" applyFill="1" applyBorder="1" applyAlignment="1">
      <alignment horizontal="center" vertical="center"/>
      <protection/>
    </xf>
    <xf numFmtId="3" fontId="25" fillId="0" borderId="0" xfId="103" applyNumberFormat="1" applyFont="1" applyFill="1">
      <alignment/>
      <protection/>
    </xf>
    <xf numFmtId="3" fontId="27" fillId="0" borderId="18" xfId="103" applyNumberFormat="1" applyFont="1" applyFill="1" applyBorder="1" applyAlignment="1">
      <alignment horizontal="center" vertical="center"/>
      <protection/>
    </xf>
    <xf numFmtId="0" fontId="49" fillId="0" borderId="19" xfId="103" applyFont="1" applyFill="1" applyBorder="1" applyAlignment="1">
      <alignment horizontal="center" vertical="center" wrapText="1"/>
      <protection/>
    </xf>
    <xf numFmtId="0" fontId="49" fillId="0" borderId="24" xfId="103" applyFont="1" applyFill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31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31" xfId="0" applyFont="1" applyBorder="1" applyAlignment="1">
      <alignment/>
    </xf>
    <xf numFmtId="0" fontId="20" fillId="0" borderId="31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31" xfId="0" applyFont="1" applyBorder="1" applyAlignment="1">
      <alignment/>
    </xf>
    <xf numFmtId="3" fontId="22" fillId="0" borderId="31" xfId="0" applyNumberFormat="1" applyFont="1" applyBorder="1" applyAlignment="1">
      <alignment/>
    </xf>
    <xf numFmtId="0" fontId="22" fillId="0" borderId="13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0" fillId="0" borderId="13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22" fillId="0" borderId="31" xfId="0" applyFont="1" applyBorder="1" applyAlignment="1">
      <alignment/>
    </xf>
    <xf numFmtId="49" fontId="22" fillId="0" borderId="31" xfId="0" applyNumberFormat="1" applyFont="1" applyBorder="1" applyAlignment="1">
      <alignment/>
    </xf>
    <xf numFmtId="0" fontId="21" fillId="0" borderId="31" xfId="0" applyFont="1" applyBorder="1" applyAlignment="1">
      <alignment/>
    </xf>
    <xf numFmtId="0" fontId="33" fillId="0" borderId="31" xfId="0" applyFont="1" applyBorder="1" applyAlignment="1">
      <alignment/>
    </xf>
    <xf numFmtId="0" fontId="39" fillId="0" borderId="13" xfId="0" applyFont="1" applyBorder="1" applyAlignment="1">
      <alignment horizontal="left"/>
    </xf>
    <xf numFmtId="0" fontId="50" fillId="0" borderId="31" xfId="0" applyFont="1" applyBorder="1" applyAlignment="1">
      <alignment/>
    </xf>
    <xf numFmtId="49" fontId="22" fillId="0" borderId="13" xfId="0" applyNumberFormat="1" applyFont="1" applyBorder="1" applyAlignment="1">
      <alignment horizontal="left" wrapText="1"/>
    </xf>
    <xf numFmtId="49" fontId="22" fillId="0" borderId="31" xfId="0" applyNumberFormat="1" applyFont="1" applyBorder="1" applyAlignment="1">
      <alignment horizontal="left" wrapText="1"/>
    </xf>
    <xf numFmtId="3" fontId="20" fillId="0" borderId="31" xfId="0" applyNumberFormat="1" applyFont="1" applyBorder="1" applyAlignment="1">
      <alignment/>
    </xf>
    <xf numFmtId="0" fontId="20" fillId="0" borderId="16" xfId="0" applyFont="1" applyBorder="1" applyAlignment="1">
      <alignment/>
    </xf>
    <xf numFmtId="3" fontId="20" fillId="0" borderId="32" xfId="0" applyNumberFormat="1" applyFont="1" applyBorder="1" applyAlignment="1">
      <alignment/>
    </xf>
    <xf numFmtId="3" fontId="20" fillId="0" borderId="16" xfId="0" applyNumberFormat="1" applyFont="1" applyBorder="1" applyAlignment="1">
      <alignment/>
    </xf>
    <xf numFmtId="0" fontId="22" fillId="0" borderId="32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Alignment="1">
      <alignment/>
    </xf>
    <xf numFmtId="3" fontId="21" fillId="0" borderId="31" xfId="0" applyNumberFormat="1" applyFont="1" applyBorder="1" applyAlignment="1">
      <alignment horizontal="center"/>
    </xf>
    <xf numFmtId="3" fontId="21" fillId="0" borderId="31" xfId="0" applyNumberFormat="1" applyFont="1" applyBorder="1" applyAlignment="1">
      <alignment horizontal="right"/>
    </xf>
    <xf numFmtId="172" fontId="21" fillId="0" borderId="31" xfId="0" applyNumberFormat="1" applyFont="1" applyBorder="1" applyAlignment="1">
      <alignment horizontal="right"/>
    </xf>
    <xf numFmtId="3" fontId="21" fillId="0" borderId="31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25" fillId="0" borderId="15" xfId="101" applyFont="1" applyBorder="1" applyAlignment="1">
      <alignment wrapText="1"/>
      <protection/>
    </xf>
    <xf numFmtId="0" fontId="43" fillId="0" borderId="0" xfId="109" applyFont="1">
      <alignment/>
      <protection/>
    </xf>
    <xf numFmtId="0" fontId="42" fillId="0" borderId="15" xfId="109" applyFont="1" applyBorder="1" applyAlignment="1">
      <alignment horizontal="center" wrapText="1"/>
      <protection/>
    </xf>
    <xf numFmtId="0" fontId="54" fillId="0" borderId="13" xfId="109" applyFont="1" applyBorder="1" applyAlignment="1">
      <alignment wrapText="1"/>
      <protection/>
    </xf>
    <xf numFmtId="0" fontId="54" fillId="0" borderId="0" xfId="109" applyFont="1">
      <alignment/>
      <protection/>
    </xf>
    <xf numFmtId="0" fontId="42" fillId="0" borderId="13" xfId="109" applyFont="1" applyBorder="1" applyAlignment="1">
      <alignment wrapText="1"/>
      <protection/>
    </xf>
    <xf numFmtId="3" fontId="42" fillId="0" borderId="14" xfId="109" applyNumberFormat="1" applyFont="1" applyBorder="1">
      <alignment/>
      <protection/>
    </xf>
    <xf numFmtId="0" fontId="42" fillId="0" borderId="0" xfId="109" applyFont="1">
      <alignment/>
      <protection/>
    </xf>
    <xf numFmtId="0" fontId="43" fillId="0" borderId="13" xfId="109" applyFont="1" applyBorder="1" applyAlignment="1">
      <alignment wrapText="1"/>
      <protection/>
    </xf>
    <xf numFmtId="0" fontId="42" fillId="0" borderId="16" xfId="109" applyFont="1" applyBorder="1" applyAlignment="1">
      <alignment wrapText="1"/>
      <protection/>
    </xf>
    <xf numFmtId="3" fontId="42" fillId="0" borderId="29" xfId="109" applyNumberFormat="1" applyFont="1" applyBorder="1">
      <alignment/>
      <protection/>
    </xf>
    <xf numFmtId="0" fontId="43" fillId="0" borderId="0" xfId="109" applyFont="1" applyAlignment="1">
      <alignment wrapText="1"/>
      <protection/>
    </xf>
    <xf numFmtId="3" fontId="43" fillId="0" borderId="0" xfId="109" applyNumberFormat="1" applyFont="1">
      <alignment/>
      <protection/>
    </xf>
    <xf numFmtId="49" fontId="25" fillId="0" borderId="25" xfId="0" applyNumberFormat="1" applyFont="1" applyBorder="1" applyAlignment="1">
      <alignment horizontal="justify" vertical="top" wrapText="1"/>
    </xf>
    <xf numFmtId="0" fontId="22" fillId="0" borderId="13" xfId="0" applyFont="1" applyBorder="1" applyAlignment="1">
      <alignment horizontal="left"/>
    </xf>
    <xf numFmtId="0" fontId="22" fillId="0" borderId="13" xfId="0" applyFont="1" applyBorder="1" applyAlignment="1">
      <alignment/>
    </xf>
    <xf numFmtId="0" fontId="23" fillId="0" borderId="0" xfId="104">
      <alignment/>
      <protection/>
    </xf>
    <xf numFmtId="3" fontId="25" fillId="0" borderId="19" xfId="99" applyNumberFormat="1" applyFont="1" applyFill="1" applyBorder="1" applyAlignment="1">
      <alignment vertical="center"/>
      <protection/>
    </xf>
    <xf numFmtId="0" fontId="23" fillId="0" borderId="0" xfId="104" applyAlignment="1">
      <alignment vertical="center"/>
      <protection/>
    </xf>
    <xf numFmtId="3" fontId="27" fillId="0" borderId="19" xfId="99" applyNumberFormat="1" applyFont="1" applyFill="1" applyBorder="1" applyAlignment="1">
      <alignment/>
      <protection/>
    </xf>
    <xf numFmtId="3" fontId="27" fillId="0" borderId="20" xfId="99" applyNumberFormat="1" applyFont="1" applyFill="1" applyBorder="1" applyAlignment="1">
      <alignment/>
      <protection/>
    </xf>
    <xf numFmtId="49" fontId="22" fillId="0" borderId="31" xfId="0" applyNumberFormat="1" applyFont="1" applyBorder="1" applyAlignment="1">
      <alignment/>
    </xf>
    <xf numFmtId="0" fontId="50" fillId="0" borderId="31" xfId="0" applyFont="1" applyBorder="1" applyAlignment="1">
      <alignment/>
    </xf>
    <xf numFmtId="49" fontId="20" fillId="0" borderId="13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33" xfId="0" applyFont="1" applyBorder="1" applyAlignment="1">
      <alignment/>
    </xf>
    <xf numFmtId="49" fontId="22" fillId="0" borderId="31" xfId="0" applyNumberFormat="1" applyFont="1" applyBorder="1" applyAlignment="1">
      <alignment horizontal="left" wrapText="1"/>
    </xf>
    <xf numFmtId="0" fontId="40" fillId="0" borderId="31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7" fillId="0" borderId="19" xfId="99" applyFont="1" applyFill="1" applyBorder="1" applyAlignment="1">
      <alignment horizontal="left"/>
      <protection/>
    </xf>
    <xf numFmtId="0" fontId="26" fillId="0" borderId="0" xfId="101" applyFont="1" applyBorder="1" applyAlignment="1">
      <alignment wrapText="1"/>
      <protection/>
    </xf>
    <xf numFmtId="3" fontId="27" fillId="0" borderId="0" xfId="101" applyNumberFormat="1" applyFont="1" applyBorder="1">
      <alignment/>
      <protection/>
    </xf>
    <xf numFmtId="0" fontId="45" fillId="0" borderId="18" xfId="99" applyFont="1" applyFill="1" applyBorder="1">
      <alignment/>
      <protection/>
    </xf>
    <xf numFmtId="49" fontId="25" fillId="0" borderId="19" xfId="99" applyNumberFormat="1" applyFont="1" applyFill="1" applyBorder="1" applyAlignment="1">
      <alignment horizontal="center"/>
      <protection/>
    </xf>
    <xf numFmtId="0" fontId="25" fillId="0" borderId="19" xfId="99" applyFont="1" applyFill="1" applyBorder="1" applyAlignment="1">
      <alignment/>
      <protection/>
    </xf>
    <xf numFmtId="0" fontId="45" fillId="0" borderId="19" xfId="99" applyFont="1" applyFill="1" applyBorder="1" applyAlignment="1">
      <alignment horizontal="left"/>
      <protection/>
    </xf>
    <xf numFmtId="0" fontId="45" fillId="0" borderId="20" xfId="99" applyFont="1" applyFill="1" applyBorder="1">
      <alignment/>
      <protection/>
    </xf>
    <xf numFmtId="3" fontId="45" fillId="0" borderId="20" xfId="99" applyNumberFormat="1" applyFont="1" applyFill="1" applyBorder="1">
      <alignment/>
      <protection/>
    </xf>
    <xf numFmtId="0" fontId="25" fillId="0" borderId="18" xfId="99" applyFont="1" applyFill="1" applyBorder="1">
      <alignment/>
      <protection/>
    </xf>
    <xf numFmtId="0" fontId="25" fillId="0" borderId="20" xfId="99" applyFont="1" applyFill="1" applyBorder="1">
      <alignment/>
      <protection/>
    </xf>
    <xf numFmtId="0" fontId="25" fillId="0" borderId="19" xfId="99" applyFont="1" applyFill="1" applyBorder="1" applyAlignment="1">
      <alignment wrapText="1"/>
      <protection/>
    </xf>
    <xf numFmtId="0" fontId="25" fillId="0" borderId="19" xfId="99" applyFont="1" applyFill="1" applyBorder="1" applyAlignment="1">
      <alignment horizontal="left"/>
      <protection/>
    </xf>
    <xf numFmtId="49" fontId="25" fillId="0" borderId="19" xfId="98" applyNumberFormat="1" applyFont="1" applyFill="1" applyBorder="1" applyAlignment="1">
      <alignment horizontal="center" vertical="center"/>
      <protection/>
    </xf>
    <xf numFmtId="0" fontId="25" fillId="0" borderId="19" xfId="98" applyFont="1" applyFill="1" applyBorder="1" applyAlignment="1">
      <alignment horizontal="left" vertical="center"/>
      <protection/>
    </xf>
    <xf numFmtId="0" fontId="47" fillId="0" borderId="19" xfId="99" applyFont="1" applyFill="1" applyBorder="1" applyAlignment="1">
      <alignment horizontal="left"/>
      <protection/>
    </xf>
    <xf numFmtId="0" fontId="27" fillId="0" borderId="19" xfId="99" applyFont="1" applyFill="1" applyBorder="1" applyAlignment="1">
      <alignment horizontal="left"/>
      <protection/>
    </xf>
    <xf numFmtId="0" fontId="25" fillId="0" borderId="21" xfId="99" applyFont="1" applyFill="1" applyBorder="1">
      <alignment/>
      <protection/>
    </xf>
    <xf numFmtId="49" fontId="25" fillId="0" borderId="17" xfId="99" applyNumberFormat="1" applyFont="1" applyFill="1" applyBorder="1" applyAlignment="1">
      <alignment horizontal="center"/>
      <protection/>
    </xf>
    <xf numFmtId="0" fontId="25" fillId="0" borderId="17" xfId="99" applyFont="1" applyFill="1" applyBorder="1" applyAlignment="1">
      <alignment/>
      <protection/>
    </xf>
    <xf numFmtId="0" fontId="45" fillId="0" borderId="17" xfId="99" applyFont="1" applyFill="1" applyBorder="1" applyAlignment="1">
      <alignment horizontal="left"/>
      <protection/>
    </xf>
    <xf numFmtId="0" fontId="45" fillId="0" borderId="34" xfId="99" applyFont="1" applyFill="1" applyBorder="1">
      <alignment/>
      <protection/>
    </xf>
    <xf numFmtId="0" fontId="45" fillId="0" borderId="18" xfId="99" applyFont="1" applyFill="1" applyBorder="1" applyAlignment="1">
      <alignment vertical="center"/>
      <protection/>
    </xf>
    <xf numFmtId="49" fontId="25" fillId="0" borderId="19" xfId="99" applyNumberFormat="1" applyFont="1" applyFill="1" applyBorder="1" applyAlignment="1">
      <alignment horizontal="center" vertical="center"/>
      <protection/>
    </xf>
    <xf numFmtId="0" fontId="25" fillId="0" borderId="19" xfId="99" applyFont="1" applyFill="1" applyBorder="1" applyAlignment="1">
      <alignment vertical="center" wrapText="1"/>
      <protection/>
    </xf>
    <xf numFmtId="0" fontId="45" fillId="0" borderId="19" xfId="99" applyFont="1" applyFill="1" applyBorder="1" applyAlignment="1">
      <alignment horizontal="left" vertical="center"/>
      <protection/>
    </xf>
    <xf numFmtId="3" fontId="27" fillId="0" borderId="19" xfId="99" applyNumberFormat="1" applyFont="1" applyFill="1" applyBorder="1" applyAlignment="1">
      <alignment vertical="center"/>
      <protection/>
    </xf>
    <xf numFmtId="0" fontId="45" fillId="0" borderId="20" xfId="99" applyFont="1" applyFill="1" applyBorder="1" applyAlignment="1">
      <alignment vertical="center"/>
      <protection/>
    </xf>
    <xf numFmtId="3" fontId="25" fillId="0" borderId="20" xfId="99" applyNumberFormat="1" applyFont="1" applyFill="1" applyBorder="1" applyAlignment="1">
      <alignment horizontal="right"/>
      <protection/>
    </xf>
    <xf numFmtId="3" fontId="27" fillId="0" borderId="20" xfId="99" applyNumberFormat="1" applyFont="1" applyFill="1" applyBorder="1">
      <alignment/>
      <protection/>
    </xf>
    <xf numFmtId="0" fontId="43" fillId="0" borderId="13" xfId="109" applyFont="1" applyBorder="1" applyAlignment="1">
      <alignment vertical="center" wrapText="1"/>
      <protection/>
    </xf>
    <xf numFmtId="3" fontId="43" fillId="0" borderId="31" xfId="109" applyNumberFormat="1" applyFont="1" applyBorder="1" applyAlignment="1">
      <alignment vertical="center"/>
      <protection/>
    </xf>
    <xf numFmtId="0" fontId="25" fillId="0" borderId="0" xfId="102" applyFont="1">
      <alignment/>
      <protection/>
    </xf>
    <xf numFmtId="0" fontId="26" fillId="0" borderId="0" xfId="102" applyFont="1">
      <alignment/>
      <protection/>
    </xf>
    <xf numFmtId="3" fontId="25" fillId="0" borderId="14" xfId="102" applyNumberFormat="1" applyFont="1" applyBorder="1">
      <alignment/>
      <protection/>
    </xf>
    <xf numFmtId="0" fontId="27" fillId="0" borderId="35" xfId="102" applyFont="1" applyBorder="1" applyAlignment="1">
      <alignment horizontal="center" vertical="center"/>
      <protection/>
    </xf>
    <xf numFmtId="3" fontId="25" fillId="0" borderId="14" xfId="102" applyNumberFormat="1" applyFont="1" applyBorder="1" applyAlignment="1">
      <alignment horizontal="right" vertical="center"/>
      <protection/>
    </xf>
    <xf numFmtId="0" fontId="25" fillId="0" borderId="13" xfId="102" applyFont="1" applyBorder="1" applyAlignment="1">
      <alignment horizontal="left" vertical="center" wrapText="1"/>
      <protection/>
    </xf>
    <xf numFmtId="0" fontId="23" fillId="0" borderId="0" xfId="102" applyFont="1">
      <alignment/>
      <protection/>
    </xf>
    <xf numFmtId="0" fontId="27" fillId="0" borderId="27" xfId="102" applyFont="1" applyBorder="1">
      <alignment/>
      <protection/>
    </xf>
    <xf numFmtId="0" fontId="25" fillId="0" borderId="13" xfId="102" applyFont="1" applyBorder="1">
      <alignment/>
      <protection/>
    </xf>
    <xf numFmtId="3" fontId="27" fillId="0" borderId="36" xfId="102" applyNumberFormat="1" applyFont="1" applyBorder="1">
      <alignment/>
      <protection/>
    </xf>
    <xf numFmtId="3" fontId="27" fillId="0" borderId="37" xfId="102" applyNumberFormat="1" applyFont="1" applyBorder="1" applyAlignment="1">
      <alignment horizontal="right" vertical="center"/>
      <protection/>
    </xf>
    <xf numFmtId="0" fontId="27" fillId="0" borderId="27" xfId="102" applyFont="1" applyBorder="1" applyAlignment="1">
      <alignment horizontal="left" vertical="center"/>
      <protection/>
    </xf>
    <xf numFmtId="3" fontId="27" fillId="0" borderId="36" xfId="102" applyNumberFormat="1" applyFont="1" applyBorder="1" applyAlignment="1">
      <alignment horizontal="right" vertical="center"/>
      <protection/>
    </xf>
    <xf numFmtId="0" fontId="25" fillId="0" borderId="13" xfId="102" applyFont="1" applyBorder="1" applyAlignment="1">
      <alignment wrapText="1"/>
      <protection/>
    </xf>
    <xf numFmtId="0" fontId="43" fillId="0" borderId="0" xfId="109" applyFont="1" applyBorder="1" applyAlignment="1">
      <alignment wrapText="1"/>
      <protection/>
    </xf>
    <xf numFmtId="3" fontId="43" fillId="0" borderId="0" xfId="109" applyNumberFormat="1" applyFont="1" applyBorder="1">
      <alignment/>
      <protection/>
    </xf>
    <xf numFmtId="2" fontId="21" fillId="0" borderId="31" xfId="0" applyNumberFormat="1" applyFont="1" applyFill="1" applyBorder="1" applyAlignment="1">
      <alignment/>
    </xf>
    <xf numFmtId="3" fontId="25" fillId="0" borderId="38" xfId="102" applyNumberFormat="1" applyFont="1" applyBorder="1">
      <alignment/>
      <protection/>
    </xf>
    <xf numFmtId="0" fontId="27" fillId="0" borderId="15" xfId="102" applyFont="1" applyBorder="1" applyAlignment="1">
      <alignment horizontal="left" vertical="center"/>
      <protection/>
    </xf>
    <xf numFmtId="0" fontId="27" fillId="0" borderId="25" xfId="102" applyFont="1" applyBorder="1">
      <alignment/>
      <protection/>
    </xf>
    <xf numFmtId="0" fontId="46" fillId="0" borderId="13" xfId="109" applyFont="1" applyBorder="1" applyAlignment="1">
      <alignment wrapText="1"/>
      <protection/>
    </xf>
    <xf numFmtId="3" fontId="46" fillId="0" borderId="14" xfId="109" applyNumberFormat="1" applyFont="1" applyBorder="1">
      <alignment/>
      <protection/>
    </xf>
    <xf numFmtId="0" fontId="46" fillId="0" borderId="0" xfId="109" applyFont="1">
      <alignment/>
      <protection/>
    </xf>
    <xf numFmtId="0" fontId="46" fillId="0" borderId="13" xfId="109" applyFont="1" applyBorder="1" applyAlignment="1">
      <alignment vertical="center" wrapText="1"/>
      <protection/>
    </xf>
    <xf numFmtId="3" fontId="46" fillId="0" borderId="31" xfId="109" applyNumberFormat="1" applyFont="1" applyBorder="1" applyAlignment="1">
      <alignment vertical="center"/>
      <protection/>
    </xf>
    <xf numFmtId="0" fontId="43" fillId="0" borderId="0" xfId="108" applyFont="1">
      <alignment/>
      <protection/>
    </xf>
    <xf numFmtId="0" fontId="43" fillId="0" borderId="0" xfId="108" applyFont="1" applyAlignment="1">
      <alignment wrapText="1"/>
      <protection/>
    </xf>
    <xf numFmtId="0" fontId="42" fillId="0" borderId="32" xfId="108" applyFont="1" applyBorder="1" applyAlignment="1">
      <alignment horizontal="center" vertical="center" wrapText="1"/>
      <protection/>
    </xf>
    <xf numFmtId="0" fontId="42" fillId="0" borderId="29" xfId="108" applyFont="1" applyBorder="1" applyAlignment="1">
      <alignment horizontal="center" vertical="center" wrapText="1"/>
      <protection/>
    </xf>
    <xf numFmtId="3" fontId="43" fillId="0" borderId="31" xfId="108" applyNumberFormat="1" applyFont="1" applyBorder="1" applyAlignment="1">
      <alignment vertical="center"/>
      <protection/>
    </xf>
    <xf numFmtId="3" fontId="43" fillId="0" borderId="14" xfId="108" applyNumberFormat="1" applyFont="1" applyBorder="1" applyAlignment="1">
      <alignment vertical="center"/>
      <protection/>
    </xf>
    <xf numFmtId="3" fontId="46" fillId="0" borderId="31" xfId="108" applyNumberFormat="1" applyFont="1" applyBorder="1" applyAlignment="1">
      <alignment vertical="center"/>
      <protection/>
    </xf>
    <xf numFmtId="3" fontId="46" fillId="0" borderId="14" xfId="108" applyNumberFormat="1" applyFont="1" applyBorder="1" applyAlignment="1">
      <alignment vertical="center"/>
      <protection/>
    </xf>
    <xf numFmtId="0" fontId="46" fillId="0" borderId="0" xfId="108" applyFont="1">
      <alignment/>
      <protection/>
    </xf>
    <xf numFmtId="0" fontId="42" fillId="0" borderId="16" xfId="108" applyFont="1" applyBorder="1" applyAlignment="1">
      <alignment vertical="center"/>
      <protection/>
    </xf>
    <xf numFmtId="3" fontId="42" fillId="0" borderId="32" xfId="108" applyNumberFormat="1" applyFont="1" applyBorder="1" applyAlignment="1">
      <alignment vertical="center"/>
      <protection/>
    </xf>
    <xf numFmtId="3" fontId="42" fillId="0" borderId="29" xfId="108" applyNumberFormat="1" applyFont="1" applyBorder="1" applyAlignment="1">
      <alignment vertical="center"/>
      <protection/>
    </xf>
    <xf numFmtId="3" fontId="43" fillId="0" borderId="0" xfId="108" applyNumberFormat="1" applyFont="1">
      <alignment/>
      <protection/>
    </xf>
    <xf numFmtId="0" fontId="46" fillId="0" borderId="25" xfId="108" applyFont="1" applyBorder="1" applyAlignment="1">
      <alignment horizontal="left" vertical="center" wrapText="1"/>
      <protection/>
    </xf>
    <xf numFmtId="3" fontId="46" fillId="0" borderId="39" xfId="108" applyNumberFormat="1" applyFont="1" applyBorder="1" applyAlignment="1">
      <alignment horizontal="right" vertical="center" wrapText="1"/>
      <protection/>
    </xf>
    <xf numFmtId="3" fontId="46" fillId="0" borderId="38" xfId="108" applyNumberFormat="1" applyFont="1" applyBorder="1" applyAlignment="1">
      <alignment horizontal="right" vertical="center" wrapText="1"/>
      <protection/>
    </xf>
    <xf numFmtId="0" fontId="38" fillId="0" borderId="0" xfId="108" applyFont="1" applyAlignment="1">
      <alignment wrapText="1"/>
      <protection/>
    </xf>
    <xf numFmtId="0" fontId="33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49" fontId="33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53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49" fontId="33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49" fontId="33" fillId="0" borderId="0" xfId="0" applyNumberFormat="1" applyFont="1" applyFill="1" applyAlignment="1">
      <alignment/>
    </xf>
    <xf numFmtId="0" fontId="27" fillId="0" borderId="18" xfId="99" applyFont="1" applyFill="1" applyBorder="1" applyAlignment="1">
      <alignment horizontal="left" vertical="center"/>
      <protection/>
    </xf>
    <xf numFmtId="0" fontId="27" fillId="0" borderId="19" xfId="99" applyFont="1" applyFill="1" applyBorder="1" applyAlignment="1">
      <alignment horizontal="left" vertical="center"/>
      <protection/>
    </xf>
    <xf numFmtId="0" fontId="47" fillId="0" borderId="18" xfId="99" applyFont="1" applyFill="1" applyBorder="1" applyAlignment="1">
      <alignment horizontal="left" vertical="center"/>
      <protection/>
    </xf>
    <xf numFmtId="0" fontId="47" fillId="0" borderId="19" xfId="99" applyFont="1" applyFill="1" applyBorder="1" applyAlignment="1">
      <alignment horizontal="left" vertical="center"/>
      <protection/>
    </xf>
    <xf numFmtId="3" fontId="20" fillId="0" borderId="32" xfId="0" applyNumberFormat="1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49" fontId="25" fillId="0" borderId="41" xfId="99" applyNumberFormat="1" applyFont="1" applyFill="1" applyBorder="1" applyAlignment="1">
      <alignment horizontal="center"/>
      <protection/>
    </xf>
    <xf numFmtId="0" fontId="25" fillId="0" borderId="41" xfId="99" applyFont="1" applyFill="1" applyBorder="1" applyAlignment="1">
      <alignment/>
      <protection/>
    </xf>
    <xf numFmtId="3" fontId="27" fillId="0" borderId="41" xfId="99" applyNumberFormat="1" applyFont="1" applyFill="1" applyBorder="1">
      <alignment/>
      <protection/>
    </xf>
    <xf numFmtId="3" fontId="25" fillId="0" borderId="41" xfId="99" applyNumberFormat="1" applyFont="1" applyFill="1" applyBorder="1">
      <alignment/>
      <protection/>
    </xf>
    <xf numFmtId="0" fontId="25" fillId="0" borderId="30" xfId="99" applyFont="1" applyFill="1" applyBorder="1">
      <alignment/>
      <protection/>
    </xf>
    <xf numFmtId="0" fontId="25" fillId="0" borderId="22" xfId="99" applyFont="1" applyFill="1" applyBorder="1" applyAlignment="1">
      <alignment horizontal="right"/>
      <protection/>
    </xf>
    <xf numFmtId="0" fontId="25" fillId="0" borderId="22" xfId="99" applyFont="1" applyFill="1" applyBorder="1">
      <alignment/>
      <protection/>
    </xf>
    <xf numFmtId="3" fontId="25" fillId="0" borderId="41" xfId="99" applyNumberFormat="1" applyFont="1" applyFill="1" applyBorder="1" applyAlignment="1">
      <alignment horizontal="right"/>
      <protection/>
    </xf>
    <xf numFmtId="0" fontId="27" fillId="0" borderId="41" xfId="103" applyFont="1" applyFill="1" applyBorder="1" applyAlignment="1">
      <alignment vertical="center" wrapText="1"/>
      <protection/>
    </xf>
    <xf numFmtId="3" fontId="27" fillId="0" borderId="41" xfId="103" applyNumberFormat="1" applyFont="1" applyFill="1" applyBorder="1" applyAlignment="1">
      <alignment vertical="center"/>
      <protection/>
    </xf>
    <xf numFmtId="3" fontId="27" fillId="0" borderId="42" xfId="103" applyNumberFormat="1" applyFont="1" applyFill="1" applyBorder="1" applyAlignment="1">
      <alignment vertical="center"/>
      <protection/>
    </xf>
    <xf numFmtId="0" fontId="47" fillId="0" borderId="21" xfId="103" applyFont="1" applyFill="1" applyBorder="1" applyAlignment="1">
      <alignment horizontal="center" vertical="center"/>
      <protection/>
    </xf>
    <xf numFmtId="3" fontId="27" fillId="0" borderId="30" xfId="103" applyNumberFormat="1" applyFont="1" applyFill="1" applyBorder="1" applyAlignment="1">
      <alignment horizontal="center" vertical="center"/>
      <protection/>
    </xf>
    <xf numFmtId="0" fontId="25" fillId="0" borderId="21" xfId="103" applyFont="1" applyFill="1" applyBorder="1">
      <alignment/>
      <protection/>
    </xf>
    <xf numFmtId="0" fontId="27" fillId="0" borderId="0" xfId="101" applyFont="1">
      <alignment/>
      <protection/>
    </xf>
    <xf numFmtId="0" fontId="26" fillId="0" borderId="0" xfId="101" applyFont="1">
      <alignment/>
      <protection/>
    </xf>
    <xf numFmtId="3" fontId="27" fillId="0" borderId="43" xfId="101" applyNumberFormat="1" applyFont="1" applyBorder="1" applyAlignment="1">
      <alignment horizontal="center"/>
      <protection/>
    </xf>
    <xf numFmtId="3" fontId="25" fillId="0" borderId="40" xfId="101" applyNumberFormat="1" applyFont="1" applyBorder="1">
      <alignment/>
      <protection/>
    </xf>
    <xf numFmtId="3" fontId="27" fillId="0" borderId="40" xfId="101" applyNumberFormat="1" applyFont="1" applyBorder="1">
      <alignment/>
      <protection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15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3" fontId="27" fillId="0" borderId="37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vertical="top" wrapText="1"/>
    </xf>
    <xf numFmtId="3" fontId="25" fillId="0" borderId="31" xfId="0" applyNumberFormat="1" applyFont="1" applyBorder="1" applyAlignment="1">
      <alignment horizontal="right"/>
    </xf>
    <xf numFmtId="0" fontId="25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vertical="top" wrapText="1"/>
    </xf>
    <xf numFmtId="3" fontId="27" fillId="0" borderId="31" xfId="0" applyNumberFormat="1" applyFont="1" applyBorder="1" applyAlignment="1">
      <alignment horizontal="right"/>
    </xf>
    <xf numFmtId="3" fontId="27" fillId="0" borderId="14" xfId="0" applyNumberFormat="1" applyFont="1" applyBorder="1" applyAlignment="1">
      <alignment horizontal="right"/>
    </xf>
    <xf numFmtId="0" fontId="32" fillId="0" borderId="13" xfId="0" applyFont="1" applyBorder="1" applyAlignment="1">
      <alignment vertical="top" wrapText="1"/>
    </xf>
    <xf numFmtId="3" fontId="32" fillId="0" borderId="31" xfId="0" applyNumberFormat="1" applyFont="1" applyBorder="1" applyAlignment="1">
      <alignment horizontal="right"/>
    </xf>
    <xf numFmtId="0" fontId="27" fillId="0" borderId="16" xfId="0" applyFont="1" applyBorder="1" applyAlignment="1">
      <alignment vertical="top" wrapText="1"/>
    </xf>
    <xf numFmtId="3" fontId="27" fillId="0" borderId="32" xfId="0" applyNumberFormat="1" applyFont="1" applyBorder="1" applyAlignment="1">
      <alignment horizontal="right"/>
    </xf>
    <xf numFmtId="3" fontId="27" fillId="0" borderId="29" xfId="0" applyNumberFormat="1" applyFont="1" applyBorder="1" applyAlignment="1">
      <alignment horizontal="right"/>
    </xf>
    <xf numFmtId="0" fontId="27" fillId="0" borderId="13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center" vertical="center"/>
    </xf>
    <xf numFmtId="3" fontId="25" fillId="0" borderId="31" xfId="0" applyNumberFormat="1" applyFont="1" applyBorder="1" applyAlignment="1">
      <alignment horizontal="right" vertical="center"/>
    </xf>
    <xf numFmtId="0" fontId="25" fillId="0" borderId="31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31" xfId="0" applyFont="1" applyBorder="1" applyAlignment="1">
      <alignment/>
    </xf>
    <xf numFmtId="0" fontId="27" fillId="0" borderId="14" xfId="0" applyFont="1" applyBorder="1" applyAlignment="1">
      <alignment/>
    </xf>
    <xf numFmtId="3" fontId="32" fillId="0" borderId="40" xfId="101" applyNumberFormat="1" applyFont="1" applyBorder="1">
      <alignment/>
      <protection/>
    </xf>
    <xf numFmtId="3" fontId="26" fillId="0" borderId="40" xfId="101" applyNumberFormat="1" applyFont="1" applyBorder="1">
      <alignment/>
      <protection/>
    </xf>
    <xf numFmtId="3" fontId="27" fillId="0" borderId="44" xfId="101" applyNumberFormat="1" applyFont="1" applyBorder="1">
      <alignment/>
      <protection/>
    </xf>
    <xf numFmtId="3" fontId="27" fillId="0" borderId="37" xfId="101" applyNumberFormat="1" applyFont="1" applyBorder="1" applyAlignment="1">
      <alignment horizontal="center" vertical="center"/>
      <protection/>
    </xf>
    <xf numFmtId="3" fontId="25" fillId="0" borderId="0" xfId="101" applyNumberFormat="1" applyFont="1" applyBorder="1">
      <alignment/>
      <protection/>
    </xf>
    <xf numFmtId="0" fontId="27" fillId="0" borderId="45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2" fontId="25" fillId="0" borderId="46" xfId="0" applyNumberFormat="1" applyFont="1" applyBorder="1" applyAlignment="1">
      <alignment horizontal="center" vertical="top" wrapText="1"/>
    </xf>
    <xf numFmtId="2" fontId="25" fillId="0" borderId="40" xfId="0" applyNumberFormat="1" applyFont="1" applyBorder="1" applyAlignment="1">
      <alignment horizontal="center" vertical="top" wrapText="1"/>
    </xf>
    <xf numFmtId="2" fontId="25" fillId="0" borderId="47" xfId="0" applyNumberFormat="1" applyFont="1" applyBorder="1" applyAlignment="1">
      <alignment horizontal="center"/>
    </xf>
    <xf numFmtId="2" fontId="27" fillId="0" borderId="48" xfId="0" applyNumberFormat="1" applyFont="1" applyBorder="1" applyAlignment="1">
      <alignment horizontal="center" vertical="top" wrapText="1"/>
    </xf>
    <xf numFmtId="2" fontId="25" fillId="0" borderId="48" xfId="0" applyNumberFormat="1" applyFont="1" applyBorder="1" applyAlignment="1">
      <alignment horizontal="center" vertical="top" wrapText="1"/>
    </xf>
    <xf numFmtId="2" fontId="27" fillId="0" borderId="40" xfId="0" applyNumberFormat="1" applyFont="1" applyBorder="1" applyAlignment="1">
      <alignment horizontal="center" vertical="top" wrapText="1"/>
    </xf>
    <xf numFmtId="2" fontId="27" fillId="0" borderId="49" xfId="0" applyNumberFormat="1" applyFont="1" applyBorder="1" applyAlignment="1">
      <alignment horizontal="center" vertical="top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/>
    </xf>
    <xf numFmtId="0" fontId="27" fillId="0" borderId="52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2" fontId="25" fillId="0" borderId="39" xfId="0" applyNumberFormat="1" applyFont="1" applyBorder="1" applyAlignment="1">
      <alignment horizontal="center"/>
    </xf>
    <xf numFmtId="2" fontId="27" fillId="0" borderId="53" xfId="0" applyNumberFormat="1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2" fontId="25" fillId="0" borderId="55" xfId="0" applyNumberFormat="1" applyFont="1" applyBorder="1" applyAlignment="1">
      <alignment horizontal="center"/>
    </xf>
    <xf numFmtId="0" fontId="45" fillId="0" borderId="21" xfId="99" applyFont="1" applyFill="1" applyBorder="1">
      <alignment/>
      <protection/>
    </xf>
    <xf numFmtId="49" fontId="25" fillId="0" borderId="22" xfId="99" applyNumberFormat="1" applyFont="1" applyFill="1" applyBorder="1" applyAlignment="1">
      <alignment horizontal="center"/>
      <protection/>
    </xf>
    <xf numFmtId="0" fontId="25" fillId="0" borderId="22" xfId="99" applyFont="1" applyFill="1" applyBorder="1" applyAlignment="1">
      <alignment/>
      <protection/>
    </xf>
    <xf numFmtId="3" fontId="27" fillId="0" borderId="22" xfId="99" applyNumberFormat="1" applyFont="1" applyFill="1" applyBorder="1">
      <alignment/>
      <protection/>
    </xf>
    <xf numFmtId="3" fontId="25" fillId="0" borderId="22" xfId="99" applyNumberFormat="1" applyFont="1" applyFill="1" applyBorder="1" applyAlignment="1">
      <alignment horizontal="right"/>
      <protection/>
    </xf>
    <xf numFmtId="49" fontId="25" fillId="0" borderId="24" xfId="99" applyNumberFormat="1" applyFont="1" applyFill="1" applyBorder="1" applyAlignment="1">
      <alignment horizontal="center"/>
      <protection/>
    </xf>
    <xf numFmtId="0" fontId="45" fillId="0" borderId="24" xfId="99" applyFont="1" applyFill="1" applyBorder="1" applyAlignment="1">
      <alignment horizontal="left"/>
      <protection/>
    </xf>
    <xf numFmtId="3" fontId="27" fillId="0" borderId="24" xfId="99" applyNumberFormat="1" applyFont="1" applyFill="1" applyBorder="1">
      <alignment/>
      <protection/>
    </xf>
    <xf numFmtId="0" fontId="45" fillId="0" borderId="56" xfId="99" applyFont="1" applyFill="1" applyBorder="1">
      <alignment/>
      <protection/>
    </xf>
    <xf numFmtId="3" fontId="25" fillId="0" borderId="0" xfId="101" applyNumberFormat="1" applyFont="1" applyAlignment="1">
      <alignment/>
      <protection/>
    </xf>
    <xf numFmtId="0" fontId="25" fillId="0" borderId="57" xfId="101" applyFont="1" applyBorder="1" applyAlignment="1">
      <alignment wrapText="1"/>
      <protection/>
    </xf>
    <xf numFmtId="3" fontId="25" fillId="0" borderId="57" xfId="101" applyNumberFormat="1" applyFont="1" applyBorder="1">
      <alignment/>
      <protection/>
    </xf>
    <xf numFmtId="2" fontId="21" fillId="52" borderId="31" xfId="0" applyNumberFormat="1" applyFont="1" applyFill="1" applyBorder="1" applyAlignment="1">
      <alignment/>
    </xf>
    <xf numFmtId="3" fontId="21" fillId="52" borderId="31" xfId="0" applyNumberFormat="1" applyFont="1" applyFill="1" applyBorder="1" applyAlignment="1">
      <alignment horizontal="center"/>
    </xf>
    <xf numFmtId="3" fontId="21" fillId="52" borderId="31" xfId="0" applyNumberFormat="1" applyFont="1" applyFill="1" applyBorder="1" applyAlignment="1">
      <alignment horizontal="right"/>
    </xf>
    <xf numFmtId="172" fontId="21" fillId="52" borderId="31" xfId="0" applyNumberFormat="1" applyFont="1" applyFill="1" applyBorder="1" applyAlignment="1">
      <alignment horizontal="right"/>
    </xf>
    <xf numFmtId="0" fontId="28" fillId="52" borderId="31" xfId="0" applyFont="1" applyFill="1" applyBorder="1" applyAlignment="1">
      <alignment/>
    </xf>
    <xf numFmtId="3" fontId="28" fillId="52" borderId="31" xfId="0" applyNumberFormat="1" applyFont="1" applyFill="1" applyBorder="1" applyAlignment="1">
      <alignment horizontal="center"/>
    </xf>
    <xf numFmtId="3" fontId="28" fillId="52" borderId="31" xfId="0" applyNumberFormat="1" applyFont="1" applyFill="1" applyBorder="1" applyAlignment="1">
      <alignment horizontal="right"/>
    </xf>
    <xf numFmtId="0" fontId="35" fillId="52" borderId="31" xfId="0" applyFont="1" applyFill="1" applyBorder="1" applyAlignment="1">
      <alignment/>
    </xf>
    <xf numFmtId="3" fontId="35" fillId="52" borderId="31" xfId="0" applyNumberFormat="1" applyFont="1" applyFill="1" applyBorder="1" applyAlignment="1">
      <alignment horizontal="right"/>
    </xf>
    <xf numFmtId="3" fontId="21" fillId="52" borderId="31" xfId="0" applyNumberFormat="1" applyFont="1" applyFill="1" applyBorder="1" applyAlignment="1">
      <alignment horizontal="right"/>
    </xf>
    <xf numFmtId="3" fontId="21" fillId="52" borderId="31" xfId="0" applyNumberFormat="1" applyFont="1" applyFill="1" applyBorder="1" applyAlignment="1">
      <alignment/>
    </xf>
    <xf numFmtId="49" fontId="28" fillId="52" borderId="31" xfId="0" applyNumberFormat="1" applyFont="1" applyFill="1" applyBorder="1" applyAlignment="1">
      <alignment horizontal="right"/>
    </xf>
    <xf numFmtId="3" fontId="21" fillId="52" borderId="31" xfId="0" applyNumberFormat="1" applyFont="1" applyFill="1" applyBorder="1" applyAlignment="1">
      <alignment horizontal="center"/>
    </xf>
    <xf numFmtId="0" fontId="33" fillId="52" borderId="31" xfId="0" applyFont="1" applyFill="1" applyBorder="1" applyAlignment="1">
      <alignment/>
    </xf>
    <xf numFmtId="3" fontId="33" fillId="52" borderId="31" xfId="0" applyNumberFormat="1" applyFont="1" applyFill="1" applyBorder="1" applyAlignment="1">
      <alignment horizontal="center"/>
    </xf>
    <xf numFmtId="0" fontId="33" fillId="52" borderId="31" xfId="0" applyFont="1" applyFill="1" applyBorder="1" applyAlignment="1">
      <alignment horizontal="right" vertical="center" wrapText="1"/>
    </xf>
    <xf numFmtId="3" fontId="28" fillId="52" borderId="31" xfId="0" applyNumberFormat="1" applyFont="1" applyFill="1" applyBorder="1" applyAlignment="1">
      <alignment/>
    </xf>
    <xf numFmtId="172" fontId="28" fillId="52" borderId="31" xfId="0" applyNumberFormat="1" applyFont="1" applyFill="1" applyBorder="1" applyAlignment="1">
      <alignment/>
    </xf>
    <xf numFmtId="0" fontId="21" fillId="52" borderId="31" xfId="0" applyFont="1" applyFill="1" applyBorder="1" applyAlignment="1">
      <alignment/>
    </xf>
    <xf numFmtId="0" fontId="21" fillId="52" borderId="31" xfId="0" applyFont="1" applyFill="1" applyBorder="1" applyAlignment="1">
      <alignment horizontal="right"/>
    </xf>
    <xf numFmtId="49" fontId="33" fillId="52" borderId="13" xfId="0" applyNumberFormat="1" applyFont="1" applyFill="1" applyBorder="1" applyAlignment="1">
      <alignment/>
    </xf>
    <xf numFmtId="172" fontId="21" fillId="52" borderId="31" xfId="0" applyNumberFormat="1" applyFont="1" applyFill="1" applyBorder="1" applyAlignment="1">
      <alignment horizontal="right"/>
    </xf>
    <xf numFmtId="3" fontId="21" fillId="52" borderId="31" xfId="0" applyNumberFormat="1" applyFont="1" applyFill="1" applyBorder="1" applyAlignment="1">
      <alignment/>
    </xf>
    <xf numFmtId="49" fontId="21" fillId="52" borderId="31" xfId="0" applyNumberFormat="1" applyFont="1" applyFill="1" applyBorder="1" applyAlignment="1">
      <alignment horizontal="right"/>
    </xf>
    <xf numFmtId="3" fontId="34" fillId="0" borderId="31" xfId="0" applyNumberFormat="1" applyFont="1" applyBorder="1" applyAlignment="1">
      <alignment horizontal="right"/>
    </xf>
    <xf numFmtId="0" fontId="21" fillId="0" borderId="31" xfId="0" applyFont="1" applyBorder="1" applyAlignment="1">
      <alignment horizontal="center" vertical="center" wrapText="1"/>
    </xf>
    <xf numFmtId="0" fontId="27" fillId="0" borderId="36" xfId="102" applyFont="1" applyBorder="1" applyAlignment="1">
      <alignment horizontal="center"/>
      <protection/>
    </xf>
    <xf numFmtId="2" fontId="25" fillId="0" borderId="46" xfId="0" applyNumberFormat="1" applyFont="1" applyBorder="1" applyAlignment="1">
      <alignment horizontal="center" vertical="center" wrapText="1"/>
    </xf>
    <xf numFmtId="2" fontId="25" fillId="0" borderId="40" xfId="0" applyNumberFormat="1" applyFont="1" applyBorder="1" applyAlignment="1">
      <alignment horizontal="center" vertical="center" wrapText="1"/>
    </xf>
    <xf numFmtId="2" fontId="40" fillId="0" borderId="46" xfId="0" applyNumberFormat="1" applyFont="1" applyBorder="1" applyAlignment="1">
      <alignment horizontal="center" vertical="center" wrapText="1"/>
    </xf>
    <xf numFmtId="2" fontId="40" fillId="0" borderId="40" xfId="0" applyNumberFormat="1" applyFont="1" applyBorder="1" applyAlignment="1">
      <alignment horizontal="center" vertical="center" wrapText="1"/>
    </xf>
    <xf numFmtId="2" fontId="32" fillId="0" borderId="46" xfId="0" applyNumberFormat="1" applyFont="1" applyBorder="1" applyAlignment="1">
      <alignment horizontal="center" vertical="center" wrapText="1"/>
    </xf>
    <xf numFmtId="0" fontId="27" fillId="0" borderId="0" xfId="100" applyFont="1" applyBorder="1" applyAlignment="1">
      <alignment horizontal="center" vertical="center"/>
      <protection/>
    </xf>
    <xf numFmtId="3" fontId="27" fillId="0" borderId="39" xfId="102" applyNumberFormat="1" applyFont="1" applyBorder="1">
      <alignment/>
      <protection/>
    </xf>
    <xf numFmtId="3" fontId="25" fillId="0" borderId="39" xfId="102" applyNumberFormat="1" applyFont="1" applyBorder="1">
      <alignment/>
      <protection/>
    </xf>
    <xf numFmtId="3" fontId="25" fillId="0" borderId="31" xfId="102" applyNumberFormat="1" applyFont="1" applyBorder="1">
      <alignment/>
      <protection/>
    </xf>
    <xf numFmtId="3" fontId="27" fillId="0" borderId="53" xfId="102" applyNumberFormat="1" applyFont="1" applyBorder="1">
      <alignment/>
      <protection/>
    </xf>
    <xf numFmtId="3" fontId="27" fillId="0" borderId="33" xfId="102" applyNumberFormat="1" applyFont="1" applyBorder="1" applyAlignment="1">
      <alignment horizontal="right" vertical="center"/>
      <protection/>
    </xf>
    <xf numFmtId="3" fontId="27" fillId="0" borderId="53" xfId="102" applyNumberFormat="1" applyFont="1" applyBorder="1" applyAlignment="1">
      <alignment horizontal="right" vertical="center"/>
      <protection/>
    </xf>
    <xf numFmtId="3" fontId="25" fillId="0" borderId="31" xfId="102" applyNumberFormat="1" applyFont="1" applyBorder="1" applyAlignment="1">
      <alignment horizontal="right" vertical="center"/>
      <protection/>
    </xf>
    <xf numFmtId="3" fontId="26" fillId="0" borderId="0" xfId="102" applyNumberFormat="1" applyFont="1">
      <alignment/>
      <protection/>
    </xf>
    <xf numFmtId="3" fontId="27" fillId="0" borderId="46" xfId="102" applyNumberFormat="1" applyFont="1" applyBorder="1">
      <alignment/>
      <protection/>
    </xf>
    <xf numFmtId="3" fontId="25" fillId="0" borderId="40" xfId="102" applyNumberFormat="1" applyFont="1" applyBorder="1">
      <alignment/>
      <protection/>
    </xf>
    <xf numFmtId="3" fontId="27" fillId="0" borderId="49" xfId="102" applyNumberFormat="1" applyFont="1" applyBorder="1">
      <alignment/>
      <protection/>
    </xf>
    <xf numFmtId="3" fontId="27" fillId="0" borderId="43" xfId="102" applyNumberFormat="1" applyFont="1" applyBorder="1" applyAlignment="1">
      <alignment horizontal="right" vertical="center"/>
      <protection/>
    </xf>
    <xf numFmtId="3" fontId="25" fillId="0" borderId="40" xfId="102" applyNumberFormat="1" applyFont="1" applyBorder="1" applyAlignment="1">
      <alignment horizontal="right" vertical="center"/>
      <protection/>
    </xf>
    <xf numFmtId="3" fontId="27" fillId="0" borderId="49" xfId="102" applyNumberFormat="1" applyFont="1" applyBorder="1" applyAlignment="1">
      <alignment horizontal="right" vertical="center"/>
      <protection/>
    </xf>
    <xf numFmtId="0" fontId="29" fillId="0" borderId="0" xfId="0" applyFont="1" applyAlignment="1">
      <alignment/>
    </xf>
    <xf numFmtId="0" fontId="29" fillId="0" borderId="13" xfId="0" applyFont="1" applyBorder="1" applyAlignment="1">
      <alignment horizontal="left" vertical="center"/>
    </xf>
    <xf numFmtId="3" fontId="29" fillId="0" borderId="31" xfId="0" applyNumberFormat="1" applyFont="1" applyBorder="1" applyAlignment="1">
      <alignment horizontal="right" vertical="center" wrapText="1"/>
    </xf>
    <xf numFmtId="3" fontId="29" fillId="0" borderId="40" xfId="0" applyNumberFormat="1" applyFont="1" applyBorder="1" applyAlignment="1">
      <alignment horizontal="right" vertical="center" wrapText="1"/>
    </xf>
    <xf numFmtId="0" fontId="28" fillId="0" borderId="13" xfId="0" applyFont="1" applyBorder="1" applyAlignment="1">
      <alignment horizontal="left" vertical="center"/>
    </xf>
    <xf numFmtId="3" fontId="28" fillId="0" borderId="31" xfId="0" applyNumberFormat="1" applyFont="1" applyBorder="1" applyAlignment="1">
      <alignment horizontal="right" vertical="center" wrapText="1"/>
    </xf>
    <xf numFmtId="3" fontId="28" fillId="0" borderId="40" xfId="0" applyNumberFormat="1" applyFont="1" applyBorder="1" applyAlignment="1">
      <alignment horizontal="right" vertical="center" wrapText="1"/>
    </xf>
    <xf numFmtId="0" fontId="28" fillId="0" borderId="13" xfId="0" applyFont="1" applyBorder="1" applyAlignment="1">
      <alignment/>
    </xf>
    <xf numFmtId="3" fontId="52" fillId="0" borderId="31" xfId="0" applyNumberFormat="1" applyFont="1" applyBorder="1" applyAlignment="1">
      <alignment horizontal="right" vertical="center" wrapText="1"/>
    </xf>
    <xf numFmtId="3" fontId="52" fillId="0" borderId="40" xfId="0" applyNumberFormat="1" applyFont="1" applyBorder="1" applyAlignment="1">
      <alignment horizontal="right" vertical="center" wrapText="1"/>
    </xf>
    <xf numFmtId="0" fontId="52" fillId="0" borderId="0" xfId="0" applyFont="1" applyAlignment="1">
      <alignment/>
    </xf>
    <xf numFmtId="0" fontId="29" fillId="0" borderId="13" xfId="0" applyFont="1" applyBorder="1" applyAlignment="1">
      <alignment wrapText="1"/>
    </xf>
    <xf numFmtId="0" fontId="29" fillId="0" borderId="13" xfId="0" applyFont="1" applyBorder="1" applyAlignment="1">
      <alignment/>
    </xf>
    <xf numFmtId="3" fontId="51" fillId="0" borderId="31" xfId="0" applyNumberFormat="1" applyFont="1" applyBorder="1" applyAlignment="1">
      <alignment horizontal="right" vertical="center" wrapText="1"/>
    </xf>
    <xf numFmtId="3" fontId="51" fillId="0" borderId="40" xfId="0" applyNumberFormat="1" applyFont="1" applyBorder="1" applyAlignment="1">
      <alignment horizontal="right" vertical="center" wrapText="1"/>
    </xf>
    <xf numFmtId="0" fontId="51" fillId="0" borderId="0" xfId="0" applyFont="1" applyAlignment="1">
      <alignment/>
    </xf>
    <xf numFmtId="0" fontId="51" fillId="0" borderId="13" xfId="0" applyFont="1" applyBorder="1" applyAlignment="1">
      <alignment/>
    </xf>
    <xf numFmtId="3" fontId="51" fillId="0" borderId="31" xfId="0" applyNumberFormat="1" applyFont="1" applyBorder="1" applyAlignment="1">
      <alignment/>
    </xf>
    <xf numFmtId="3" fontId="51" fillId="0" borderId="40" xfId="0" applyNumberFormat="1" applyFont="1" applyBorder="1" applyAlignment="1">
      <alignment/>
    </xf>
    <xf numFmtId="0" fontId="51" fillId="0" borderId="13" xfId="0" applyFont="1" applyBorder="1" applyAlignment="1">
      <alignment horizontal="left" vertical="center" wrapText="1"/>
    </xf>
    <xf numFmtId="3" fontId="28" fillId="0" borderId="31" xfId="0" applyNumberFormat="1" applyFont="1" applyBorder="1" applyAlignment="1">
      <alignment/>
    </xf>
    <xf numFmtId="3" fontId="28" fillId="0" borderId="40" xfId="0" applyNumberFormat="1" applyFont="1" applyBorder="1" applyAlignment="1">
      <alignment/>
    </xf>
    <xf numFmtId="0" fontId="28" fillId="0" borderId="13" xfId="0" applyFont="1" applyBorder="1" applyAlignment="1">
      <alignment wrapText="1"/>
    </xf>
    <xf numFmtId="3" fontId="29" fillId="0" borderId="31" xfId="0" applyNumberFormat="1" applyFont="1" applyBorder="1" applyAlignment="1">
      <alignment/>
    </xf>
    <xf numFmtId="0" fontId="28" fillId="0" borderId="13" xfId="0" applyFont="1" applyBorder="1" applyAlignment="1">
      <alignment shrinkToFit="1"/>
    </xf>
    <xf numFmtId="3" fontId="29" fillId="0" borderId="40" xfId="0" applyNumberFormat="1" applyFont="1" applyBorder="1" applyAlignment="1">
      <alignment/>
    </xf>
    <xf numFmtId="0" fontId="29" fillId="0" borderId="13" xfId="0" applyFont="1" applyBorder="1" applyAlignment="1">
      <alignment shrinkToFit="1"/>
    </xf>
    <xf numFmtId="3" fontId="52" fillId="0" borderId="31" xfId="0" applyNumberFormat="1" applyFont="1" applyBorder="1" applyAlignment="1">
      <alignment/>
    </xf>
    <xf numFmtId="0" fontId="29" fillId="0" borderId="13" xfId="0" applyFont="1" applyBorder="1" applyAlignment="1">
      <alignment vertical="center" wrapText="1"/>
    </xf>
    <xf numFmtId="3" fontId="29" fillId="0" borderId="31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16" xfId="0" applyFont="1" applyBorder="1" applyAlignment="1">
      <alignment shrinkToFit="1"/>
    </xf>
    <xf numFmtId="3" fontId="29" fillId="0" borderId="32" xfId="0" applyNumberFormat="1" applyFont="1" applyBorder="1" applyAlignment="1">
      <alignment/>
    </xf>
    <xf numFmtId="3" fontId="29" fillId="0" borderId="44" xfId="0" applyNumberFormat="1" applyFont="1" applyBorder="1" applyAlignment="1">
      <alignment horizontal="right" vertical="center" wrapText="1"/>
    </xf>
    <xf numFmtId="3" fontId="29" fillId="0" borderId="44" xfId="0" applyNumberFormat="1" applyFont="1" applyBorder="1" applyAlignment="1">
      <alignment/>
    </xf>
    <xf numFmtId="0" fontId="27" fillId="0" borderId="49" xfId="102" applyFont="1" applyBorder="1" applyAlignment="1">
      <alignment horizontal="center"/>
      <protection/>
    </xf>
    <xf numFmtId="0" fontId="25" fillId="0" borderId="26" xfId="102" applyFont="1" applyBorder="1">
      <alignment/>
      <protection/>
    </xf>
    <xf numFmtId="3" fontId="25" fillId="0" borderId="47" xfId="102" applyNumberFormat="1" applyFont="1" applyBorder="1">
      <alignment/>
      <protection/>
    </xf>
    <xf numFmtId="3" fontId="25" fillId="0" borderId="58" xfId="102" applyNumberFormat="1" applyFont="1" applyBorder="1">
      <alignment/>
      <protection/>
    </xf>
    <xf numFmtId="3" fontId="25" fillId="0" borderId="59" xfId="102" applyNumberFormat="1" applyFont="1" applyBorder="1">
      <alignment/>
      <protection/>
    </xf>
    <xf numFmtId="0" fontId="27" fillId="0" borderId="13" xfId="102" applyFont="1" applyBorder="1">
      <alignment/>
      <protection/>
    </xf>
    <xf numFmtId="3" fontId="27" fillId="0" borderId="14" xfId="102" applyNumberFormat="1" applyFont="1" applyBorder="1">
      <alignment/>
      <protection/>
    </xf>
    <xf numFmtId="3" fontId="20" fillId="0" borderId="33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3" fontId="20" fillId="0" borderId="31" xfId="0" applyNumberFormat="1" applyFont="1" applyBorder="1" applyAlignment="1">
      <alignment/>
    </xf>
    <xf numFmtId="3" fontId="20" fillId="0" borderId="31" xfId="0" applyNumberFormat="1" applyFont="1" applyBorder="1" applyAlignment="1">
      <alignment/>
    </xf>
    <xf numFmtId="3" fontId="22" fillId="0" borderId="31" xfId="0" applyNumberFormat="1" applyFont="1" applyBorder="1" applyAlignment="1">
      <alignment horizontal="right" wrapText="1"/>
    </xf>
    <xf numFmtId="3" fontId="20" fillId="0" borderId="31" xfId="0" applyNumberFormat="1" applyFont="1" applyBorder="1" applyAlignment="1">
      <alignment horizontal="right" wrapText="1"/>
    </xf>
    <xf numFmtId="3" fontId="25" fillId="0" borderId="17" xfId="99" applyNumberFormat="1" applyFont="1" applyFill="1" applyBorder="1" applyAlignment="1">
      <alignment horizontal="right"/>
      <protection/>
    </xf>
    <xf numFmtId="3" fontId="25" fillId="0" borderId="24" xfId="99" applyNumberFormat="1" applyFont="1" applyFill="1" applyBorder="1">
      <alignment/>
      <protection/>
    </xf>
    <xf numFmtId="0" fontId="25" fillId="0" borderId="17" xfId="99" applyFont="1" applyFill="1" applyBorder="1" applyAlignment="1">
      <alignment horizontal="right"/>
      <protection/>
    </xf>
    <xf numFmtId="3" fontId="27" fillId="0" borderId="20" xfId="103" applyNumberFormat="1" applyFont="1" applyFill="1" applyBorder="1" applyAlignment="1">
      <alignment vertical="center"/>
      <protection/>
    </xf>
    <xf numFmtId="3" fontId="27" fillId="0" borderId="23" xfId="103" applyNumberFormat="1" applyFont="1" applyFill="1" applyBorder="1" applyAlignment="1">
      <alignment vertical="center"/>
      <protection/>
    </xf>
    <xf numFmtId="3" fontId="25" fillId="0" borderId="14" xfId="0" applyNumberFormat="1" applyFont="1" applyBorder="1" applyAlignment="1">
      <alignment/>
    </xf>
    <xf numFmtId="2" fontId="27" fillId="0" borderId="60" xfId="0" applyNumberFormat="1" applyFont="1" applyBorder="1" applyAlignment="1">
      <alignment horizontal="center"/>
    </xf>
    <xf numFmtId="3" fontId="2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27" fillId="0" borderId="0" xfId="100" applyFont="1" applyBorder="1" applyAlignment="1">
      <alignment vertical="center"/>
      <protection/>
    </xf>
    <xf numFmtId="0" fontId="27" fillId="0" borderId="19" xfId="100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 wrapText="1"/>
    </xf>
    <xf numFmtId="0" fontId="27" fillId="0" borderId="20" xfId="100" applyFont="1" applyBorder="1" applyAlignment="1">
      <alignment horizontal="center" vertical="center" wrapText="1"/>
      <protection/>
    </xf>
    <xf numFmtId="0" fontId="27" fillId="0" borderId="0" xfId="100" applyFont="1" applyAlignment="1">
      <alignment vertical="center"/>
      <protection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18" xfId="0" applyFont="1" applyBorder="1" applyAlignment="1">
      <alignment horizontal="left"/>
    </xf>
    <xf numFmtId="0" fontId="25" fillId="0" borderId="19" xfId="100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25" fillId="0" borderId="20" xfId="100" applyFont="1" applyBorder="1">
      <alignment/>
      <protection/>
    </xf>
    <xf numFmtId="3" fontId="25" fillId="0" borderId="19" xfId="100" applyNumberFormat="1" applyFont="1" applyBorder="1" applyAlignment="1">
      <alignment horizontal="right" vertical="center"/>
      <protection/>
    </xf>
    <xf numFmtId="3" fontId="25" fillId="0" borderId="19" xfId="100" applyNumberFormat="1" applyFont="1" applyBorder="1" applyAlignment="1">
      <alignment horizontal="right"/>
      <protection/>
    </xf>
    <xf numFmtId="3" fontId="27" fillId="0" borderId="20" xfId="100" applyNumberFormat="1" applyFont="1" applyBorder="1" applyAlignment="1">
      <alignment horizontal="right"/>
      <protection/>
    </xf>
    <xf numFmtId="0" fontId="25" fillId="0" borderId="21" xfId="0" applyFont="1" applyBorder="1" applyAlignment="1">
      <alignment horizontal="left"/>
    </xf>
    <xf numFmtId="3" fontId="25" fillId="0" borderId="22" xfId="100" applyNumberFormat="1" applyFont="1" applyBorder="1" applyAlignment="1">
      <alignment horizontal="right" vertical="center"/>
      <protection/>
    </xf>
    <xf numFmtId="3" fontId="25" fillId="0" borderId="22" xfId="100" applyNumberFormat="1" applyFont="1" applyBorder="1" applyAlignment="1">
      <alignment horizontal="right"/>
      <protection/>
    </xf>
    <xf numFmtId="3" fontId="27" fillId="0" borderId="23" xfId="100" applyNumberFormat="1" applyFont="1" applyBorder="1" applyAlignment="1">
      <alignment horizontal="right"/>
      <protection/>
    </xf>
    <xf numFmtId="3" fontId="27" fillId="0" borderId="0" xfId="0" applyNumberFormat="1" applyFont="1" applyBorder="1" applyAlignment="1">
      <alignment/>
    </xf>
    <xf numFmtId="2" fontId="25" fillId="0" borderId="60" xfId="0" applyNumberFormat="1" applyFont="1" applyBorder="1" applyAlignment="1">
      <alignment horizontal="center"/>
    </xf>
    <xf numFmtId="2" fontId="25" fillId="0" borderId="61" xfId="0" applyNumberFormat="1" applyFont="1" applyBorder="1" applyAlignment="1">
      <alignment horizontal="center"/>
    </xf>
    <xf numFmtId="2" fontId="25" fillId="0" borderId="54" xfId="0" applyNumberFormat="1" applyFont="1" applyBorder="1" applyAlignment="1">
      <alignment horizontal="center"/>
    </xf>
    <xf numFmtId="0" fontId="32" fillId="0" borderId="0" xfId="101" applyFont="1">
      <alignment/>
      <protection/>
    </xf>
    <xf numFmtId="3" fontId="26" fillId="0" borderId="0" xfId="101" applyNumberFormat="1" applyFont="1" applyBorder="1" applyAlignment="1">
      <alignment/>
      <protection/>
    </xf>
    <xf numFmtId="0" fontId="26" fillId="0" borderId="0" xfId="101" applyFont="1" applyBorder="1">
      <alignment/>
      <protection/>
    </xf>
    <xf numFmtId="3" fontId="34" fillId="0" borderId="31" xfId="0" applyNumberFormat="1" applyFont="1" applyFill="1" applyBorder="1" applyAlignment="1">
      <alignment/>
    </xf>
    <xf numFmtId="3" fontId="34" fillId="0" borderId="31" xfId="0" applyNumberFormat="1" applyFont="1" applyBorder="1" applyAlignment="1">
      <alignment horizontal="center"/>
    </xf>
    <xf numFmtId="172" fontId="34" fillId="0" borderId="31" xfId="0" applyNumberFormat="1" applyFont="1" applyBorder="1" applyAlignment="1">
      <alignment horizontal="right"/>
    </xf>
    <xf numFmtId="0" fontId="52" fillId="0" borderId="32" xfId="0" applyFont="1" applyBorder="1" applyAlignment="1">
      <alignment/>
    </xf>
    <xf numFmtId="3" fontId="34" fillId="0" borderId="32" xfId="0" applyNumberFormat="1" applyFont="1" applyBorder="1" applyAlignment="1">
      <alignment horizontal="center"/>
    </xf>
    <xf numFmtId="3" fontId="34" fillId="0" borderId="32" xfId="0" applyNumberFormat="1" applyFont="1" applyBorder="1" applyAlignment="1">
      <alignment/>
    </xf>
    <xf numFmtId="3" fontId="33" fillId="0" borderId="32" xfId="0" applyNumberFormat="1" applyFont="1" applyFill="1" applyBorder="1" applyAlignment="1">
      <alignment/>
    </xf>
    <xf numFmtId="0" fontId="25" fillId="52" borderId="13" xfId="101" applyFont="1" applyFill="1" applyBorder="1" applyAlignment="1">
      <alignment wrapText="1"/>
      <protection/>
    </xf>
    <xf numFmtId="0" fontId="20" fillId="0" borderId="0" xfId="105" applyFont="1">
      <alignment/>
      <protection/>
    </xf>
    <xf numFmtId="0" fontId="22" fillId="0" borderId="0" xfId="105" applyFont="1" applyAlignment="1">
      <alignment wrapText="1"/>
      <protection/>
    </xf>
    <xf numFmtId="0" fontId="22" fillId="0" borderId="0" xfId="105" applyFont="1">
      <alignment/>
      <protection/>
    </xf>
    <xf numFmtId="0" fontId="20" fillId="0" borderId="62" xfId="105" applyFont="1" applyBorder="1" applyAlignment="1">
      <alignment horizontal="center" wrapText="1"/>
      <protection/>
    </xf>
    <xf numFmtId="0" fontId="20" fillId="0" borderId="62" xfId="105" applyFont="1" applyBorder="1" applyAlignment="1">
      <alignment horizontal="center"/>
      <protection/>
    </xf>
    <xf numFmtId="0" fontId="20" fillId="0" borderId="63" xfId="105" applyFont="1" applyBorder="1" applyAlignment="1">
      <alignment horizontal="center"/>
      <protection/>
    </xf>
    <xf numFmtId="0" fontId="20" fillId="0" borderId="62" xfId="105" applyFont="1" applyBorder="1" applyAlignment="1">
      <alignment horizontal="center"/>
      <protection/>
    </xf>
    <xf numFmtId="49" fontId="20" fillId="0" borderId="64" xfId="105" applyNumberFormat="1" applyFont="1" applyBorder="1" applyAlignment="1">
      <alignment wrapText="1"/>
      <protection/>
    </xf>
    <xf numFmtId="3" fontId="20" fillId="0" borderId="64" xfId="105" applyNumberFormat="1" applyFont="1" applyBorder="1">
      <alignment/>
      <protection/>
    </xf>
    <xf numFmtId="3" fontId="20" fillId="0" borderId="65" xfId="105" applyNumberFormat="1" applyFont="1" applyBorder="1">
      <alignment/>
      <protection/>
    </xf>
    <xf numFmtId="3" fontId="20" fillId="0" borderId="66" xfId="105" applyNumberFormat="1" applyFont="1" applyBorder="1">
      <alignment/>
      <protection/>
    </xf>
    <xf numFmtId="0" fontId="22" fillId="0" borderId="66" xfId="105" applyFont="1" applyBorder="1">
      <alignment/>
      <protection/>
    </xf>
    <xf numFmtId="49" fontId="22" fillId="0" borderId="66" xfId="105" applyNumberFormat="1" applyFont="1" applyBorder="1" applyAlignment="1">
      <alignment wrapText="1"/>
      <protection/>
    </xf>
    <xf numFmtId="3" fontId="22" fillId="0" borderId="66" xfId="105" applyNumberFormat="1" applyFont="1" applyBorder="1">
      <alignment/>
      <protection/>
    </xf>
    <xf numFmtId="3" fontId="20" fillId="0" borderId="67" xfId="105" applyNumberFormat="1" applyFont="1" applyBorder="1">
      <alignment/>
      <protection/>
    </xf>
    <xf numFmtId="3" fontId="20" fillId="0" borderId="68" xfId="105" applyNumberFormat="1" applyFont="1" applyBorder="1">
      <alignment/>
      <protection/>
    </xf>
    <xf numFmtId="0" fontId="22" fillId="0" borderId="68" xfId="105" applyFont="1" applyBorder="1">
      <alignment/>
      <protection/>
    </xf>
    <xf numFmtId="49" fontId="22" fillId="0" borderId="68" xfId="105" applyNumberFormat="1" applyFont="1" applyBorder="1" applyAlignment="1">
      <alignment wrapText="1"/>
      <protection/>
    </xf>
    <xf numFmtId="3" fontId="22" fillId="0" borderId="68" xfId="105" applyNumberFormat="1" applyFont="1" applyBorder="1">
      <alignment/>
      <protection/>
    </xf>
    <xf numFmtId="49" fontId="20" fillId="0" borderId="68" xfId="105" applyNumberFormat="1" applyFont="1" applyBorder="1" applyAlignment="1">
      <alignment wrapText="1"/>
      <protection/>
    </xf>
    <xf numFmtId="3" fontId="20" fillId="0" borderId="68" xfId="105" applyNumberFormat="1" applyFont="1" applyBorder="1">
      <alignment/>
      <protection/>
    </xf>
    <xf numFmtId="3" fontId="22" fillId="0" borderId="68" xfId="105" applyNumberFormat="1" applyFont="1" applyBorder="1">
      <alignment/>
      <protection/>
    </xf>
    <xf numFmtId="3" fontId="22" fillId="0" borderId="67" xfId="105" applyNumberFormat="1" applyFont="1" applyBorder="1">
      <alignment/>
      <protection/>
    </xf>
    <xf numFmtId="3" fontId="40" fillId="0" borderId="67" xfId="107" applyNumberFormat="1" applyFont="1" applyBorder="1">
      <alignment/>
      <protection/>
    </xf>
    <xf numFmtId="49" fontId="22" fillId="0" borderId="68" xfId="105" applyNumberFormat="1" applyFont="1" applyBorder="1" applyAlignment="1">
      <alignment wrapText="1"/>
      <protection/>
    </xf>
    <xf numFmtId="3" fontId="50" fillId="0" borderId="67" xfId="105" applyNumberFormat="1" applyFont="1" applyBorder="1">
      <alignment/>
      <protection/>
    </xf>
    <xf numFmtId="3" fontId="22" fillId="0" borderId="69" xfId="105" applyNumberFormat="1" applyFont="1" applyBorder="1">
      <alignment/>
      <protection/>
    </xf>
    <xf numFmtId="3" fontId="50" fillId="0" borderId="70" xfId="105" applyNumberFormat="1" applyFont="1" applyBorder="1">
      <alignment/>
      <protection/>
    </xf>
    <xf numFmtId="3" fontId="22" fillId="0" borderId="71" xfId="105" applyNumberFormat="1" applyFont="1" applyBorder="1">
      <alignment/>
      <protection/>
    </xf>
    <xf numFmtId="49" fontId="22" fillId="0" borderId="67" xfId="105" applyNumberFormat="1" applyFont="1" applyBorder="1" applyAlignment="1">
      <alignment wrapText="1"/>
      <protection/>
    </xf>
    <xf numFmtId="0" fontId="22" fillId="0" borderId="0" xfId="105" applyFont="1" applyBorder="1">
      <alignment/>
      <protection/>
    </xf>
    <xf numFmtId="49" fontId="20" fillId="0" borderId="67" xfId="105" applyNumberFormat="1" applyFont="1" applyBorder="1" applyAlignment="1">
      <alignment wrapText="1"/>
      <protection/>
    </xf>
    <xf numFmtId="49" fontId="22" fillId="0" borderId="63" xfId="105" applyNumberFormat="1" applyFont="1" applyBorder="1" applyAlignment="1">
      <alignment wrapText="1"/>
      <protection/>
    </xf>
    <xf numFmtId="3" fontId="22" fillId="0" borderId="62" xfId="105" applyNumberFormat="1" applyFont="1" applyBorder="1">
      <alignment/>
      <protection/>
    </xf>
    <xf numFmtId="3" fontId="22" fillId="0" borderId="63" xfId="105" applyNumberFormat="1" applyFont="1" applyBorder="1">
      <alignment/>
      <protection/>
    </xf>
    <xf numFmtId="3" fontId="22" fillId="0" borderId="69" xfId="105" applyNumberFormat="1" applyFont="1" applyBorder="1">
      <alignment/>
      <protection/>
    </xf>
    <xf numFmtId="0" fontId="22" fillId="0" borderId="69" xfId="105" applyFont="1" applyBorder="1">
      <alignment/>
      <protection/>
    </xf>
    <xf numFmtId="0" fontId="20" fillId="0" borderId="72" xfId="105" applyFont="1" applyBorder="1" applyAlignment="1">
      <alignment wrapText="1"/>
      <protection/>
    </xf>
    <xf numFmtId="3" fontId="20" fillId="0" borderId="72" xfId="105" applyNumberFormat="1" applyFont="1" applyBorder="1">
      <alignment/>
      <protection/>
    </xf>
    <xf numFmtId="3" fontId="20" fillId="0" borderId="73" xfId="105" applyNumberFormat="1" applyFont="1" applyBorder="1">
      <alignment/>
      <protection/>
    </xf>
    <xf numFmtId="3" fontId="20" fillId="0" borderId="74" xfId="105" applyNumberFormat="1" applyFont="1" applyBorder="1">
      <alignment/>
      <protection/>
    </xf>
    <xf numFmtId="0" fontId="22" fillId="0" borderId="74" xfId="105" applyFont="1" applyBorder="1">
      <alignment/>
      <protection/>
    </xf>
    <xf numFmtId="0" fontId="20" fillId="0" borderId="64" xfId="105" applyFont="1" applyBorder="1" applyAlignment="1">
      <alignment wrapText="1"/>
      <protection/>
    </xf>
    <xf numFmtId="3" fontId="22" fillId="0" borderId="74" xfId="105" applyNumberFormat="1" applyFont="1" applyBorder="1">
      <alignment/>
      <protection/>
    </xf>
    <xf numFmtId="0" fontId="20" fillId="0" borderId="64" xfId="105" applyFont="1" applyBorder="1" applyAlignment="1">
      <alignment wrapText="1"/>
      <protection/>
    </xf>
    <xf numFmtId="3" fontId="20" fillId="0" borderId="64" xfId="105" applyNumberFormat="1" applyFont="1" applyBorder="1">
      <alignment/>
      <protection/>
    </xf>
    <xf numFmtId="0" fontId="20" fillId="0" borderId="66" xfId="105" applyFont="1" applyBorder="1" applyAlignment="1">
      <alignment wrapText="1"/>
      <protection/>
    </xf>
    <xf numFmtId="3" fontId="20" fillId="0" borderId="75" xfId="105" applyNumberFormat="1" applyFont="1" applyBorder="1">
      <alignment/>
      <protection/>
    </xf>
    <xf numFmtId="0" fontId="22" fillId="0" borderId="76" xfId="105" applyFont="1" applyBorder="1" applyAlignment="1">
      <alignment wrapText="1"/>
      <protection/>
    </xf>
    <xf numFmtId="3" fontId="22" fillId="0" borderId="76" xfId="105" applyNumberFormat="1" applyFont="1" applyBorder="1">
      <alignment/>
      <protection/>
    </xf>
    <xf numFmtId="3" fontId="20" fillId="0" borderId="77" xfId="105" applyNumberFormat="1" applyFont="1" applyBorder="1">
      <alignment/>
      <protection/>
    </xf>
    <xf numFmtId="0" fontId="20" fillId="0" borderId="74" xfId="105" applyFont="1" applyBorder="1" applyAlignment="1">
      <alignment wrapText="1"/>
      <protection/>
    </xf>
    <xf numFmtId="3" fontId="20" fillId="0" borderId="78" xfId="105" applyNumberFormat="1" applyFont="1" applyBorder="1">
      <alignment/>
      <protection/>
    </xf>
    <xf numFmtId="3" fontId="20" fillId="0" borderId="74" xfId="105" applyNumberFormat="1" applyFont="1" applyBorder="1">
      <alignment/>
      <protection/>
    </xf>
    <xf numFmtId="0" fontId="20" fillId="0" borderId="74" xfId="110" applyFont="1" applyBorder="1" applyAlignment="1">
      <alignment wrapText="1"/>
      <protection/>
    </xf>
    <xf numFmtId="3" fontId="20" fillId="0" borderId="74" xfId="110" applyNumberFormat="1" applyFont="1" applyBorder="1">
      <alignment/>
      <protection/>
    </xf>
    <xf numFmtId="0" fontId="22" fillId="0" borderId="0" xfId="110" applyFont="1" applyAlignment="1">
      <alignment wrapText="1"/>
      <protection/>
    </xf>
    <xf numFmtId="0" fontId="22" fillId="0" borderId="0" xfId="110" applyFont="1">
      <alignment/>
      <protection/>
    </xf>
    <xf numFmtId="0" fontId="20" fillId="0" borderId="0" xfId="105" applyFont="1" applyAlignment="1">
      <alignment horizontal="center" wrapText="1"/>
      <protection/>
    </xf>
    <xf numFmtId="0" fontId="20" fillId="0" borderId="79" xfId="105" applyFont="1" applyBorder="1" applyAlignment="1">
      <alignment horizontal="center" wrapText="1"/>
      <protection/>
    </xf>
    <xf numFmtId="0" fontId="20" fillId="0" borderId="79" xfId="105" applyFont="1" applyBorder="1" applyAlignment="1">
      <alignment horizontal="center"/>
      <protection/>
    </xf>
    <xf numFmtId="0" fontId="20" fillId="0" borderId="72" xfId="105" applyFont="1" applyBorder="1" applyAlignment="1">
      <alignment horizontal="center" wrapText="1"/>
      <protection/>
    </xf>
    <xf numFmtId="0" fontId="20" fillId="0" borderId="66" xfId="105" applyFont="1" applyBorder="1">
      <alignment/>
      <protection/>
    </xf>
    <xf numFmtId="3" fontId="22" fillId="0" borderId="67" xfId="105" applyNumberFormat="1" applyFont="1" applyBorder="1">
      <alignment/>
      <protection/>
    </xf>
    <xf numFmtId="0" fontId="20" fillId="0" borderId="68" xfId="105" applyFont="1" applyBorder="1" applyAlignment="1">
      <alignment wrapText="1"/>
      <protection/>
    </xf>
    <xf numFmtId="0" fontId="20" fillId="0" borderId="68" xfId="105" applyFont="1" applyBorder="1">
      <alignment/>
      <protection/>
    </xf>
    <xf numFmtId="49" fontId="22" fillId="0" borderId="66" xfId="105" applyNumberFormat="1" applyFont="1" applyBorder="1" applyAlignment="1">
      <alignment wrapText="1"/>
      <protection/>
    </xf>
    <xf numFmtId="3" fontId="22" fillId="0" borderId="75" xfId="105" applyNumberFormat="1" applyFont="1" applyBorder="1">
      <alignment/>
      <protection/>
    </xf>
    <xf numFmtId="0" fontId="20" fillId="0" borderId="68" xfId="105" applyFont="1" applyBorder="1" applyAlignment="1">
      <alignment horizontal="left" wrapText="1"/>
      <protection/>
    </xf>
    <xf numFmtId="3" fontId="22" fillId="0" borderId="77" xfId="105" applyNumberFormat="1" applyFont="1" applyBorder="1">
      <alignment/>
      <protection/>
    </xf>
    <xf numFmtId="0" fontId="22" fillId="0" borderId="69" xfId="105" applyFont="1" applyBorder="1" applyAlignment="1">
      <alignment wrapText="1"/>
      <protection/>
    </xf>
    <xf numFmtId="3" fontId="20" fillId="0" borderId="67" xfId="105" applyNumberFormat="1" applyFont="1" applyBorder="1">
      <alignment/>
      <protection/>
    </xf>
    <xf numFmtId="0" fontId="22" fillId="0" borderId="68" xfId="105" applyFont="1" applyBorder="1" applyAlignment="1">
      <alignment wrapText="1"/>
      <protection/>
    </xf>
    <xf numFmtId="0" fontId="50" fillId="0" borderId="68" xfId="105" applyFont="1" applyBorder="1" applyAlignment="1">
      <alignment wrapText="1"/>
      <protection/>
    </xf>
    <xf numFmtId="3" fontId="50" fillId="0" borderId="68" xfId="105" applyNumberFormat="1" applyFont="1" applyBorder="1">
      <alignment/>
      <protection/>
    </xf>
    <xf numFmtId="3" fontId="50" fillId="0" borderId="68" xfId="105" applyNumberFormat="1" applyFont="1" applyBorder="1">
      <alignment/>
      <protection/>
    </xf>
    <xf numFmtId="3" fontId="50" fillId="0" borderId="80" xfId="105" applyNumberFormat="1" applyFont="1" applyBorder="1">
      <alignment/>
      <protection/>
    </xf>
    <xf numFmtId="49" fontId="22" fillId="0" borderId="79" xfId="105" applyNumberFormat="1" applyFont="1" applyBorder="1" applyAlignment="1">
      <alignment wrapText="1"/>
      <protection/>
    </xf>
    <xf numFmtId="3" fontId="22" fillId="0" borderId="72" xfId="105" applyNumberFormat="1" applyFont="1" applyBorder="1">
      <alignment/>
      <protection/>
    </xf>
    <xf numFmtId="0" fontId="50" fillId="0" borderId="72" xfId="105" applyFont="1" applyBorder="1" applyAlignment="1">
      <alignment wrapText="1"/>
      <protection/>
    </xf>
    <xf numFmtId="3" fontId="50" fillId="0" borderId="81" xfId="105" applyNumberFormat="1" applyFont="1" applyBorder="1">
      <alignment/>
      <protection/>
    </xf>
    <xf numFmtId="49" fontId="20" fillId="0" borderId="74" xfId="105" applyNumberFormat="1" applyFont="1" applyBorder="1" applyAlignment="1">
      <alignment wrapText="1"/>
      <protection/>
    </xf>
    <xf numFmtId="3" fontId="20" fillId="0" borderId="82" xfId="105" applyNumberFormat="1" applyFont="1" applyBorder="1">
      <alignment/>
      <protection/>
    </xf>
    <xf numFmtId="3" fontId="20" fillId="0" borderId="83" xfId="105" applyNumberFormat="1" applyFont="1" applyBorder="1">
      <alignment/>
      <protection/>
    </xf>
    <xf numFmtId="49" fontId="20" fillId="0" borderId="68" xfId="105" applyNumberFormat="1" applyFont="1" applyBorder="1" applyAlignment="1">
      <alignment wrapText="1"/>
      <protection/>
    </xf>
    <xf numFmtId="49" fontId="22" fillId="0" borderId="69" xfId="105" applyNumberFormat="1" applyFont="1" applyBorder="1" applyAlignment="1">
      <alignment wrapText="1"/>
      <protection/>
    </xf>
    <xf numFmtId="3" fontId="22" fillId="0" borderId="70" xfId="105" applyNumberFormat="1" applyFont="1" applyBorder="1">
      <alignment/>
      <protection/>
    </xf>
    <xf numFmtId="0" fontId="20" fillId="0" borderId="69" xfId="105" applyFont="1" applyBorder="1" applyAlignment="1">
      <alignment wrapText="1"/>
      <protection/>
    </xf>
    <xf numFmtId="3" fontId="20" fillId="0" borderId="69" xfId="105" applyNumberFormat="1" applyFont="1" applyBorder="1">
      <alignment/>
      <protection/>
    </xf>
    <xf numFmtId="3" fontId="20" fillId="0" borderId="79" xfId="105" applyNumberFormat="1" applyFont="1" applyBorder="1">
      <alignment/>
      <protection/>
    </xf>
    <xf numFmtId="0" fontId="20" fillId="0" borderId="0" xfId="105" applyFont="1" applyBorder="1" applyAlignment="1">
      <alignment wrapText="1"/>
      <protection/>
    </xf>
    <xf numFmtId="3" fontId="20" fillId="0" borderId="0" xfId="105" applyNumberFormat="1" applyFont="1" applyBorder="1">
      <alignment/>
      <protection/>
    </xf>
    <xf numFmtId="0" fontId="58" fillId="0" borderId="0" xfId="105" applyFont="1" applyAlignment="1">
      <alignment wrapText="1"/>
      <protection/>
    </xf>
    <xf numFmtId="3" fontId="58" fillId="0" borderId="0" xfId="105" applyNumberFormat="1" applyFont="1" applyAlignment="1">
      <alignment/>
      <protection/>
    </xf>
    <xf numFmtId="3" fontId="58" fillId="0" borderId="0" xfId="105" applyNumberFormat="1" applyFont="1">
      <alignment/>
      <protection/>
    </xf>
    <xf numFmtId="0" fontId="29" fillId="0" borderId="4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84" xfId="0" applyFont="1" applyBorder="1" applyAlignment="1">
      <alignment/>
    </xf>
    <xf numFmtId="0" fontId="43" fillId="0" borderId="0" xfId="0" applyFont="1" applyAlignment="1">
      <alignment/>
    </xf>
    <xf numFmtId="0" fontId="43" fillId="0" borderId="39" xfId="0" applyFont="1" applyBorder="1" applyAlignment="1">
      <alignment/>
    </xf>
    <xf numFmtId="0" fontId="43" fillId="0" borderId="46" xfId="0" applyFont="1" applyBorder="1" applyAlignment="1">
      <alignment/>
    </xf>
    <xf numFmtId="3" fontId="42" fillId="0" borderId="31" xfId="0" applyNumberFormat="1" applyFont="1" applyBorder="1" applyAlignment="1">
      <alignment horizontal="center" vertical="center" wrapText="1"/>
    </xf>
    <xf numFmtId="3" fontId="42" fillId="0" borderId="40" xfId="0" applyNumberFormat="1" applyFont="1" applyBorder="1" applyAlignment="1">
      <alignment horizontal="center" vertical="center" wrapText="1"/>
    </xf>
    <xf numFmtId="3" fontId="42" fillId="0" borderId="40" xfId="0" applyNumberFormat="1" applyFont="1" applyBorder="1" applyAlignment="1">
      <alignment horizontal="center" wrapText="1"/>
    </xf>
    <xf numFmtId="0" fontId="42" fillId="0" borderId="4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84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3" xfId="0" applyFont="1" applyBorder="1" applyAlignment="1">
      <alignment/>
    </xf>
    <xf numFmtId="3" fontId="42" fillId="0" borderId="31" xfId="0" applyNumberFormat="1" applyFont="1" applyBorder="1" applyAlignment="1">
      <alignment wrapText="1"/>
    </xf>
    <xf numFmtId="3" fontId="42" fillId="0" borderId="46" xfId="0" applyNumberFormat="1" applyFont="1" applyBorder="1" applyAlignment="1">
      <alignment wrapText="1"/>
    </xf>
    <xf numFmtId="3" fontId="42" fillId="0" borderId="40" xfId="0" applyNumberFormat="1" applyFont="1" applyBorder="1" applyAlignment="1">
      <alignment/>
    </xf>
    <xf numFmtId="0" fontId="42" fillId="0" borderId="0" xfId="0" applyFont="1" applyAlignment="1">
      <alignment/>
    </xf>
    <xf numFmtId="3" fontId="42" fillId="0" borderId="40" xfId="0" applyNumberFormat="1" applyFont="1" applyBorder="1" applyAlignment="1">
      <alignment wrapText="1"/>
    </xf>
    <xf numFmtId="0" fontId="42" fillId="0" borderId="13" xfId="0" applyFont="1" applyBorder="1" applyAlignment="1">
      <alignment wrapText="1"/>
    </xf>
    <xf numFmtId="37" fontId="42" fillId="0" borderId="31" xfId="0" applyNumberFormat="1" applyFont="1" applyBorder="1" applyAlignment="1">
      <alignment wrapText="1"/>
    </xf>
    <xf numFmtId="37" fontId="42" fillId="0" borderId="85" xfId="0" applyNumberFormat="1" applyFont="1" applyBorder="1" applyAlignment="1">
      <alignment wrapText="1"/>
    </xf>
    <xf numFmtId="0" fontId="43" fillId="0" borderId="13" xfId="0" applyFont="1" applyBorder="1" applyAlignment="1">
      <alignment horizontal="left" wrapText="1"/>
    </xf>
    <xf numFmtId="3" fontId="43" fillId="0" borderId="31" xfId="0" applyNumberFormat="1" applyFont="1" applyBorder="1" applyAlignment="1">
      <alignment wrapText="1"/>
    </xf>
    <xf numFmtId="3" fontId="43" fillId="0" borderId="40" xfId="0" applyNumberFormat="1" applyFont="1" applyBorder="1" applyAlignment="1">
      <alignment wrapText="1"/>
    </xf>
    <xf numFmtId="0" fontId="43" fillId="0" borderId="13" xfId="0" applyFont="1" applyBorder="1" applyAlignment="1">
      <alignment/>
    </xf>
    <xf numFmtId="0" fontId="46" fillId="0" borderId="84" xfId="0" applyFont="1" applyBorder="1" applyAlignment="1">
      <alignment/>
    </xf>
    <xf numFmtId="0" fontId="46" fillId="0" borderId="0" xfId="0" applyFont="1" applyBorder="1" applyAlignment="1">
      <alignment/>
    </xf>
    <xf numFmtId="0" fontId="38" fillId="0" borderId="13" xfId="0" applyFont="1" applyBorder="1" applyAlignment="1">
      <alignment/>
    </xf>
    <xf numFmtId="3" fontId="38" fillId="0" borderId="31" xfId="0" applyNumberFormat="1" applyFont="1" applyBorder="1" applyAlignment="1">
      <alignment wrapText="1"/>
    </xf>
    <xf numFmtId="3" fontId="38" fillId="0" borderId="40" xfId="0" applyNumberFormat="1" applyFont="1" applyBorder="1" applyAlignment="1">
      <alignment wrapText="1"/>
    </xf>
    <xf numFmtId="0" fontId="46" fillId="0" borderId="0" xfId="0" applyFont="1" applyAlignment="1">
      <alignment/>
    </xf>
    <xf numFmtId="0" fontId="42" fillId="0" borderId="86" xfId="0" applyFont="1" applyBorder="1" applyAlignment="1">
      <alignment/>
    </xf>
    <xf numFmtId="0" fontId="42" fillId="0" borderId="57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3" xfId="0" applyFont="1" applyBorder="1" applyAlignment="1">
      <alignment wrapText="1"/>
    </xf>
    <xf numFmtId="0" fontId="38" fillId="0" borderId="0" xfId="0" applyFont="1" applyAlignment="1">
      <alignment/>
    </xf>
    <xf numFmtId="3" fontId="42" fillId="0" borderId="48" xfId="0" applyNumberFormat="1" applyFont="1" applyBorder="1" applyAlignment="1">
      <alignment wrapText="1"/>
    </xf>
    <xf numFmtId="0" fontId="42" fillId="0" borderId="16" xfId="0" applyFont="1" applyBorder="1" applyAlignment="1">
      <alignment wrapText="1"/>
    </xf>
    <xf numFmtId="37" fontId="42" fillId="0" borderId="32" xfId="0" applyNumberFormat="1" applyFont="1" applyBorder="1" applyAlignment="1">
      <alignment vertical="center" wrapText="1"/>
    </xf>
    <xf numFmtId="3" fontId="42" fillId="0" borderId="44" xfId="0" applyNumberFormat="1" applyFont="1" applyBorder="1" applyAlignment="1">
      <alignment/>
    </xf>
    <xf numFmtId="0" fontId="25" fillId="0" borderId="41" xfId="99" applyFont="1" applyFill="1" applyBorder="1" applyAlignment="1">
      <alignment horizontal="right"/>
      <protection/>
    </xf>
    <xf numFmtId="0" fontId="25" fillId="0" borderId="41" xfId="99" applyFont="1" applyFill="1" applyBorder="1">
      <alignment/>
      <protection/>
    </xf>
    <xf numFmtId="0" fontId="25" fillId="0" borderId="23" xfId="99" applyFont="1" applyFill="1" applyBorder="1">
      <alignment/>
      <protection/>
    </xf>
    <xf numFmtId="0" fontId="25" fillId="0" borderId="19" xfId="99" applyFont="1" applyFill="1" applyBorder="1">
      <alignment/>
      <protection/>
    </xf>
    <xf numFmtId="0" fontId="25" fillId="0" borderId="24" xfId="99" applyFont="1" applyFill="1" applyBorder="1" applyAlignment="1">
      <alignment/>
      <protection/>
    </xf>
    <xf numFmtId="3" fontId="25" fillId="0" borderId="24" xfId="99" applyNumberFormat="1" applyFont="1" applyFill="1" applyBorder="1" applyAlignment="1">
      <alignment horizontal="right"/>
      <protection/>
    </xf>
    <xf numFmtId="0" fontId="25" fillId="0" borderId="24" xfId="99" applyFont="1" applyFill="1" applyBorder="1" applyAlignment="1">
      <alignment horizontal="right"/>
      <protection/>
    </xf>
    <xf numFmtId="0" fontId="25" fillId="0" borderId="24" xfId="99" applyFont="1" applyFill="1" applyBorder="1" applyAlignment="1">
      <alignment wrapText="1"/>
      <protection/>
    </xf>
    <xf numFmtId="3" fontId="27" fillId="0" borderId="87" xfId="99" applyNumberFormat="1" applyFont="1" applyFill="1" applyBorder="1">
      <alignment/>
      <protection/>
    </xf>
    <xf numFmtId="3" fontId="25" fillId="0" borderId="22" xfId="99" applyNumberFormat="1" applyFont="1" applyFill="1" applyBorder="1">
      <alignment/>
      <protection/>
    </xf>
    <xf numFmtId="3" fontId="27" fillId="0" borderId="41" xfId="99" applyNumberFormat="1" applyFont="1" applyFill="1" applyBorder="1" applyAlignment="1">
      <alignment horizontal="right"/>
      <protection/>
    </xf>
    <xf numFmtId="3" fontId="27" fillId="0" borderId="42" xfId="99" applyNumberFormat="1" applyFont="1" applyFill="1" applyBorder="1" applyAlignment="1">
      <alignment horizontal="right"/>
      <protection/>
    </xf>
    <xf numFmtId="0" fontId="47" fillId="0" borderId="30" xfId="103" applyFont="1" applyFill="1" applyBorder="1" applyAlignment="1">
      <alignment horizontal="center" vertical="center"/>
      <protection/>
    </xf>
    <xf numFmtId="0" fontId="47" fillId="0" borderId="41" xfId="103" applyFont="1" applyFill="1" applyBorder="1" applyAlignment="1">
      <alignment horizontal="left" vertical="center"/>
      <protection/>
    </xf>
    <xf numFmtId="3" fontId="27" fillId="0" borderId="42" xfId="103" applyNumberFormat="1" applyFont="1" applyFill="1" applyBorder="1" applyAlignment="1">
      <alignment vertical="center"/>
      <protection/>
    </xf>
    <xf numFmtId="0" fontId="25" fillId="0" borderId="30" xfId="103" applyFont="1" applyFill="1" applyBorder="1">
      <alignment/>
      <protection/>
    </xf>
    <xf numFmtId="0" fontId="27" fillId="0" borderId="41" xfId="103" applyFont="1" applyFill="1" applyBorder="1">
      <alignment/>
      <protection/>
    </xf>
    <xf numFmtId="0" fontId="27" fillId="0" borderId="43" xfId="101" applyFont="1" applyBorder="1" applyAlignment="1">
      <alignment horizontal="center" vertical="center"/>
      <protection/>
    </xf>
    <xf numFmtId="0" fontId="25" fillId="0" borderId="40" xfId="101" applyFont="1" applyBorder="1">
      <alignment/>
      <protection/>
    </xf>
    <xf numFmtId="3" fontId="27" fillId="0" borderId="33" xfId="0" applyNumberFormat="1" applyFont="1" applyBorder="1" applyAlignment="1">
      <alignment horizontal="center" vertical="center" wrapText="1"/>
    </xf>
    <xf numFmtId="3" fontId="27" fillId="0" borderId="31" xfId="0" applyNumberFormat="1" applyFont="1" applyBorder="1" applyAlignment="1">
      <alignment horizontal="center" vertical="center" wrapText="1"/>
    </xf>
    <xf numFmtId="3" fontId="25" fillId="0" borderId="31" xfId="0" applyNumberFormat="1" applyFont="1" applyBorder="1" applyAlignment="1">
      <alignment/>
    </xf>
    <xf numFmtId="3" fontId="25" fillId="0" borderId="37" xfId="101" applyNumberFormat="1" applyFont="1" applyBorder="1" applyAlignment="1">
      <alignment/>
      <protection/>
    </xf>
    <xf numFmtId="3" fontId="25" fillId="0" borderId="14" xfId="101" applyNumberFormat="1" applyFont="1" applyBorder="1" applyAlignment="1">
      <alignment/>
      <protection/>
    </xf>
    <xf numFmtId="3" fontId="27" fillId="0" borderId="14" xfId="101" applyNumberFormat="1" applyFont="1" applyBorder="1" applyAlignment="1">
      <alignment/>
      <protection/>
    </xf>
    <xf numFmtId="3" fontId="32" fillId="0" borderId="14" xfId="101" applyNumberFormat="1" applyFont="1" applyBorder="1" applyAlignment="1">
      <alignment/>
      <protection/>
    </xf>
    <xf numFmtId="3" fontId="27" fillId="0" borderId="37" xfId="101" applyNumberFormat="1" applyFont="1" applyBorder="1" applyAlignment="1">
      <alignment/>
      <protection/>
    </xf>
    <xf numFmtId="3" fontId="26" fillId="0" borderId="44" xfId="101" applyNumberFormat="1" applyFont="1" applyBorder="1">
      <alignment/>
      <protection/>
    </xf>
    <xf numFmtId="3" fontId="26" fillId="0" borderId="29" xfId="101" applyNumberFormat="1" applyFont="1" applyBorder="1" applyAlignment="1">
      <alignment/>
      <protection/>
    </xf>
    <xf numFmtId="3" fontId="27" fillId="0" borderId="43" xfId="101" applyNumberFormat="1" applyFont="1" applyBorder="1">
      <alignment/>
      <protection/>
    </xf>
    <xf numFmtId="3" fontId="27" fillId="0" borderId="37" xfId="101" applyNumberFormat="1" applyFont="1" applyBorder="1">
      <alignment/>
      <protection/>
    </xf>
    <xf numFmtId="0" fontId="26" fillId="0" borderId="88" xfId="101" applyFont="1" applyBorder="1" applyAlignment="1">
      <alignment wrapText="1"/>
      <protection/>
    </xf>
    <xf numFmtId="3" fontId="27" fillId="0" borderId="88" xfId="101" applyNumberFormat="1" applyFont="1" applyBorder="1">
      <alignment/>
      <protection/>
    </xf>
    <xf numFmtId="3" fontId="27" fillId="0" borderId="33" xfId="101" applyNumberFormat="1" applyFont="1" applyBorder="1" applyAlignment="1">
      <alignment horizontal="center" vertical="center"/>
      <protection/>
    </xf>
    <xf numFmtId="3" fontId="25" fillId="0" borderId="31" xfId="101" applyNumberFormat="1" applyFont="1" applyBorder="1">
      <alignment/>
      <protection/>
    </xf>
    <xf numFmtId="0" fontId="25" fillId="0" borderId="31" xfId="101" applyFont="1" applyBorder="1">
      <alignment/>
      <protection/>
    </xf>
    <xf numFmtId="3" fontId="27" fillId="0" borderId="31" xfId="101" applyNumberFormat="1" applyFont="1" applyBorder="1">
      <alignment/>
      <protection/>
    </xf>
    <xf numFmtId="3" fontId="27" fillId="0" borderId="32" xfId="101" applyNumberFormat="1" applyFont="1" applyBorder="1">
      <alignment/>
      <protection/>
    </xf>
    <xf numFmtId="3" fontId="27" fillId="0" borderId="33" xfId="101" applyNumberFormat="1" applyFont="1" applyBorder="1" applyAlignment="1">
      <alignment horizontal="center"/>
      <protection/>
    </xf>
    <xf numFmtId="0" fontId="27" fillId="0" borderId="33" xfId="101" applyFont="1" applyBorder="1" applyAlignment="1">
      <alignment horizontal="center" vertical="center"/>
      <protection/>
    </xf>
    <xf numFmtId="3" fontId="26" fillId="0" borderId="31" xfId="101" applyNumberFormat="1" applyFont="1" applyBorder="1">
      <alignment/>
      <protection/>
    </xf>
    <xf numFmtId="3" fontId="32" fillId="0" borderId="31" xfId="101" applyNumberFormat="1" applyFont="1" applyBorder="1">
      <alignment/>
      <protection/>
    </xf>
    <xf numFmtId="3" fontId="25" fillId="0" borderId="33" xfId="101" applyNumberFormat="1" applyFont="1" applyBorder="1">
      <alignment/>
      <protection/>
    </xf>
    <xf numFmtId="0" fontId="23" fillId="0" borderId="0" xfId="101" applyBorder="1" applyAlignment="1">
      <alignment wrapText="1"/>
      <protection/>
    </xf>
    <xf numFmtId="3" fontId="23" fillId="0" borderId="0" xfId="101" applyNumberFormat="1" applyBorder="1">
      <alignment/>
      <protection/>
    </xf>
    <xf numFmtId="3" fontId="25" fillId="0" borderId="32" xfId="101" applyNumberFormat="1" applyFont="1" applyBorder="1">
      <alignment/>
      <protection/>
    </xf>
    <xf numFmtId="2" fontId="40" fillId="0" borderId="61" xfId="0" applyNumberFormat="1" applyFont="1" applyBorder="1" applyAlignment="1">
      <alignment horizontal="center" vertical="center" wrapText="1"/>
    </xf>
    <xf numFmtId="2" fontId="25" fillId="52" borderId="89" xfId="0" applyNumberFormat="1" applyFont="1" applyFill="1" applyBorder="1" applyAlignment="1">
      <alignment horizontal="center" vertical="center"/>
    </xf>
    <xf numFmtId="2" fontId="32" fillId="0" borderId="61" xfId="0" applyNumberFormat="1" applyFont="1" applyBorder="1" applyAlignment="1">
      <alignment horizontal="center" vertical="center" wrapText="1"/>
    </xf>
    <xf numFmtId="0" fontId="25" fillId="0" borderId="89" xfId="0" applyFont="1" applyBorder="1" applyAlignment="1">
      <alignment/>
    </xf>
    <xf numFmtId="2" fontId="25" fillId="0" borderId="89" xfId="0" applyNumberFormat="1" applyFont="1" applyBorder="1" applyAlignment="1">
      <alignment horizontal="center"/>
    </xf>
    <xf numFmtId="2" fontId="27" fillId="0" borderId="51" xfId="0" applyNumberFormat="1" applyFont="1" applyBorder="1" applyAlignment="1">
      <alignment horizontal="center" vertical="top" wrapText="1"/>
    </xf>
    <xf numFmtId="2" fontId="27" fillId="0" borderId="60" xfId="0" applyNumberFormat="1" applyFont="1" applyBorder="1" applyAlignment="1">
      <alignment horizontal="center" vertical="top" wrapText="1"/>
    </xf>
    <xf numFmtId="0" fontId="27" fillId="0" borderId="32" xfId="0" applyFont="1" applyBorder="1" applyAlignment="1">
      <alignment horizontal="center"/>
    </xf>
    <xf numFmtId="2" fontId="25" fillId="0" borderId="39" xfId="0" applyNumberFormat="1" applyFont="1" applyBorder="1" applyAlignment="1">
      <alignment horizontal="center" vertical="center"/>
    </xf>
    <xf numFmtId="2" fontId="25" fillId="0" borderId="31" xfId="0" applyNumberFormat="1" applyFont="1" applyBorder="1" applyAlignment="1">
      <alignment horizontal="center" vertical="center"/>
    </xf>
    <xf numFmtId="2" fontId="40" fillId="0" borderId="39" xfId="0" applyNumberFormat="1" applyFont="1" applyBorder="1" applyAlignment="1">
      <alignment horizontal="center" vertical="center" wrapText="1"/>
    </xf>
    <xf numFmtId="2" fontId="25" fillId="52" borderId="31" xfId="0" applyNumberFormat="1" applyFont="1" applyFill="1" applyBorder="1" applyAlignment="1">
      <alignment horizontal="center" vertical="center"/>
    </xf>
    <xf numFmtId="2" fontId="32" fillId="0" borderId="39" xfId="0" applyNumberFormat="1" applyFont="1" applyBorder="1" applyAlignment="1">
      <alignment horizontal="center" vertical="center" wrapText="1"/>
    </xf>
    <xf numFmtId="0" fontId="25" fillId="0" borderId="31" xfId="0" applyFont="1" applyBorder="1" applyAlignment="1">
      <alignment/>
    </xf>
    <xf numFmtId="2" fontId="25" fillId="0" borderId="31" xfId="0" applyNumberFormat="1" applyFont="1" applyBorder="1" applyAlignment="1">
      <alignment horizontal="center"/>
    </xf>
    <xf numFmtId="2" fontId="27" fillId="0" borderId="55" xfId="0" applyNumberFormat="1" applyFont="1" applyBorder="1" applyAlignment="1">
      <alignment horizontal="center" vertical="top" wrapText="1"/>
    </xf>
    <xf numFmtId="2" fontId="27" fillId="0" borderId="53" xfId="0" applyNumberFormat="1" applyFont="1" applyBorder="1" applyAlignment="1">
      <alignment horizontal="center" vertical="top" wrapText="1"/>
    </xf>
    <xf numFmtId="2" fontId="25" fillId="0" borderId="32" xfId="0" applyNumberFormat="1" applyFont="1" applyBorder="1" applyAlignment="1">
      <alignment horizontal="center"/>
    </xf>
    <xf numFmtId="0" fontId="27" fillId="0" borderId="55" xfId="0" applyFont="1" applyBorder="1" applyAlignment="1">
      <alignment horizontal="center"/>
    </xf>
    <xf numFmtId="2" fontId="25" fillId="0" borderId="53" xfId="0" applyNumberFormat="1" applyFont="1" applyBorder="1" applyAlignment="1">
      <alignment horizontal="center"/>
    </xf>
    <xf numFmtId="3" fontId="25" fillId="0" borderId="90" xfId="100" applyNumberFormat="1" applyFont="1" applyBorder="1" applyAlignment="1">
      <alignment horizontal="right"/>
      <protection/>
    </xf>
    <xf numFmtId="3" fontId="27" fillId="0" borderId="91" xfId="100" applyNumberFormat="1" applyFont="1" applyBorder="1" applyAlignment="1">
      <alignment horizontal="right"/>
      <protection/>
    </xf>
    <xf numFmtId="3" fontId="27" fillId="0" borderId="19" xfId="100" applyNumberFormat="1" applyFont="1" applyBorder="1" applyAlignment="1">
      <alignment horizontal="right"/>
      <protection/>
    </xf>
    <xf numFmtId="3" fontId="27" fillId="0" borderId="22" xfId="100" applyNumberFormat="1" applyFont="1" applyBorder="1" applyAlignment="1">
      <alignment horizontal="right"/>
      <protection/>
    </xf>
    <xf numFmtId="3" fontId="25" fillId="0" borderId="92" xfId="100" applyNumberFormat="1" applyFont="1" applyBorder="1" applyAlignment="1">
      <alignment horizontal="right"/>
      <protection/>
    </xf>
    <xf numFmtId="3" fontId="27" fillId="0" borderId="93" xfId="100" applyNumberFormat="1" applyFont="1" applyBorder="1" applyAlignment="1">
      <alignment horizontal="right"/>
      <protection/>
    </xf>
    <xf numFmtId="3" fontId="27" fillId="0" borderId="94" xfId="0" applyNumberFormat="1" applyFont="1" applyBorder="1" applyAlignment="1">
      <alignment/>
    </xf>
    <xf numFmtId="3" fontId="27" fillId="0" borderId="95" xfId="0" applyNumberFormat="1" applyFont="1" applyBorder="1" applyAlignment="1">
      <alignment/>
    </xf>
    <xf numFmtId="3" fontId="27" fillId="0" borderId="20" xfId="0" applyNumberFormat="1" applyFont="1" applyBorder="1" applyAlignment="1">
      <alignment/>
    </xf>
    <xf numFmtId="0" fontId="27" fillId="0" borderId="96" xfId="100" applyFont="1" applyBorder="1" applyAlignment="1">
      <alignment horizontal="center" vertical="center" wrapText="1"/>
      <protection/>
    </xf>
    <xf numFmtId="0" fontId="25" fillId="0" borderId="96" xfId="100" applyFont="1" applyBorder="1">
      <alignment/>
      <protection/>
    </xf>
    <xf numFmtId="3" fontId="27" fillId="0" borderId="97" xfId="100" applyNumberFormat="1" applyFont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3" fontId="27" fillId="0" borderId="19" xfId="0" applyNumberFormat="1" applyFont="1" applyBorder="1" applyAlignment="1">
      <alignment horizontal="right"/>
    </xf>
    <xf numFmtId="3" fontId="27" fillId="0" borderId="22" xfId="0" applyNumberFormat="1" applyFont="1" applyBorder="1" applyAlignment="1">
      <alignment horizontal="right"/>
    </xf>
    <xf numFmtId="3" fontId="25" fillId="0" borderId="98" xfId="102" applyNumberFormat="1" applyFont="1" applyBorder="1">
      <alignment/>
      <protection/>
    </xf>
    <xf numFmtId="3" fontId="25" fillId="0" borderId="0" xfId="102" applyNumberFormat="1" applyFont="1" applyBorder="1">
      <alignment/>
      <protection/>
    </xf>
    <xf numFmtId="3" fontId="27" fillId="0" borderId="99" xfId="102" applyNumberFormat="1" applyFont="1" applyBorder="1">
      <alignment/>
      <protection/>
    </xf>
    <xf numFmtId="0" fontId="27" fillId="0" borderId="53" xfId="102" applyFont="1" applyBorder="1" applyAlignment="1">
      <alignment horizontal="center"/>
      <protection/>
    </xf>
    <xf numFmtId="3" fontId="27" fillId="0" borderId="31" xfId="102" applyNumberFormat="1" applyFont="1" applyBorder="1">
      <alignment/>
      <protection/>
    </xf>
    <xf numFmtId="0" fontId="25" fillId="0" borderId="14" xfId="102" applyFont="1" applyBorder="1">
      <alignment/>
      <protection/>
    </xf>
    <xf numFmtId="0" fontId="25" fillId="0" borderId="29" xfId="102" applyFont="1" applyBorder="1">
      <alignment/>
      <protection/>
    </xf>
    <xf numFmtId="0" fontId="27" fillId="0" borderId="100" xfId="102" applyFont="1" applyBorder="1" applyAlignment="1">
      <alignment horizontal="left" vertical="center" wrapText="1"/>
      <protection/>
    </xf>
    <xf numFmtId="3" fontId="27" fillId="0" borderId="48" xfId="102" applyNumberFormat="1" applyFont="1" applyBorder="1" applyAlignment="1">
      <alignment horizontal="right" vertical="center"/>
      <protection/>
    </xf>
    <xf numFmtId="3" fontId="27" fillId="0" borderId="55" xfId="102" applyNumberFormat="1" applyFont="1" applyBorder="1" applyAlignment="1">
      <alignment horizontal="right" vertical="center"/>
      <protection/>
    </xf>
    <xf numFmtId="3" fontId="27" fillId="0" borderId="101" xfId="102" applyNumberFormat="1" applyFont="1" applyBorder="1" applyAlignment="1">
      <alignment horizontal="right" vertical="center"/>
      <protection/>
    </xf>
    <xf numFmtId="3" fontId="25" fillId="0" borderId="55" xfId="102" applyNumberFormat="1" applyFont="1" applyBorder="1" applyAlignment="1">
      <alignment horizontal="right" vertical="center"/>
      <protection/>
    </xf>
    <xf numFmtId="0" fontId="33" fillId="52" borderId="102" xfId="0" applyFont="1" applyFill="1" applyBorder="1" applyAlignment="1">
      <alignment horizontal="center" vertical="center" wrapText="1"/>
    </xf>
    <xf numFmtId="0" fontId="34" fillId="52" borderId="103" xfId="0" applyFont="1" applyFill="1" applyBorder="1" applyAlignment="1">
      <alignment/>
    </xf>
    <xf numFmtId="0" fontId="21" fillId="52" borderId="104" xfId="0" applyFont="1" applyFill="1" applyBorder="1" applyAlignment="1">
      <alignment/>
    </xf>
    <xf numFmtId="0" fontId="35" fillId="52" borderId="104" xfId="0" applyFont="1" applyFill="1" applyBorder="1" applyAlignment="1">
      <alignment/>
    </xf>
    <xf numFmtId="0" fontId="34" fillId="52" borderId="104" xfId="0" applyFont="1" applyFill="1" applyBorder="1" applyAlignment="1">
      <alignment/>
    </xf>
    <xf numFmtId="0" fontId="33" fillId="52" borderId="104" xfId="0" applyFont="1" applyFill="1" applyBorder="1" applyAlignment="1">
      <alignment/>
    </xf>
    <xf numFmtId="0" fontId="21" fillId="52" borderId="104" xfId="0" applyFont="1" applyFill="1" applyBorder="1" applyAlignment="1">
      <alignment/>
    </xf>
    <xf numFmtId="49" fontId="33" fillId="52" borderId="104" xfId="0" applyNumberFormat="1" applyFont="1" applyFill="1" applyBorder="1" applyAlignment="1">
      <alignment vertical="center" wrapText="1"/>
    </xf>
    <xf numFmtId="49" fontId="33" fillId="52" borderId="103" xfId="0" applyNumberFormat="1" applyFont="1" applyFill="1" applyBorder="1" applyAlignment="1">
      <alignment vertical="center" wrapText="1"/>
    </xf>
    <xf numFmtId="49" fontId="33" fillId="52" borderId="104" xfId="0" applyNumberFormat="1" applyFont="1" applyFill="1" applyBorder="1" applyAlignment="1">
      <alignment horizontal="left" wrapText="1"/>
    </xf>
    <xf numFmtId="0" fontId="34" fillId="0" borderId="104" xfId="0" applyFont="1" applyFill="1" applyBorder="1" applyAlignment="1">
      <alignment horizontal="center"/>
    </xf>
    <xf numFmtId="0" fontId="34" fillId="0" borderId="103" xfId="0" applyFont="1" applyFill="1" applyBorder="1" applyAlignment="1">
      <alignment horizontal="center"/>
    </xf>
    <xf numFmtId="0" fontId="33" fillId="0" borderId="103" xfId="0" applyFont="1" applyBorder="1" applyAlignment="1">
      <alignment horizontal="center" vertical="center" wrapText="1"/>
    </xf>
    <xf numFmtId="0" fontId="33" fillId="0" borderId="104" xfId="0" applyFont="1" applyBorder="1" applyAlignment="1">
      <alignment horizontal="center" vertical="center" wrapText="1"/>
    </xf>
    <xf numFmtId="0" fontId="33" fillId="0" borderId="104" xfId="0" applyFont="1" applyFill="1" applyBorder="1" applyAlignment="1">
      <alignment horizontal="center"/>
    </xf>
    <xf numFmtId="0" fontId="33" fillId="0" borderId="105" xfId="0" applyFont="1" applyFill="1" applyBorder="1" applyAlignment="1">
      <alignment horizontal="center"/>
    </xf>
    <xf numFmtId="0" fontId="34" fillId="0" borderId="106" xfId="0" applyFont="1" applyBorder="1" applyAlignment="1">
      <alignment horizontal="center"/>
    </xf>
    <xf numFmtId="49" fontId="34" fillId="52" borderId="13" xfId="0" applyNumberFormat="1" applyFont="1" applyFill="1" applyBorder="1" applyAlignment="1">
      <alignment/>
    </xf>
    <xf numFmtId="3" fontId="34" fillId="52" borderId="31" xfId="0" applyNumberFormat="1" applyFont="1" applyFill="1" applyBorder="1" applyAlignment="1">
      <alignment horizontal="right"/>
    </xf>
    <xf numFmtId="49" fontId="21" fillId="52" borderId="13" xfId="0" applyNumberFormat="1" applyFont="1" applyFill="1" applyBorder="1" applyAlignment="1">
      <alignment/>
    </xf>
    <xf numFmtId="49" fontId="35" fillId="52" borderId="13" xfId="0" applyNumberFormat="1" applyFont="1" applyFill="1" applyBorder="1" applyAlignment="1">
      <alignment/>
    </xf>
    <xf numFmtId="49" fontId="51" fillId="52" borderId="13" xfId="0" applyNumberFormat="1" applyFont="1" applyFill="1" applyBorder="1" applyAlignment="1">
      <alignment/>
    </xf>
    <xf numFmtId="49" fontId="35" fillId="52" borderId="13" xfId="0" applyNumberFormat="1" applyFont="1" applyFill="1" applyBorder="1" applyAlignment="1">
      <alignment/>
    </xf>
    <xf numFmtId="49" fontId="33" fillId="52" borderId="13" xfId="0" applyNumberFormat="1" applyFont="1" applyFill="1" applyBorder="1" applyAlignment="1">
      <alignment/>
    </xf>
    <xf numFmtId="3" fontId="33" fillId="52" borderId="31" xfId="0" applyNumberFormat="1" applyFont="1" applyFill="1" applyBorder="1" applyAlignment="1">
      <alignment horizontal="right"/>
    </xf>
    <xf numFmtId="49" fontId="21" fillId="52" borderId="13" xfId="0" applyNumberFormat="1" applyFont="1" applyFill="1" applyBorder="1" applyAlignment="1">
      <alignment vertical="center" wrapText="1"/>
    </xf>
    <xf numFmtId="49" fontId="33" fillId="52" borderId="13" xfId="0" applyNumberFormat="1" applyFont="1" applyFill="1" applyBorder="1" applyAlignment="1">
      <alignment vertical="center" wrapText="1"/>
    </xf>
    <xf numFmtId="49" fontId="21" fillId="52" borderId="13" xfId="0" applyNumberFormat="1" applyFont="1" applyFill="1" applyBorder="1" applyAlignment="1">
      <alignment/>
    </xf>
    <xf numFmtId="3" fontId="33" fillId="53" borderId="31" xfId="0" applyNumberFormat="1" applyFont="1" applyFill="1" applyBorder="1" applyAlignment="1">
      <alignment horizontal="right"/>
    </xf>
    <xf numFmtId="49" fontId="34" fillId="0" borderId="13" xfId="0" applyNumberFormat="1" applyFont="1" applyFill="1" applyBorder="1" applyAlignment="1">
      <alignment/>
    </xf>
    <xf numFmtId="49" fontId="21" fillId="0" borderId="13" xfId="0" applyNumberFormat="1" applyFont="1" applyBorder="1" applyAlignment="1">
      <alignment horizontal="left" vertical="center"/>
    </xf>
    <xf numFmtId="3" fontId="21" fillId="0" borderId="31" xfId="0" applyNumberFormat="1" applyFont="1" applyBorder="1" applyAlignment="1">
      <alignment/>
    </xf>
    <xf numFmtId="49" fontId="33" fillId="0" borderId="13" xfId="0" applyNumberFormat="1" applyFont="1" applyFill="1" applyBorder="1" applyAlignment="1">
      <alignment/>
    </xf>
    <xf numFmtId="49" fontId="21" fillId="0" borderId="13" xfId="0" applyNumberFormat="1" applyFont="1" applyFill="1" applyBorder="1" applyAlignment="1">
      <alignment/>
    </xf>
    <xf numFmtId="49" fontId="33" fillId="0" borderId="13" xfId="0" applyNumberFormat="1" applyFont="1" applyBorder="1" applyAlignment="1">
      <alignment horizontal="left" vertical="center"/>
    </xf>
    <xf numFmtId="49" fontId="52" fillId="0" borderId="16" xfId="0" applyNumberFormat="1" applyFont="1" applyFill="1" applyBorder="1" applyAlignment="1">
      <alignment/>
    </xf>
    <xf numFmtId="3" fontId="42" fillId="0" borderId="33" xfId="109" applyNumberFormat="1" applyFont="1" applyBorder="1" applyAlignment="1">
      <alignment horizontal="center"/>
      <protection/>
    </xf>
    <xf numFmtId="0" fontId="42" fillId="0" borderId="33" xfId="109" applyFont="1" applyBorder="1" applyAlignment="1">
      <alignment horizontal="center"/>
      <protection/>
    </xf>
    <xf numFmtId="3" fontId="42" fillId="0" borderId="31" xfId="109" applyNumberFormat="1" applyFont="1" applyBorder="1">
      <alignment/>
      <protection/>
    </xf>
    <xf numFmtId="3" fontId="54" fillId="0" borderId="31" xfId="109" applyNumberFormat="1" applyFont="1" applyBorder="1">
      <alignment/>
      <protection/>
    </xf>
    <xf numFmtId="0" fontId="54" fillId="0" borderId="31" xfId="109" applyFont="1" applyBorder="1">
      <alignment/>
      <protection/>
    </xf>
    <xf numFmtId="3" fontId="43" fillId="0" borderId="31" xfId="109" applyNumberFormat="1" applyFont="1" applyBorder="1">
      <alignment/>
      <protection/>
    </xf>
    <xf numFmtId="0" fontId="43" fillId="0" borderId="31" xfId="109" applyFont="1" applyBorder="1">
      <alignment/>
      <protection/>
    </xf>
    <xf numFmtId="0" fontId="42" fillId="0" borderId="31" xfId="109" applyFont="1" applyBorder="1">
      <alignment/>
      <protection/>
    </xf>
    <xf numFmtId="3" fontId="46" fillId="0" borderId="31" xfId="109" applyNumberFormat="1" applyFont="1" applyBorder="1">
      <alignment/>
      <protection/>
    </xf>
    <xf numFmtId="3" fontId="42" fillId="0" borderId="32" xfId="109" applyNumberFormat="1" applyFont="1" applyBorder="1">
      <alignment/>
      <protection/>
    </xf>
    <xf numFmtId="0" fontId="42" fillId="0" borderId="37" xfId="109" applyFont="1" applyBorder="1">
      <alignment/>
      <protection/>
    </xf>
    <xf numFmtId="0" fontId="27" fillId="0" borderId="19" xfId="103" applyFont="1" applyFill="1" applyBorder="1" applyAlignment="1">
      <alignment vertical="center" wrapText="1"/>
      <protection/>
    </xf>
    <xf numFmtId="0" fontId="27" fillId="0" borderId="22" xfId="103" applyFont="1" applyFill="1" applyBorder="1" applyAlignment="1">
      <alignment vertical="center" wrapText="1"/>
      <protection/>
    </xf>
    <xf numFmtId="3" fontId="27" fillId="0" borderId="23" xfId="103" applyNumberFormat="1" applyFont="1" applyFill="1" applyBorder="1" applyAlignment="1">
      <alignment vertical="center"/>
      <protection/>
    </xf>
    <xf numFmtId="3" fontId="25" fillId="0" borderId="29" xfId="101" applyNumberFormat="1" applyFont="1" applyBorder="1" applyAlignment="1">
      <alignment/>
      <protection/>
    </xf>
    <xf numFmtId="3" fontId="54" fillId="0" borderId="14" xfId="109" applyNumberFormat="1" applyFont="1" applyBorder="1">
      <alignment/>
      <protection/>
    </xf>
    <xf numFmtId="3" fontId="43" fillId="0" borderId="14" xfId="109" applyNumberFormat="1" applyFont="1" applyBorder="1">
      <alignment/>
      <protection/>
    </xf>
    <xf numFmtId="3" fontId="27" fillId="0" borderId="37" xfId="102" applyNumberFormat="1" applyFont="1" applyBorder="1">
      <alignment/>
      <protection/>
    </xf>
    <xf numFmtId="0" fontId="27" fillId="0" borderId="86" xfId="102" applyFont="1" applyBorder="1" applyAlignment="1">
      <alignment horizontal="center" vertical="center"/>
      <protection/>
    </xf>
    <xf numFmtId="3" fontId="27" fillId="0" borderId="107" xfId="102" applyNumberFormat="1" applyFont="1" applyBorder="1">
      <alignment/>
      <protection/>
    </xf>
    <xf numFmtId="3" fontId="25" fillId="0" borderId="89" xfId="102" applyNumberFormat="1" applyFont="1" applyBorder="1">
      <alignment/>
      <protection/>
    </xf>
    <xf numFmtId="0" fontId="25" fillId="0" borderId="100" xfId="102" applyFont="1" applyBorder="1" applyAlignment="1">
      <alignment horizontal="left" vertical="center" wrapText="1"/>
      <protection/>
    </xf>
    <xf numFmtId="3" fontId="27" fillId="0" borderId="60" xfId="102" applyNumberFormat="1" applyFont="1" applyBorder="1" applyAlignment="1">
      <alignment horizontal="right" vertical="center"/>
      <protection/>
    </xf>
    <xf numFmtId="3" fontId="27" fillId="0" borderId="52" xfId="102" applyNumberFormat="1" applyFont="1" applyBorder="1">
      <alignment/>
      <protection/>
    </xf>
    <xf numFmtId="0" fontId="27" fillId="0" borderId="25" xfId="102" applyFont="1" applyBorder="1" applyAlignment="1">
      <alignment wrapText="1"/>
      <protection/>
    </xf>
    <xf numFmtId="0" fontId="25" fillId="0" borderId="25" xfId="102" applyFont="1" applyBorder="1" applyAlignment="1">
      <alignment wrapText="1"/>
      <protection/>
    </xf>
    <xf numFmtId="0" fontId="25" fillId="0" borderId="26" xfId="102" applyFont="1" applyBorder="1" applyAlignment="1">
      <alignment wrapText="1"/>
      <protection/>
    </xf>
    <xf numFmtId="3" fontId="27" fillId="0" borderId="60" xfId="102" applyNumberFormat="1" applyFont="1" applyBorder="1">
      <alignment/>
      <protection/>
    </xf>
    <xf numFmtId="3" fontId="27" fillId="0" borderId="33" xfId="102" applyNumberFormat="1" applyFont="1" applyBorder="1">
      <alignment/>
      <protection/>
    </xf>
    <xf numFmtId="3" fontId="27" fillId="0" borderId="108" xfId="100" applyNumberFormat="1" applyFont="1" applyBorder="1" applyAlignment="1">
      <alignment horizontal="right"/>
      <protection/>
    </xf>
    <xf numFmtId="3" fontId="27" fillId="0" borderId="24" xfId="100" applyNumberFormat="1" applyFont="1" applyBorder="1" applyAlignment="1">
      <alignment horizontal="right"/>
      <protection/>
    </xf>
    <xf numFmtId="0" fontId="25" fillId="0" borderId="68" xfId="0" applyFont="1" applyBorder="1" applyAlignment="1">
      <alignment/>
    </xf>
    <xf numFmtId="0" fontId="25" fillId="0" borderId="62" xfId="0" applyFont="1" applyBorder="1" applyAlignment="1">
      <alignment/>
    </xf>
    <xf numFmtId="0" fontId="25" fillId="0" borderId="66" xfId="0" applyFont="1" applyBorder="1" applyAlignment="1">
      <alignment/>
    </xf>
    <xf numFmtId="3" fontId="27" fillId="0" borderId="66" xfId="0" applyNumberFormat="1" applyFont="1" applyBorder="1" applyAlignment="1">
      <alignment/>
    </xf>
    <xf numFmtId="3" fontId="27" fillId="0" borderId="68" xfId="0" applyNumberFormat="1" applyFont="1" applyBorder="1" applyAlignment="1">
      <alignment/>
    </xf>
    <xf numFmtId="3" fontId="27" fillId="0" borderId="62" xfId="0" applyNumberFormat="1" applyFont="1" applyBorder="1" applyAlignment="1">
      <alignment/>
    </xf>
    <xf numFmtId="3" fontId="27" fillId="0" borderId="69" xfId="0" applyNumberFormat="1" applyFont="1" applyBorder="1" applyAlignment="1">
      <alignment/>
    </xf>
    <xf numFmtId="3" fontId="27" fillId="0" borderId="72" xfId="0" applyNumberFormat="1" applyFont="1" applyBorder="1" applyAlignment="1">
      <alignment/>
    </xf>
    <xf numFmtId="0" fontId="27" fillId="0" borderId="0" xfId="101" applyFont="1" applyBorder="1" applyAlignment="1">
      <alignment wrapText="1"/>
      <protection/>
    </xf>
    <xf numFmtId="3" fontId="42" fillId="0" borderId="14" xfId="0" applyNumberFormat="1" applyFont="1" applyBorder="1" applyAlignment="1">
      <alignment/>
    </xf>
    <xf numFmtId="3" fontId="42" fillId="0" borderId="29" xfId="0" applyNumberFormat="1" applyFont="1" applyBorder="1" applyAlignment="1">
      <alignment/>
    </xf>
    <xf numFmtId="0" fontId="47" fillId="0" borderId="22" xfId="99" applyFont="1" applyFill="1" applyBorder="1" applyAlignment="1">
      <alignment horizontal="left"/>
      <protection/>
    </xf>
    <xf numFmtId="0" fontId="47" fillId="0" borderId="41" xfId="99" applyFont="1" applyFill="1" applyBorder="1" applyAlignment="1">
      <alignment horizontal="left"/>
      <protection/>
    </xf>
    <xf numFmtId="3" fontId="27" fillId="0" borderId="22" xfId="99" applyNumberFormat="1" applyFont="1" applyFill="1" applyBorder="1" applyAlignment="1">
      <alignment horizontal="right"/>
      <protection/>
    </xf>
    <xf numFmtId="3" fontId="27" fillId="0" borderId="23" xfId="99" applyNumberFormat="1" applyFont="1" applyFill="1" applyBorder="1" applyAlignment="1">
      <alignment horizontal="right"/>
      <protection/>
    </xf>
    <xf numFmtId="3" fontId="27" fillId="0" borderId="23" xfId="99" applyNumberFormat="1" applyFont="1" applyFill="1" applyBorder="1">
      <alignment/>
      <protection/>
    </xf>
    <xf numFmtId="3" fontId="29" fillId="0" borderId="14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29" fillId="0" borderId="29" xfId="0" applyNumberFormat="1" applyFont="1" applyBorder="1" applyAlignment="1">
      <alignment/>
    </xf>
    <xf numFmtId="0" fontId="59" fillId="54" borderId="0" xfId="101" applyFont="1" applyFill="1" applyAlignment="1">
      <alignment wrapText="1"/>
      <protection/>
    </xf>
    <xf numFmtId="0" fontId="59" fillId="54" borderId="0" xfId="101" applyFont="1" applyFill="1">
      <alignment/>
      <protection/>
    </xf>
    <xf numFmtId="3" fontId="59" fillId="54" borderId="0" xfId="101" applyNumberFormat="1" applyFont="1" applyFill="1">
      <alignment/>
      <protection/>
    </xf>
    <xf numFmtId="0" fontId="61" fillId="54" borderId="15" xfId="101" applyFont="1" applyFill="1" applyBorder="1" applyAlignment="1">
      <alignment wrapText="1"/>
      <protection/>
    </xf>
    <xf numFmtId="3" fontId="61" fillId="54" borderId="33" xfId="101" applyNumberFormat="1" applyFont="1" applyFill="1" applyBorder="1" applyAlignment="1">
      <alignment horizontal="center"/>
      <protection/>
    </xf>
    <xf numFmtId="0" fontId="61" fillId="54" borderId="43" xfId="101" applyFont="1" applyFill="1" applyBorder="1" applyAlignment="1">
      <alignment horizontal="center" vertical="center"/>
      <protection/>
    </xf>
    <xf numFmtId="3" fontId="61" fillId="54" borderId="37" xfId="101" applyNumberFormat="1" applyFont="1" applyFill="1" applyBorder="1">
      <alignment/>
      <protection/>
    </xf>
    <xf numFmtId="0" fontId="61" fillId="54" borderId="0" xfId="101" applyFont="1" applyFill="1">
      <alignment/>
      <protection/>
    </xf>
    <xf numFmtId="0" fontId="59" fillId="54" borderId="13" xfId="101" applyFont="1" applyFill="1" applyBorder="1" applyAlignment="1">
      <alignment wrapText="1"/>
      <protection/>
    </xf>
    <xf numFmtId="3" fontId="59" fillId="54" borderId="31" xfId="101" applyNumberFormat="1" applyFont="1" applyFill="1" applyBorder="1">
      <alignment/>
      <protection/>
    </xf>
    <xf numFmtId="0" fontId="59" fillId="54" borderId="40" xfId="101" applyFont="1" applyFill="1" applyBorder="1">
      <alignment/>
      <protection/>
    </xf>
    <xf numFmtId="3" fontId="59" fillId="54" borderId="14" xfId="101" applyNumberFormat="1" applyFont="1" applyFill="1" applyBorder="1">
      <alignment/>
      <protection/>
    </xf>
    <xf numFmtId="0" fontId="61" fillId="54" borderId="13" xfId="101" applyFont="1" applyFill="1" applyBorder="1" applyAlignment="1">
      <alignment wrapText="1"/>
      <protection/>
    </xf>
    <xf numFmtId="3" fontId="61" fillId="54" borderId="31" xfId="101" applyNumberFormat="1" applyFont="1" applyFill="1" applyBorder="1">
      <alignment/>
      <protection/>
    </xf>
    <xf numFmtId="3" fontId="61" fillId="54" borderId="40" xfId="101" applyNumberFormat="1" applyFont="1" applyFill="1" applyBorder="1">
      <alignment/>
      <protection/>
    </xf>
    <xf numFmtId="3" fontId="61" fillId="54" borderId="14" xfId="101" applyNumberFormat="1" applyFont="1" applyFill="1" applyBorder="1">
      <alignment/>
      <protection/>
    </xf>
    <xf numFmtId="3" fontId="59" fillId="54" borderId="40" xfId="101" applyNumberFormat="1" applyFont="1" applyFill="1" applyBorder="1">
      <alignment/>
      <protection/>
    </xf>
    <xf numFmtId="0" fontId="62" fillId="54" borderId="13" xfId="101" applyFont="1" applyFill="1" applyBorder="1" applyAlignment="1">
      <alignment wrapText="1"/>
      <protection/>
    </xf>
    <xf numFmtId="3" fontId="62" fillId="54" borderId="31" xfId="101" applyNumberFormat="1" applyFont="1" applyFill="1" applyBorder="1">
      <alignment/>
      <protection/>
    </xf>
    <xf numFmtId="3" fontId="62" fillId="54" borderId="40" xfId="101" applyNumberFormat="1" applyFont="1" applyFill="1" applyBorder="1">
      <alignment/>
      <protection/>
    </xf>
    <xf numFmtId="3" fontId="62" fillId="54" borderId="14" xfId="101" applyNumberFormat="1" applyFont="1" applyFill="1" applyBorder="1">
      <alignment/>
      <protection/>
    </xf>
    <xf numFmtId="0" fontId="59" fillId="54" borderId="13" xfId="101" applyFont="1" applyFill="1" applyBorder="1" applyAlignment="1">
      <alignment horizontal="left" wrapText="1"/>
      <protection/>
    </xf>
    <xf numFmtId="0" fontId="62" fillId="54" borderId="0" xfId="101" applyFont="1" applyFill="1">
      <alignment/>
      <protection/>
    </xf>
    <xf numFmtId="0" fontId="63" fillId="54" borderId="0" xfId="101" applyFont="1" applyFill="1">
      <alignment/>
      <protection/>
    </xf>
    <xf numFmtId="0" fontId="63" fillId="54" borderId="16" xfId="101" applyFont="1" applyFill="1" applyBorder="1" applyAlignment="1">
      <alignment wrapText="1"/>
      <protection/>
    </xf>
    <xf numFmtId="3" fontId="61" fillId="54" borderId="32" xfId="101" applyNumberFormat="1" applyFont="1" applyFill="1" applyBorder="1">
      <alignment/>
      <protection/>
    </xf>
    <xf numFmtId="3" fontId="61" fillId="54" borderId="44" xfId="101" applyNumberFormat="1" applyFont="1" applyFill="1" applyBorder="1">
      <alignment/>
      <protection/>
    </xf>
    <xf numFmtId="3" fontId="61" fillId="54" borderId="29" xfId="101" applyNumberFormat="1" applyFont="1" applyFill="1" applyBorder="1">
      <alignment/>
      <protection/>
    </xf>
    <xf numFmtId="0" fontId="25" fillId="0" borderId="0" xfId="101" applyFont="1" applyBorder="1">
      <alignment/>
      <protection/>
    </xf>
    <xf numFmtId="3" fontId="27" fillId="0" borderId="43" xfId="101" applyNumberFormat="1" applyFont="1" applyBorder="1" applyAlignment="1">
      <alignment horizontal="center" vertical="center"/>
      <protection/>
    </xf>
    <xf numFmtId="3" fontId="25" fillId="0" borderId="14" xfId="101" applyNumberFormat="1" applyFont="1" applyBorder="1">
      <alignment/>
      <protection/>
    </xf>
    <xf numFmtId="0" fontId="27" fillId="0" borderId="100" xfId="101" applyFont="1" applyBorder="1" applyAlignment="1">
      <alignment wrapText="1"/>
      <protection/>
    </xf>
    <xf numFmtId="3" fontId="27" fillId="0" borderId="48" xfId="101" applyNumberFormat="1" applyFont="1" applyBorder="1">
      <alignment/>
      <protection/>
    </xf>
    <xf numFmtId="0" fontId="32" fillId="0" borderId="100" xfId="101" applyFont="1" applyBorder="1" applyAlignment="1">
      <alignment wrapText="1"/>
      <protection/>
    </xf>
    <xf numFmtId="3" fontId="32" fillId="0" borderId="48" xfId="101" applyNumberFormat="1" applyFont="1" applyBorder="1">
      <alignment/>
      <protection/>
    </xf>
    <xf numFmtId="0" fontId="25" fillId="0" borderId="100" xfId="101" applyFont="1" applyBorder="1" applyAlignment="1">
      <alignment wrapText="1"/>
      <protection/>
    </xf>
    <xf numFmtId="3" fontId="25" fillId="0" borderId="48" xfId="101" applyNumberFormat="1" applyFont="1" applyBorder="1">
      <alignment/>
      <protection/>
    </xf>
    <xf numFmtId="3" fontId="25" fillId="0" borderId="89" xfId="102" applyNumberFormat="1" applyFont="1" applyBorder="1" applyAlignment="1">
      <alignment horizontal="right" vertical="center"/>
      <protection/>
    </xf>
    <xf numFmtId="3" fontId="25" fillId="0" borderId="51" xfId="102" applyNumberFormat="1" applyFont="1" applyBorder="1" applyAlignment="1">
      <alignment horizontal="right" vertical="center"/>
      <protection/>
    </xf>
    <xf numFmtId="3" fontId="64" fillId="0" borderId="0" xfId="0" applyNumberFormat="1" applyFont="1" applyFill="1" applyBorder="1" applyAlignment="1">
      <alignment horizontal="center"/>
    </xf>
    <xf numFmtId="0" fontId="29" fillId="52" borderId="31" xfId="0" applyFont="1" applyFill="1" applyBorder="1" applyAlignment="1">
      <alignment horizontal="center" vertical="center" wrapText="1"/>
    </xf>
    <xf numFmtId="49" fontId="21" fillId="52" borderId="13" xfId="0" applyNumberFormat="1" applyFont="1" applyFill="1" applyBorder="1" applyAlignment="1">
      <alignment horizontal="left" vertical="center"/>
    </xf>
    <xf numFmtId="0" fontId="21" fillId="52" borderId="3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34" fillId="0" borderId="0" xfId="0" applyFont="1" applyFill="1" applyAlignment="1">
      <alignment/>
    </xf>
    <xf numFmtId="3" fontId="21" fillId="0" borderId="14" xfId="0" applyNumberFormat="1" applyFont="1" applyFill="1" applyBorder="1" applyAlignment="1">
      <alignment/>
    </xf>
    <xf numFmtId="3" fontId="28" fillId="0" borderId="14" xfId="0" applyNumberFormat="1" applyFont="1" applyFill="1" applyBorder="1" applyAlignment="1">
      <alignment/>
    </xf>
    <xf numFmtId="3" fontId="21" fillId="0" borderId="14" xfId="0" applyNumberFormat="1" applyFont="1" applyFill="1" applyBorder="1" applyAlignment="1">
      <alignment/>
    </xf>
    <xf numFmtId="3" fontId="34" fillId="0" borderId="14" xfId="0" applyNumberFormat="1" applyFont="1" applyFill="1" applyBorder="1" applyAlignment="1">
      <alignment/>
    </xf>
    <xf numFmtId="3" fontId="33" fillId="0" borderId="14" xfId="0" applyNumberFormat="1" applyFont="1" applyFill="1" applyBorder="1" applyAlignment="1">
      <alignment/>
    </xf>
    <xf numFmtId="3" fontId="34" fillId="52" borderId="14" xfId="0" applyNumberFormat="1" applyFont="1" applyFill="1" applyBorder="1" applyAlignment="1">
      <alignment horizontal="right"/>
    </xf>
    <xf numFmtId="3" fontId="33" fillId="52" borderId="14" xfId="0" applyNumberFormat="1" applyFont="1" applyFill="1" applyBorder="1" applyAlignment="1">
      <alignment horizontal="right"/>
    </xf>
    <xf numFmtId="3" fontId="34" fillId="0" borderId="14" xfId="0" applyNumberFormat="1" applyFont="1" applyBorder="1" applyAlignment="1">
      <alignment horizontal="right"/>
    </xf>
    <xf numFmtId="3" fontId="33" fillId="0" borderId="29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67" fillId="0" borderId="47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left" vertical="center" wrapText="1"/>
    </xf>
    <xf numFmtId="0" fontId="66" fillId="0" borderId="31" xfId="0" applyFont="1" applyFill="1" applyBorder="1" applyAlignment="1">
      <alignment vertical="center" wrapText="1"/>
    </xf>
    <xf numFmtId="3" fontId="66" fillId="0" borderId="31" xfId="0" applyNumberFormat="1" applyFont="1" applyFill="1" applyBorder="1" applyAlignment="1">
      <alignment vertical="center"/>
    </xf>
    <xf numFmtId="3" fontId="66" fillId="0" borderId="14" xfId="0" applyNumberFormat="1" applyFont="1" applyFill="1" applyBorder="1" applyAlignment="1">
      <alignment vertical="center"/>
    </xf>
    <xf numFmtId="3" fontId="66" fillId="0" borderId="0" xfId="0" applyNumberFormat="1" applyFont="1" applyFill="1" applyAlignment="1">
      <alignment/>
    </xf>
    <xf numFmtId="3" fontId="66" fillId="54" borderId="31" xfId="0" applyNumberFormat="1" applyFont="1" applyFill="1" applyBorder="1" applyAlignment="1">
      <alignment vertical="center"/>
    </xf>
    <xf numFmtId="0" fontId="67" fillId="0" borderId="31" xfId="0" applyFont="1" applyFill="1" applyBorder="1" applyAlignment="1">
      <alignment vertical="center" wrapText="1"/>
    </xf>
    <xf numFmtId="3" fontId="67" fillId="0" borderId="31" xfId="0" applyNumberFormat="1" applyFont="1" applyFill="1" applyBorder="1" applyAlignment="1">
      <alignment vertical="center"/>
    </xf>
    <xf numFmtId="3" fontId="67" fillId="0" borderId="14" xfId="0" applyNumberFormat="1" applyFont="1" applyFill="1" applyBorder="1" applyAlignment="1">
      <alignment vertical="center"/>
    </xf>
    <xf numFmtId="0" fontId="67" fillId="0" borderId="0" xfId="0" applyFont="1" applyFill="1" applyAlignment="1">
      <alignment/>
    </xf>
    <xf numFmtId="3" fontId="67" fillId="0" borderId="0" xfId="0" applyNumberFormat="1" applyFont="1" applyFill="1" applyAlignment="1">
      <alignment/>
    </xf>
    <xf numFmtId="3" fontId="67" fillId="54" borderId="31" xfId="0" applyNumberFormat="1" applyFont="1" applyFill="1" applyBorder="1" applyAlignment="1">
      <alignment vertical="center"/>
    </xf>
    <xf numFmtId="3" fontId="66" fillId="0" borderId="85" xfId="0" applyNumberFormat="1" applyFont="1" applyFill="1" applyBorder="1" applyAlignment="1">
      <alignment vertical="center"/>
    </xf>
    <xf numFmtId="0" fontId="67" fillId="0" borderId="32" xfId="0" applyFont="1" applyFill="1" applyBorder="1" applyAlignment="1">
      <alignment vertical="center" wrapText="1"/>
    </xf>
    <xf numFmtId="3" fontId="66" fillId="0" borderId="0" xfId="0" applyNumberFormat="1" applyFont="1" applyFill="1" applyBorder="1" applyAlignment="1">
      <alignment vertical="center"/>
    </xf>
    <xf numFmtId="0" fontId="66" fillId="0" borderId="33" xfId="0" applyFont="1" applyFill="1" applyBorder="1" applyAlignment="1">
      <alignment horizontal="left" vertical="center" wrapText="1"/>
    </xf>
    <xf numFmtId="0" fontId="66" fillId="0" borderId="33" xfId="0" applyFont="1" applyFill="1" applyBorder="1" applyAlignment="1">
      <alignment vertical="center" wrapText="1"/>
    </xf>
    <xf numFmtId="3" fontId="66" fillId="0" borderId="33" xfId="0" applyNumberFormat="1" applyFont="1" applyFill="1" applyBorder="1" applyAlignment="1">
      <alignment vertical="center"/>
    </xf>
    <xf numFmtId="3" fontId="66" fillId="0" borderId="37" xfId="0" applyNumberFormat="1" applyFont="1" applyFill="1" applyBorder="1" applyAlignment="1">
      <alignment vertical="center"/>
    </xf>
    <xf numFmtId="3" fontId="67" fillId="0" borderId="32" xfId="0" applyNumberFormat="1" applyFont="1" applyFill="1" applyBorder="1" applyAlignment="1">
      <alignment vertical="center"/>
    </xf>
    <xf numFmtId="3" fontId="67" fillId="0" borderId="29" xfId="0" applyNumberFormat="1" applyFont="1" applyFill="1" applyBorder="1" applyAlignment="1">
      <alignment vertical="center"/>
    </xf>
    <xf numFmtId="0" fontId="32" fillId="0" borderId="0" xfId="99" applyFont="1" applyFill="1" applyBorder="1" applyAlignment="1">
      <alignment horizontal="center"/>
      <protection/>
    </xf>
    <xf numFmtId="0" fontId="25" fillId="0" borderId="109" xfId="99" applyFont="1" applyFill="1" applyBorder="1">
      <alignment/>
      <protection/>
    </xf>
    <xf numFmtId="0" fontId="25" fillId="0" borderId="17" xfId="99" applyFont="1" applyFill="1" applyBorder="1" applyAlignment="1">
      <alignment horizontal="left"/>
      <protection/>
    </xf>
    <xf numFmtId="0" fontId="25" fillId="0" borderId="34" xfId="99" applyFont="1" applyFill="1" applyBorder="1">
      <alignment/>
      <protection/>
    </xf>
    <xf numFmtId="3" fontId="25" fillId="0" borderId="20" xfId="99" applyNumberFormat="1" applyFont="1" applyFill="1" applyBorder="1">
      <alignment/>
      <protection/>
    </xf>
    <xf numFmtId="0" fontId="25" fillId="0" borderId="110" xfId="99" applyFont="1" applyFill="1" applyBorder="1">
      <alignment/>
      <protection/>
    </xf>
    <xf numFmtId="0" fontId="25" fillId="0" borderId="24" xfId="99" applyFont="1" applyFill="1" applyBorder="1" applyAlignment="1">
      <alignment horizontal="left"/>
      <protection/>
    </xf>
    <xf numFmtId="0" fontId="25" fillId="0" borderId="56" xfId="99" applyFont="1" applyFill="1" applyBorder="1">
      <alignment/>
      <protection/>
    </xf>
    <xf numFmtId="0" fontId="25" fillId="0" borderId="41" xfId="99" applyFont="1" applyFill="1" applyBorder="1" applyAlignment="1">
      <alignment horizontal="left"/>
      <protection/>
    </xf>
    <xf numFmtId="0" fontId="25" fillId="0" borderId="42" xfId="99" applyFont="1" applyFill="1" applyBorder="1">
      <alignment/>
      <protection/>
    </xf>
    <xf numFmtId="0" fontId="27" fillId="0" borderId="17" xfId="99" applyFont="1" applyFill="1" applyBorder="1" applyAlignment="1">
      <alignment horizontal="left"/>
      <protection/>
    </xf>
    <xf numFmtId="0" fontId="27" fillId="0" borderId="22" xfId="99" applyFont="1" applyFill="1" applyBorder="1" applyAlignment="1">
      <alignment horizontal="left"/>
      <protection/>
    </xf>
    <xf numFmtId="3" fontId="20" fillId="0" borderId="31" xfId="0" applyNumberFormat="1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/>
    </xf>
    <xf numFmtId="0" fontId="20" fillId="0" borderId="14" xfId="0" applyFont="1" applyBorder="1" applyAlignment="1">
      <alignment/>
    </xf>
    <xf numFmtId="3" fontId="20" fillId="0" borderId="31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3" fontId="50" fillId="0" borderId="31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3" fontId="20" fillId="0" borderId="32" xfId="0" applyNumberFormat="1" applyFont="1" applyBorder="1" applyAlignment="1">
      <alignment/>
    </xf>
    <xf numFmtId="3" fontId="20" fillId="0" borderId="29" xfId="0" applyNumberFormat="1" applyFont="1" applyBorder="1" applyAlignment="1">
      <alignment/>
    </xf>
    <xf numFmtId="3" fontId="20" fillId="0" borderId="54" xfId="0" applyNumberFormat="1" applyFont="1" applyBorder="1" applyAlignment="1">
      <alignment horizontal="center" vertical="center" wrapText="1"/>
    </xf>
    <xf numFmtId="3" fontId="20" fillId="0" borderId="37" xfId="0" applyNumberFormat="1" applyFont="1" applyBorder="1" applyAlignment="1">
      <alignment/>
    </xf>
    <xf numFmtId="3" fontId="22" fillId="0" borderId="89" xfId="0" applyNumberFormat="1" applyFont="1" applyBorder="1" applyAlignment="1">
      <alignment/>
    </xf>
    <xf numFmtId="3" fontId="22" fillId="0" borderId="89" xfId="0" applyNumberFormat="1" applyFont="1" applyBorder="1" applyAlignment="1">
      <alignment/>
    </xf>
    <xf numFmtId="3" fontId="20" fillId="0" borderId="89" xfId="0" applyNumberFormat="1" applyFont="1" applyBorder="1" applyAlignment="1">
      <alignment/>
    </xf>
    <xf numFmtId="3" fontId="22" fillId="0" borderId="89" xfId="0" applyNumberFormat="1" applyFont="1" applyBorder="1" applyAlignment="1">
      <alignment horizontal="right" wrapText="1"/>
    </xf>
    <xf numFmtId="3" fontId="20" fillId="0" borderId="89" xfId="0" applyNumberFormat="1" applyFont="1" applyBorder="1" applyAlignment="1">
      <alignment horizontal="right" wrapText="1"/>
    </xf>
    <xf numFmtId="3" fontId="20" fillId="0" borderId="14" xfId="0" applyNumberFormat="1" applyFont="1" applyBorder="1" applyAlignment="1">
      <alignment/>
    </xf>
    <xf numFmtId="3" fontId="20" fillId="0" borderId="29" xfId="0" applyNumberFormat="1" applyFont="1" applyBorder="1" applyAlignment="1">
      <alignment/>
    </xf>
    <xf numFmtId="0" fontId="25" fillId="0" borderId="111" xfId="99" applyFont="1" applyFill="1" applyBorder="1" applyAlignment="1">
      <alignment horizontal="left"/>
      <protection/>
    </xf>
    <xf numFmtId="3" fontId="27" fillId="0" borderId="22" xfId="99" applyNumberFormat="1" applyFont="1" applyFill="1" applyBorder="1" applyAlignment="1">
      <alignment/>
      <protection/>
    </xf>
    <xf numFmtId="3" fontId="27" fillId="0" borderId="23" xfId="99" applyNumberFormat="1" applyFont="1" applyFill="1" applyBorder="1" applyAlignment="1">
      <alignment/>
      <protection/>
    </xf>
    <xf numFmtId="0" fontId="66" fillId="0" borderId="0" xfId="0" applyFont="1" applyFill="1" applyBorder="1" applyAlignment="1">
      <alignment horizontal="center" vertical="center"/>
    </xf>
    <xf numFmtId="0" fontId="67" fillId="0" borderId="33" xfId="0" applyFont="1" applyFill="1" applyBorder="1" applyAlignment="1">
      <alignment horizontal="center" vertical="center" wrapText="1"/>
    </xf>
    <xf numFmtId="0" fontId="67" fillId="0" borderId="31" xfId="0" applyFont="1" applyFill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center" vertical="center"/>
    </xf>
    <xf numFmtId="0" fontId="67" fillId="0" borderId="31" xfId="0" applyFont="1" applyFill="1" applyBorder="1" applyAlignment="1">
      <alignment horizontal="left" vertical="center" wrapText="1"/>
    </xf>
    <xf numFmtId="0" fontId="67" fillId="0" borderId="32" xfId="0" applyFont="1" applyFill="1" applyBorder="1" applyAlignment="1">
      <alignment horizontal="left" vertical="center" wrapText="1"/>
    </xf>
    <xf numFmtId="0" fontId="25" fillId="0" borderId="87" xfId="99" applyFont="1" applyFill="1" applyBorder="1" applyAlignment="1">
      <alignment horizontal="left"/>
      <protection/>
    </xf>
    <xf numFmtId="3" fontId="50" fillId="0" borderId="14" xfId="0" applyNumberFormat="1" applyFont="1" applyBorder="1" applyAlignment="1">
      <alignment/>
    </xf>
    <xf numFmtId="0" fontId="20" fillId="0" borderId="66" xfId="105" applyFont="1" applyBorder="1" applyAlignment="1">
      <alignment wrapText="1"/>
      <protection/>
    </xf>
    <xf numFmtId="0" fontId="20" fillId="0" borderId="65" xfId="105" applyFont="1" applyBorder="1" applyAlignment="1">
      <alignment horizontal="left" wrapText="1"/>
      <protection/>
    </xf>
    <xf numFmtId="0" fontId="20" fillId="0" borderId="67" xfId="105" applyFont="1" applyBorder="1" applyAlignment="1">
      <alignment wrapText="1"/>
      <protection/>
    </xf>
    <xf numFmtId="0" fontId="22" fillId="0" borderId="67" xfId="105" applyFont="1" applyBorder="1" applyAlignment="1">
      <alignment wrapText="1"/>
      <protection/>
    </xf>
    <xf numFmtId="0" fontId="22" fillId="0" borderId="67" xfId="110" applyFont="1" applyBorder="1" applyAlignment="1">
      <alignment wrapText="1"/>
      <protection/>
    </xf>
    <xf numFmtId="0" fontId="40" fillId="0" borderId="67" xfId="107" applyFont="1" applyBorder="1" applyAlignment="1">
      <alignment wrapText="1"/>
      <protection/>
    </xf>
    <xf numFmtId="49" fontId="40" fillId="0" borderId="67" xfId="107" applyNumberFormat="1" applyFont="1" applyBorder="1" applyAlignment="1">
      <alignment wrapText="1"/>
      <protection/>
    </xf>
    <xf numFmtId="0" fontId="22" fillId="0" borderId="67" xfId="110" applyFont="1" applyBorder="1" applyAlignment="1">
      <alignment wrapText="1" shrinkToFit="1"/>
      <protection/>
    </xf>
    <xf numFmtId="0" fontId="50" fillId="0" borderId="67" xfId="110" applyFont="1" applyBorder="1" applyAlignment="1">
      <alignment wrapText="1" shrinkToFit="1"/>
      <protection/>
    </xf>
    <xf numFmtId="49" fontId="22" fillId="0" borderId="67" xfId="105" applyNumberFormat="1" applyFont="1" applyBorder="1" applyAlignment="1">
      <alignment wrapText="1"/>
      <protection/>
    </xf>
    <xf numFmtId="0" fontId="50" fillId="0" borderId="67" xfId="105" applyFont="1" applyBorder="1" applyAlignment="1">
      <alignment wrapText="1"/>
      <protection/>
    </xf>
    <xf numFmtId="0" fontId="50" fillId="0" borderId="70" xfId="105" applyFont="1" applyBorder="1" applyAlignment="1">
      <alignment wrapText="1"/>
      <protection/>
    </xf>
    <xf numFmtId="0" fontId="22" fillId="0" borderId="63" xfId="105" applyFont="1" applyBorder="1" applyAlignment="1">
      <alignment wrapText="1"/>
      <protection/>
    </xf>
    <xf numFmtId="0" fontId="20" fillId="0" borderId="76" xfId="105" applyFont="1" applyBorder="1" applyAlignment="1">
      <alignment wrapText="1"/>
      <protection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13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0" fillId="0" borderId="31" xfId="0" applyBorder="1" applyAlignment="1">
      <alignment/>
    </xf>
    <xf numFmtId="49" fontId="20" fillId="0" borderId="13" xfId="0" applyNumberFormat="1" applyFont="1" applyBorder="1" applyAlignment="1">
      <alignment horizontal="left" wrapText="1"/>
    </xf>
    <xf numFmtId="49" fontId="20" fillId="0" borderId="31" xfId="0" applyNumberFormat="1" applyFont="1" applyBorder="1" applyAlignment="1">
      <alignment horizontal="left" wrapText="1"/>
    </xf>
    <xf numFmtId="0" fontId="20" fillId="0" borderId="106" xfId="0" applyFont="1" applyBorder="1" applyAlignment="1">
      <alignment horizontal="center"/>
    </xf>
    <xf numFmtId="0" fontId="20" fillId="0" borderId="1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113" xfId="0" applyFont="1" applyBorder="1" applyAlignment="1">
      <alignment horizontal="center" vertical="center" wrapText="1"/>
    </xf>
    <xf numFmtId="0" fontId="20" fillId="0" borderId="114" xfId="0" applyFont="1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20" fillId="0" borderId="65" xfId="105" applyFont="1" applyBorder="1" applyAlignment="1">
      <alignment horizontal="center"/>
      <protection/>
    </xf>
    <xf numFmtId="0" fontId="20" fillId="0" borderId="116" xfId="105" applyFont="1" applyBorder="1" applyAlignment="1">
      <alignment horizontal="center"/>
      <protection/>
    </xf>
    <xf numFmtId="0" fontId="0" fillId="0" borderId="116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116" xfId="0" applyFont="1" applyBorder="1" applyAlignment="1">
      <alignment/>
    </xf>
    <xf numFmtId="0" fontId="0" fillId="0" borderId="83" xfId="0" applyFont="1" applyBorder="1" applyAlignment="1">
      <alignment/>
    </xf>
    <xf numFmtId="0" fontId="20" fillId="0" borderId="0" xfId="105" applyFont="1" applyBorder="1" applyAlignment="1">
      <alignment horizontal="center"/>
      <protection/>
    </xf>
    <xf numFmtId="0" fontId="29" fillId="0" borderId="0" xfId="0" applyFont="1" applyAlignment="1">
      <alignment horizontal="center" shrinkToFit="1"/>
    </xf>
    <xf numFmtId="0" fontId="29" fillId="0" borderId="43" xfId="0" applyFont="1" applyBorder="1" applyAlignment="1">
      <alignment horizontal="center" vertical="center"/>
    </xf>
    <xf numFmtId="0" fontId="28" fillId="0" borderId="114" xfId="0" applyFont="1" applyBorder="1" applyAlignment="1">
      <alignment/>
    </xf>
    <xf numFmtId="0" fontId="0" fillId="0" borderId="115" xfId="0" applyBorder="1" applyAlignment="1">
      <alignment/>
    </xf>
    <xf numFmtId="0" fontId="29" fillId="0" borderId="43" xfId="0" applyFont="1" applyBorder="1" applyAlignment="1">
      <alignment horizontal="center" vertical="center" wrapText="1"/>
    </xf>
    <xf numFmtId="0" fontId="28" fillId="0" borderId="114" xfId="0" applyFont="1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29" fillId="0" borderId="118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43" xfId="0" applyFont="1" applyBorder="1" applyAlignment="1">
      <alignment horizontal="center" vertical="center" wrapText="1"/>
    </xf>
    <xf numFmtId="0" fontId="43" fillId="0" borderId="114" xfId="0" applyFont="1" applyBorder="1" applyAlignment="1">
      <alignment horizontal="center" vertical="center" wrapText="1"/>
    </xf>
    <xf numFmtId="0" fontId="56" fillId="0" borderId="117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/>
    </xf>
    <xf numFmtId="0" fontId="43" fillId="0" borderId="114" xfId="0" applyFont="1" applyBorder="1" applyAlignment="1">
      <alignment/>
    </xf>
    <xf numFmtId="0" fontId="56" fillId="0" borderId="115" xfId="0" applyFont="1" applyBorder="1" applyAlignment="1">
      <alignment/>
    </xf>
    <xf numFmtId="0" fontId="42" fillId="0" borderId="118" xfId="0" applyFont="1" applyBorder="1" applyAlignment="1">
      <alignment horizontal="center" vertical="center" wrapText="1"/>
    </xf>
    <xf numFmtId="0" fontId="43" fillId="0" borderId="25" xfId="0" applyFont="1" applyBorder="1" applyAlignment="1">
      <alignment wrapText="1"/>
    </xf>
    <xf numFmtId="0" fontId="27" fillId="0" borderId="19" xfId="99" applyFont="1" applyFill="1" applyBorder="1" applyAlignment="1">
      <alignment horizontal="left"/>
      <protection/>
    </xf>
    <xf numFmtId="3" fontId="27" fillId="0" borderId="19" xfId="99" applyNumberFormat="1" applyFont="1" applyFill="1" applyBorder="1" applyAlignment="1">
      <alignment horizontal="center" vertical="center" wrapText="1"/>
      <protection/>
    </xf>
    <xf numFmtId="0" fontId="0" fillId="0" borderId="22" xfId="110" applyFont="1" applyBorder="1" applyAlignment="1">
      <alignment horizontal="center" vertical="center" wrapText="1"/>
      <protection/>
    </xf>
    <xf numFmtId="0" fontId="27" fillId="0" borderId="24" xfId="99" applyFont="1" applyFill="1" applyBorder="1" applyAlignment="1">
      <alignment horizontal="center"/>
      <protection/>
    </xf>
    <xf numFmtId="0" fontId="0" fillId="0" borderId="24" xfId="110" applyFont="1" applyBorder="1" applyAlignment="1">
      <alignment horizontal="center"/>
      <protection/>
    </xf>
    <xf numFmtId="0" fontId="27" fillId="0" borderId="19" xfId="99" applyFont="1" applyFill="1" applyBorder="1" applyAlignment="1">
      <alignment horizontal="center" vertical="center" wrapText="1"/>
      <protection/>
    </xf>
    <xf numFmtId="0" fontId="27" fillId="0" borderId="22" xfId="99" applyFont="1" applyFill="1" applyBorder="1" applyAlignment="1">
      <alignment horizontal="center" vertical="center" wrapText="1"/>
      <protection/>
    </xf>
    <xf numFmtId="0" fontId="27" fillId="0" borderId="19" xfId="99" applyFont="1" applyFill="1" applyBorder="1" applyAlignment="1">
      <alignment horizontal="left"/>
      <protection/>
    </xf>
    <xf numFmtId="0" fontId="27" fillId="0" borderId="24" xfId="99" applyFont="1" applyFill="1" applyBorder="1" applyAlignment="1">
      <alignment horizontal="center" vertical="center"/>
      <protection/>
    </xf>
    <xf numFmtId="0" fontId="27" fillId="0" borderId="19" xfId="99" applyFont="1" applyFill="1" applyBorder="1" applyAlignment="1">
      <alignment horizontal="center" vertical="center"/>
      <protection/>
    </xf>
    <xf numFmtId="0" fontId="27" fillId="0" borderId="22" xfId="99" applyFont="1" applyFill="1" applyBorder="1" applyAlignment="1">
      <alignment horizontal="center" vertical="center"/>
      <protection/>
    </xf>
    <xf numFmtId="0" fontId="27" fillId="0" borderId="0" xfId="99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7" fillId="0" borderId="56" xfId="99" applyFont="1" applyFill="1" applyBorder="1" applyAlignment="1">
      <alignment horizontal="center"/>
      <protection/>
    </xf>
    <xf numFmtId="0" fontId="27" fillId="0" borderId="119" xfId="99" applyFont="1" applyFill="1" applyBorder="1" applyAlignment="1">
      <alignment horizontal="center" vertical="center"/>
      <protection/>
    </xf>
    <xf numFmtId="0" fontId="27" fillId="0" borderId="120" xfId="99" applyFont="1" applyFill="1" applyBorder="1" applyAlignment="1">
      <alignment horizontal="center" vertical="center"/>
      <protection/>
    </xf>
    <xf numFmtId="0" fontId="27" fillId="0" borderId="121" xfId="99" applyFont="1" applyFill="1" applyBorder="1" applyAlignment="1">
      <alignment horizontal="center" vertical="center"/>
      <protection/>
    </xf>
    <xf numFmtId="0" fontId="27" fillId="0" borderId="77" xfId="99" applyFont="1" applyFill="1" applyBorder="1" applyAlignment="1">
      <alignment horizontal="center" vertical="center"/>
      <protection/>
    </xf>
    <xf numFmtId="0" fontId="27" fillId="0" borderId="0" xfId="99" applyFont="1" applyFill="1" applyBorder="1" applyAlignment="1">
      <alignment horizontal="center" vertical="center"/>
      <protection/>
    </xf>
    <xf numFmtId="0" fontId="27" fillId="0" borderId="122" xfId="99" applyFont="1" applyFill="1" applyBorder="1" applyAlignment="1">
      <alignment horizontal="center" vertical="center"/>
      <protection/>
    </xf>
    <xf numFmtId="0" fontId="27" fillId="0" borderId="79" xfId="99" applyFont="1" applyFill="1" applyBorder="1" applyAlignment="1">
      <alignment horizontal="center" vertical="center"/>
      <protection/>
    </xf>
    <xf numFmtId="0" fontId="27" fillId="0" borderId="73" xfId="99" applyFont="1" applyFill="1" applyBorder="1" applyAlignment="1">
      <alignment horizontal="center" vertical="center"/>
      <protection/>
    </xf>
    <xf numFmtId="0" fontId="27" fillId="0" borderId="123" xfId="99" applyFont="1" applyFill="1" applyBorder="1" applyAlignment="1">
      <alignment horizontal="center" vertical="center"/>
      <protection/>
    </xf>
    <xf numFmtId="0" fontId="32" fillId="0" borderId="0" xfId="99" applyFont="1" applyFill="1" applyBorder="1" applyAlignment="1">
      <alignment horizontal="center"/>
      <protection/>
    </xf>
    <xf numFmtId="0" fontId="27" fillId="0" borderId="24" xfId="98" applyFont="1" applyFill="1" applyBorder="1" applyAlignment="1">
      <alignment horizontal="center" vertical="center"/>
      <protection/>
    </xf>
    <xf numFmtId="0" fontId="27" fillId="0" borderId="19" xfId="98" applyFont="1" applyFill="1" applyBorder="1" applyAlignment="1">
      <alignment horizontal="center" vertical="center"/>
      <protection/>
    </xf>
    <xf numFmtId="0" fontId="27" fillId="0" borderId="22" xfId="98" applyFont="1" applyFill="1" applyBorder="1" applyAlignment="1">
      <alignment horizontal="center" vertical="center"/>
      <protection/>
    </xf>
    <xf numFmtId="0" fontId="27" fillId="0" borderId="20" xfId="99" applyFont="1" applyFill="1" applyBorder="1" applyAlignment="1">
      <alignment horizontal="center" vertical="center" wrapText="1"/>
      <protection/>
    </xf>
    <xf numFmtId="0" fontId="0" fillId="0" borderId="23" xfId="110" applyFont="1" applyBorder="1" applyAlignment="1">
      <alignment horizontal="center" vertical="center" wrapText="1"/>
      <protection/>
    </xf>
    <xf numFmtId="0" fontId="47" fillId="0" borderId="20" xfId="99" applyFont="1" applyFill="1" applyBorder="1" applyAlignment="1">
      <alignment horizontal="center" vertical="center" wrapText="1"/>
      <protection/>
    </xf>
    <xf numFmtId="0" fontId="47" fillId="0" borderId="23" xfId="99" applyFont="1" applyFill="1" applyBorder="1" applyAlignment="1">
      <alignment horizontal="center" vertical="center" wrapText="1"/>
      <protection/>
    </xf>
    <xf numFmtId="0" fontId="27" fillId="0" borderId="0" xfId="99" applyFont="1" applyFill="1" applyBorder="1" applyAlignment="1">
      <alignment/>
      <protection/>
    </xf>
    <xf numFmtId="0" fontId="46" fillId="0" borderId="0" xfId="99" applyFont="1" applyFill="1" applyBorder="1" applyAlignment="1">
      <alignment horizontal="center"/>
      <protection/>
    </xf>
    <xf numFmtId="0" fontId="42" fillId="0" borderId="0" xfId="99" applyFont="1" applyFill="1" applyBorder="1" applyAlignment="1">
      <alignment horizontal="center"/>
      <protection/>
    </xf>
    <xf numFmtId="0" fontId="47" fillId="0" borderId="18" xfId="99" applyFont="1" applyFill="1" applyBorder="1" applyAlignment="1">
      <alignment horizontal="left" vertical="center"/>
      <protection/>
    </xf>
    <xf numFmtId="0" fontId="47" fillId="0" borderId="19" xfId="99" applyFont="1" applyFill="1" applyBorder="1" applyAlignment="1">
      <alignment horizontal="left" vertical="center"/>
      <protection/>
    </xf>
    <xf numFmtId="0" fontId="47" fillId="0" borderId="109" xfId="99" applyFont="1" applyFill="1" applyBorder="1" applyAlignment="1">
      <alignment horizontal="left" vertical="center"/>
      <protection/>
    </xf>
    <xf numFmtId="0" fontId="47" fillId="0" borderId="17" xfId="99" applyFont="1" applyFill="1" applyBorder="1" applyAlignment="1">
      <alignment horizontal="left" vertical="center"/>
      <protection/>
    </xf>
    <xf numFmtId="0" fontId="27" fillId="0" borderId="110" xfId="99" applyFont="1" applyFill="1" applyBorder="1" applyAlignment="1">
      <alignment horizontal="center" vertical="center"/>
      <protection/>
    </xf>
    <xf numFmtId="0" fontId="27" fillId="0" borderId="18" xfId="99" applyFont="1" applyFill="1" applyBorder="1" applyAlignment="1">
      <alignment horizontal="center" vertical="center"/>
      <protection/>
    </xf>
    <xf numFmtId="0" fontId="27" fillId="0" borderId="21" xfId="99" applyFont="1" applyFill="1" applyBorder="1" applyAlignment="1">
      <alignment horizontal="center" vertical="center"/>
      <protection/>
    </xf>
    <xf numFmtId="0" fontId="27" fillId="0" borderId="18" xfId="99" applyFont="1" applyFill="1" applyBorder="1" applyAlignment="1">
      <alignment horizontal="left" vertical="center"/>
      <protection/>
    </xf>
    <xf numFmtId="0" fontId="27" fillId="0" borderId="19" xfId="99" applyFont="1" applyFill="1" applyBorder="1" applyAlignment="1">
      <alignment horizontal="left" vertical="center"/>
      <protection/>
    </xf>
    <xf numFmtId="0" fontId="47" fillId="0" borderId="110" xfId="99" applyFont="1" applyFill="1" applyBorder="1" applyAlignment="1">
      <alignment horizontal="left" vertical="center"/>
      <protection/>
    </xf>
    <xf numFmtId="0" fontId="47" fillId="0" borderId="24" xfId="99" applyFont="1" applyFill="1" applyBorder="1" applyAlignment="1">
      <alignment horizontal="left" vertical="center"/>
      <protection/>
    </xf>
    <xf numFmtId="0" fontId="67" fillId="0" borderId="13" xfId="0" applyFont="1" applyFill="1" applyBorder="1" applyAlignment="1">
      <alignment horizontal="left" vertical="center" wrapText="1"/>
    </xf>
    <xf numFmtId="0" fontId="67" fillId="0" borderId="55" xfId="0" applyFont="1" applyFill="1" applyBorder="1" applyAlignment="1">
      <alignment horizontal="left" vertical="center" wrapText="1"/>
    </xf>
    <xf numFmtId="0" fontId="67" fillId="0" borderId="59" xfId="0" applyFont="1" applyFill="1" applyBorder="1" applyAlignment="1">
      <alignment horizontal="left" vertical="center" wrapText="1"/>
    </xf>
    <xf numFmtId="0" fontId="67" fillId="0" borderId="124" xfId="0" applyFont="1" applyFill="1" applyBorder="1" applyAlignment="1">
      <alignment horizontal="left" vertical="center" wrapText="1"/>
    </xf>
    <xf numFmtId="0" fontId="67" fillId="0" borderId="100" xfId="0" applyFont="1" applyFill="1" applyBorder="1" applyAlignment="1">
      <alignment horizontal="left" vertical="center" wrapText="1"/>
    </xf>
    <xf numFmtId="0" fontId="67" fillId="0" borderId="25" xfId="0" applyFont="1" applyFill="1" applyBorder="1" applyAlignment="1">
      <alignment horizontal="left" vertical="center" wrapText="1"/>
    </xf>
    <xf numFmtId="0" fontId="67" fillId="0" borderId="16" xfId="0" applyFont="1" applyFill="1" applyBorder="1" applyAlignment="1">
      <alignment horizontal="left" vertical="center" wrapText="1"/>
    </xf>
    <xf numFmtId="0" fontId="67" fillId="0" borderId="28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100" xfId="0" applyFont="1" applyFill="1" applyBorder="1" applyAlignment="1">
      <alignment horizontal="left" vertical="center" wrapText="1"/>
    </xf>
    <xf numFmtId="0" fontId="66" fillId="0" borderId="26" xfId="0" applyFont="1" applyFill="1" applyBorder="1" applyAlignment="1">
      <alignment horizontal="left" vertical="center" wrapText="1"/>
    </xf>
    <xf numFmtId="0" fontId="66" fillId="0" borderId="25" xfId="0" applyFont="1" applyFill="1" applyBorder="1" applyAlignment="1">
      <alignment horizontal="left" vertical="center" wrapText="1"/>
    </xf>
    <xf numFmtId="0" fontId="67" fillId="0" borderId="39" xfId="0" applyFont="1" applyFill="1" applyBorder="1" applyAlignment="1">
      <alignment horizontal="left" vertical="center" wrapText="1"/>
    </xf>
    <xf numFmtId="0" fontId="67" fillId="0" borderId="26" xfId="0" applyFont="1" applyFill="1" applyBorder="1" applyAlignment="1">
      <alignment horizontal="left" vertical="center" wrapText="1"/>
    </xf>
    <xf numFmtId="0" fontId="66" fillId="0" borderId="15" xfId="0" applyFont="1" applyFill="1" applyBorder="1" applyAlignment="1">
      <alignment horizontal="left" vertical="center" wrapText="1"/>
    </xf>
    <xf numFmtId="0" fontId="66" fillId="0" borderId="118" xfId="0" applyFont="1" applyFill="1" applyBorder="1" applyAlignment="1">
      <alignment horizontal="left" vertical="center" wrapText="1"/>
    </xf>
    <xf numFmtId="0" fontId="67" fillId="0" borderId="33" xfId="0" applyFont="1" applyFill="1" applyBorder="1" applyAlignment="1">
      <alignment horizontal="center" vertical="center" wrapText="1"/>
    </xf>
    <xf numFmtId="0" fontId="67" fillId="0" borderId="31" xfId="0" applyFont="1" applyFill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center" vertical="center"/>
    </xf>
    <xf numFmtId="0" fontId="67" fillId="0" borderId="37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left" vertical="center" wrapText="1"/>
    </xf>
    <xf numFmtId="0" fontId="66" fillId="0" borderId="0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27" fillId="0" borderId="0" xfId="103" applyFont="1" applyFill="1" applyBorder="1" applyAlignment="1">
      <alignment horizontal="center" vertical="center"/>
      <protection/>
    </xf>
    <xf numFmtId="0" fontId="49" fillId="0" borderId="119" xfId="103" applyFont="1" applyFill="1" applyBorder="1" applyAlignment="1">
      <alignment horizontal="center" vertical="center" wrapText="1"/>
      <protection/>
    </xf>
    <xf numFmtId="0" fontId="49" fillId="0" borderId="121" xfId="103" applyFont="1" applyFill="1" applyBorder="1" applyAlignment="1">
      <alignment horizontal="center" vertical="center" wrapText="1"/>
      <protection/>
    </xf>
    <xf numFmtId="0" fontId="49" fillId="0" borderId="75" xfId="103" applyFont="1" applyFill="1" applyBorder="1" applyAlignment="1">
      <alignment horizontal="center" vertical="center" wrapText="1"/>
      <protection/>
    </xf>
    <xf numFmtId="0" fontId="49" fillId="0" borderId="125" xfId="103" applyFont="1" applyFill="1" applyBorder="1" applyAlignment="1">
      <alignment horizontal="center" vertical="center" wrapText="1"/>
      <protection/>
    </xf>
    <xf numFmtId="0" fontId="49" fillId="0" borderId="90" xfId="103" applyFont="1" applyFill="1" applyBorder="1" applyAlignment="1">
      <alignment horizontal="center" vertical="center" wrapText="1"/>
      <protection/>
    </xf>
    <xf numFmtId="0" fontId="49" fillId="0" borderId="17" xfId="103" applyFont="1" applyFill="1" applyBorder="1" applyAlignment="1">
      <alignment horizontal="center" vertical="center" wrapText="1"/>
      <protection/>
    </xf>
    <xf numFmtId="0" fontId="49" fillId="0" borderId="126" xfId="103" applyFont="1" applyFill="1" applyBorder="1" applyAlignment="1">
      <alignment horizontal="center" vertical="center" wrapText="1"/>
      <protection/>
    </xf>
    <xf numFmtId="0" fontId="49" fillId="0" borderId="127" xfId="103" applyFont="1" applyFill="1" applyBorder="1" applyAlignment="1">
      <alignment horizontal="center" vertical="center" wrapText="1"/>
      <protection/>
    </xf>
    <xf numFmtId="0" fontId="49" fillId="0" borderId="128" xfId="103" applyFont="1" applyFill="1" applyBorder="1" applyAlignment="1">
      <alignment horizontal="center" vertical="center" wrapText="1"/>
      <protection/>
    </xf>
    <xf numFmtId="0" fontId="49" fillId="0" borderId="34" xfId="103" applyFont="1" applyFill="1" applyBorder="1" applyAlignment="1">
      <alignment horizontal="center" vertical="center" wrapText="1"/>
      <protection/>
    </xf>
    <xf numFmtId="0" fontId="49" fillId="0" borderId="24" xfId="103" applyFont="1" applyFill="1" applyBorder="1" applyAlignment="1">
      <alignment horizontal="center" vertical="center"/>
      <protection/>
    </xf>
    <xf numFmtId="0" fontId="49" fillId="0" borderId="56" xfId="103" applyFont="1" applyFill="1" applyBorder="1" applyAlignment="1">
      <alignment horizontal="center" vertical="center" wrapText="1"/>
      <protection/>
    </xf>
    <xf numFmtId="0" fontId="49" fillId="0" borderId="20" xfId="103" applyFont="1" applyFill="1" applyBorder="1" applyAlignment="1">
      <alignment horizontal="center" vertical="center" wrapText="1"/>
      <protection/>
    </xf>
    <xf numFmtId="0" fontId="60" fillId="54" borderId="0" xfId="101" applyFont="1" applyFill="1" applyAlignment="1">
      <alignment horizontal="center" vertical="center"/>
      <protection/>
    </xf>
    <xf numFmtId="0" fontId="60" fillId="54" borderId="0" xfId="101" applyFont="1" applyFill="1" applyAlignment="1">
      <alignment horizontal="center"/>
      <protection/>
    </xf>
    <xf numFmtId="0" fontId="29" fillId="0" borderId="0" xfId="101" applyFont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29" fillId="0" borderId="0" xfId="101" applyFont="1" applyBorder="1" applyAlignment="1">
      <alignment horizontal="center"/>
      <protection/>
    </xf>
    <xf numFmtId="0" fontId="27" fillId="0" borderId="0" xfId="0" applyFont="1" applyAlignment="1">
      <alignment horizontal="center" wrapText="1"/>
    </xf>
    <xf numFmtId="0" fontId="27" fillId="0" borderId="0" xfId="101" applyFont="1" applyBorder="1" applyAlignment="1">
      <alignment horizontal="center" vertical="center" wrapText="1"/>
      <protection/>
    </xf>
    <xf numFmtId="0" fontId="27" fillId="0" borderId="0" xfId="101" applyFont="1" applyBorder="1" applyAlignment="1">
      <alignment horizontal="center"/>
      <protection/>
    </xf>
    <xf numFmtId="0" fontId="27" fillId="0" borderId="0" xfId="101" applyFont="1" applyBorder="1" applyAlignment="1">
      <alignment wrapText="1"/>
      <protection/>
    </xf>
    <xf numFmtId="0" fontId="29" fillId="0" borderId="0" xfId="101" applyFont="1" applyBorder="1" applyAlignment="1">
      <alignment horizontal="center" vertical="center" wrapText="1"/>
      <protection/>
    </xf>
    <xf numFmtId="0" fontId="29" fillId="0" borderId="0" xfId="101" applyFont="1" applyBorder="1" applyAlignment="1">
      <alignment horizontal="center"/>
      <protection/>
    </xf>
    <xf numFmtId="0" fontId="27" fillId="0" borderId="118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18" xfId="0" applyFont="1" applyBorder="1" applyAlignment="1">
      <alignment horizontal="center" vertical="top" wrapText="1"/>
    </xf>
    <xf numFmtId="0" fontId="27" fillId="0" borderId="28" xfId="0" applyFont="1" applyBorder="1" applyAlignment="1">
      <alignment horizontal="center" vertical="top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19" xfId="100" applyFont="1" applyBorder="1" applyAlignment="1">
      <alignment horizontal="center" vertical="center" wrapText="1"/>
      <protection/>
    </xf>
    <xf numFmtId="0" fontId="27" fillId="0" borderId="22" xfId="100" applyFont="1" applyBorder="1" applyAlignment="1">
      <alignment horizontal="center" vertical="center" wrapText="1"/>
      <protection/>
    </xf>
    <xf numFmtId="0" fontId="27" fillId="0" borderId="110" xfId="100" applyFont="1" applyBorder="1" applyAlignment="1">
      <alignment horizontal="center" vertical="center" wrapText="1"/>
      <protection/>
    </xf>
    <xf numFmtId="0" fontId="27" fillId="0" borderId="24" xfId="100" applyFont="1" applyBorder="1" applyAlignment="1">
      <alignment horizontal="center" vertical="center" wrapText="1"/>
      <protection/>
    </xf>
    <xf numFmtId="0" fontId="27" fillId="0" borderId="18" xfId="100" applyFont="1" applyBorder="1" applyAlignment="1">
      <alignment horizontal="center" vertical="center" wrapText="1"/>
      <protection/>
    </xf>
    <xf numFmtId="0" fontId="27" fillId="0" borderId="21" xfId="100" applyFont="1" applyBorder="1" applyAlignment="1">
      <alignment horizontal="center" vertical="center" wrapText="1"/>
      <protection/>
    </xf>
    <xf numFmtId="0" fontId="27" fillId="0" borderId="0" xfId="100" applyFont="1" applyBorder="1" applyAlignment="1">
      <alignment horizontal="center" vertical="center"/>
      <protection/>
    </xf>
    <xf numFmtId="0" fontId="27" fillId="0" borderId="129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126" xfId="100" applyFont="1" applyBorder="1" applyAlignment="1">
      <alignment horizontal="center" vertical="center" wrapText="1"/>
      <protection/>
    </xf>
    <xf numFmtId="0" fontId="27" fillId="0" borderId="116" xfId="100" applyFont="1" applyBorder="1" applyAlignment="1">
      <alignment horizontal="center" vertical="center" wrapText="1"/>
      <protection/>
    </xf>
    <xf numFmtId="0" fontId="0" fillId="0" borderId="116" xfId="0" applyBorder="1" applyAlignment="1">
      <alignment horizontal="center" vertical="center" wrapText="1"/>
    </xf>
    <xf numFmtId="0" fontId="0" fillId="0" borderId="127" xfId="0" applyBorder="1" applyAlignment="1">
      <alignment horizontal="center" vertical="center" wrapText="1"/>
    </xf>
    <xf numFmtId="0" fontId="27" fillId="0" borderId="96" xfId="100" applyFont="1" applyBorder="1" applyAlignment="1">
      <alignment horizontal="center" vertical="center" wrapText="1"/>
      <protection/>
    </xf>
    <xf numFmtId="0" fontId="27" fillId="0" borderId="71" xfId="100" applyFont="1" applyBorder="1" applyAlignment="1">
      <alignment horizontal="center" vertical="center" wrapText="1"/>
      <protection/>
    </xf>
    <xf numFmtId="0" fontId="0" fillId="0" borderId="130" xfId="0" applyBorder="1" applyAlignment="1">
      <alignment horizontal="center" vertical="center" wrapText="1"/>
    </xf>
    <xf numFmtId="0" fontId="27" fillId="0" borderId="41" xfId="100" applyFont="1" applyBorder="1" applyAlignment="1">
      <alignment horizontal="center" vertical="center" wrapText="1"/>
      <protection/>
    </xf>
    <xf numFmtId="0" fontId="0" fillId="0" borderId="92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40" fillId="0" borderId="110" xfId="100" applyFont="1" applyBorder="1" applyAlignment="1">
      <alignment horizontal="left"/>
      <protection/>
    </xf>
    <xf numFmtId="0" fontId="40" fillId="0" borderId="24" xfId="100" applyFont="1" applyBorder="1" applyAlignment="1">
      <alignment horizontal="left"/>
      <protection/>
    </xf>
    <xf numFmtId="0" fontId="40" fillId="0" borderId="109" xfId="100" applyFont="1" applyBorder="1" applyAlignment="1">
      <alignment horizontal="left"/>
      <protection/>
    </xf>
    <xf numFmtId="0" fontId="40" fillId="0" borderId="17" xfId="100" applyFont="1" applyBorder="1" applyAlignment="1">
      <alignment horizontal="left"/>
      <protection/>
    </xf>
    <xf numFmtId="0" fontId="26" fillId="0" borderId="0" xfId="100" applyFont="1" applyFill="1" applyBorder="1" applyAlignment="1">
      <alignment horizontal="center" vertical="center"/>
      <protection/>
    </xf>
    <xf numFmtId="3" fontId="27" fillId="0" borderId="56" xfId="100" applyNumberFormat="1" applyFont="1" applyBorder="1" applyAlignment="1">
      <alignment horizontal="center" vertical="center" wrapText="1"/>
      <protection/>
    </xf>
    <xf numFmtId="3" fontId="27" fillId="0" borderId="20" xfId="100" applyNumberFormat="1" applyFont="1" applyBorder="1" applyAlignment="1">
      <alignment horizontal="center" vertical="center" wrapText="1"/>
      <protection/>
    </xf>
    <xf numFmtId="3" fontId="27" fillId="0" borderId="23" xfId="100" applyNumberFormat="1" applyFont="1" applyBorder="1" applyAlignment="1">
      <alignment horizontal="center" vertical="center" wrapText="1"/>
      <protection/>
    </xf>
    <xf numFmtId="0" fontId="27" fillId="0" borderId="131" xfId="0" applyFont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27" fillId="0" borderId="133" xfId="0" applyFont="1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27" fillId="0" borderId="11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0" xfId="102" applyFont="1" applyAlignment="1">
      <alignment horizontal="center"/>
      <protection/>
    </xf>
    <xf numFmtId="0" fontId="26" fillId="0" borderId="0" xfId="102" applyFont="1" applyAlignment="1">
      <alignment horizontal="center"/>
      <protection/>
    </xf>
    <xf numFmtId="0" fontId="0" fillId="0" borderId="0" xfId="0" applyAlignment="1">
      <alignment horizontal="center"/>
    </xf>
    <xf numFmtId="0" fontId="27" fillId="0" borderId="35" xfId="102" applyFont="1" applyBorder="1" applyAlignment="1">
      <alignment horizontal="center"/>
      <protection/>
    </xf>
    <xf numFmtId="0" fontId="27" fillId="0" borderId="99" xfId="102" applyFont="1" applyBorder="1" applyAlignment="1">
      <alignment horizontal="center"/>
      <protection/>
    </xf>
    <xf numFmtId="0" fontId="0" fillId="0" borderId="99" xfId="0" applyBorder="1" applyAlignment="1">
      <alignment horizontal="center"/>
    </xf>
    <xf numFmtId="0" fontId="0" fillId="0" borderId="60" xfId="0" applyBorder="1" applyAlignment="1">
      <alignment horizontal="center"/>
    </xf>
    <xf numFmtId="0" fontId="27" fillId="0" borderId="35" xfId="102" applyFont="1" applyBorder="1" applyAlignment="1">
      <alignment horizontal="center" vertical="center"/>
      <protection/>
    </xf>
    <xf numFmtId="0" fontId="27" fillId="0" borderId="99" xfId="102" applyFont="1" applyBorder="1" applyAlignment="1">
      <alignment horizontal="center" vertical="center"/>
      <protection/>
    </xf>
    <xf numFmtId="0" fontId="0" fillId="0" borderId="9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99" xfId="0" applyBorder="1" applyAlignment="1">
      <alignment/>
    </xf>
    <xf numFmtId="0" fontId="0" fillId="0" borderId="60" xfId="0" applyBorder="1" applyAlignment="1">
      <alignment/>
    </xf>
    <xf numFmtId="0" fontId="42" fillId="0" borderId="31" xfId="108" applyFont="1" applyBorder="1" applyAlignment="1">
      <alignment horizontal="center" vertical="center" wrapText="1"/>
      <protection/>
    </xf>
    <xf numFmtId="0" fontId="42" fillId="0" borderId="32" xfId="108" applyFont="1" applyBorder="1" applyAlignment="1">
      <alignment horizontal="center" vertical="center" wrapText="1"/>
      <protection/>
    </xf>
    <xf numFmtId="0" fontId="42" fillId="0" borderId="14" xfId="108" applyFont="1" applyBorder="1" applyAlignment="1">
      <alignment horizontal="center" vertical="center" wrapText="1"/>
      <protection/>
    </xf>
    <xf numFmtId="0" fontId="42" fillId="0" borderId="0" xfId="108" applyFont="1" applyAlignment="1">
      <alignment horizontal="center"/>
      <protection/>
    </xf>
    <xf numFmtId="0" fontId="42" fillId="0" borderId="33" xfId="108" applyFont="1" applyBorder="1" applyAlignment="1">
      <alignment horizontal="center"/>
      <protection/>
    </xf>
    <xf numFmtId="0" fontId="57" fillId="0" borderId="33" xfId="0" applyFont="1" applyBorder="1" applyAlignment="1">
      <alignment horizontal="center"/>
    </xf>
    <xf numFmtId="0" fontId="57" fillId="0" borderId="37" xfId="0" applyFont="1" applyBorder="1" applyAlignment="1">
      <alignment horizontal="center"/>
    </xf>
    <xf numFmtId="0" fontId="42" fillId="0" borderId="118" xfId="108" applyFont="1" applyBorder="1" applyAlignment="1">
      <alignment horizontal="center" vertical="center" wrapText="1"/>
      <protection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3" fontId="29" fillId="52" borderId="37" xfId="0" applyNumberFormat="1" applyFont="1" applyFill="1" applyBorder="1" applyAlignment="1">
      <alignment horizontal="center" vertical="center" wrapText="1"/>
    </xf>
    <xf numFmtId="3" fontId="29" fillId="52" borderId="14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33" fillId="0" borderId="0" xfId="0" applyFont="1" applyFill="1" applyAlignment="1">
      <alignment horizontal="center"/>
    </xf>
    <xf numFmtId="3" fontId="29" fillId="52" borderId="33" xfId="0" applyNumberFormat="1" applyFont="1" applyFill="1" applyBorder="1" applyAlignment="1">
      <alignment horizontal="center" vertical="center" wrapText="1"/>
    </xf>
    <xf numFmtId="3" fontId="29" fillId="52" borderId="31" xfId="0" applyNumberFormat="1" applyFont="1" applyFill="1" applyBorder="1" applyAlignment="1">
      <alignment horizontal="center" vertical="center" wrapText="1"/>
    </xf>
    <xf numFmtId="0" fontId="29" fillId="52" borderId="136" xfId="0" applyFont="1" applyFill="1" applyBorder="1" applyAlignment="1">
      <alignment horizontal="center" vertical="center" wrapText="1"/>
    </xf>
    <xf numFmtId="0" fontId="29" fillId="52" borderId="84" xfId="0" applyFont="1" applyFill="1" applyBorder="1" applyAlignment="1">
      <alignment horizontal="center" vertical="center" wrapText="1"/>
    </xf>
    <xf numFmtId="49" fontId="29" fillId="52" borderId="15" xfId="0" applyNumberFormat="1" applyFont="1" applyFill="1" applyBorder="1" applyAlignment="1">
      <alignment horizontal="center" vertical="center"/>
    </xf>
    <xf numFmtId="49" fontId="29" fillId="52" borderId="13" xfId="0" applyNumberFormat="1" applyFont="1" applyFill="1" applyBorder="1" applyAlignment="1">
      <alignment horizontal="center" vertical="center"/>
    </xf>
    <xf numFmtId="0" fontId="29" fillId="52" borderId="33" xfId="0" applyFont="1" applyFill="1" applyBorder="1" applyAlignment="1">
      <alignment horizontal="center"/>
    </xf>
    <xf numFmtId="0" fontId="29" fillId="52" borderId="31" xfId="0" applyFont="1" applyFill="1" applyBorder="1" applyAlignment="1">
      <alignment horizontal="center" vertical="center" wrapText="1"/>
    </xf>
    <xf numFmtId="0" fontId="42" fillId="0" borderId="0" xfId="109" applyFont="1" applyBorder="1" applyAlignment="1">
      <alignment horizontal="center"/>
      <protection/>
    </xf>
  </cellXfs>
  <cellStyles count="10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ott cella" xfId="83"/>
    <cellStyle name="Input" xfId="84"/>
    <cellStyle name="Jegyzet" xfId="85"/>
    <cellStyle name="Jelölőszín (1)" xfId="86"/>
    <cellStyle name="Jelölőszín (2)" xfId="87"/>
    <cellStyle name="Jelölőszín (3)" xfId="88"/>
    <cellStyle name="Jelölőszín (4)" xfId="89"/>
    <cellStyle name="Jelölőszín (5)" xfId="90"/>
    <cellStyle name="Jelölőszín (6)" xfId="91"/>
    <cellStyle name="Jó" xfId="92"/>
    <cellStyle name="Kimenet" xfId="93"/>
    <cellStyle name="Followed Hyperlink" xfId="94"/>
    <cellStyle name="Linked Cell" xfId="95"/>
    <cellStyle name="Magyarázó szöveg" xfId="96"/>
    <cellStyle name="Neutral" xfId="97"/>
    <cellStyle name="Normál_2011 ktv. táblák" xfId="98"/>
    <cellStyle name="Normál_9702KV1_2011 ktv. táblák" xfId="99"/>
    <cellStyle name="Normál_Adósságszolgálat 2012 Brigi" xfId="100"/>
    <cellStyle name="Normál_Beruh.felú-átadott-átvett" xfId="101"/>
    <cellStyle name="Normál_Brigitől kisebbségek" xfId="102"/>
    <cellStyle name="Normál_Intézményi előir.dec. tábla" xfId="103"/>
    <cellStyle name="Normál_Közös Hivatal szakfeladatosa" xfId="104"/>
    <cellStyle name="Normál_KTGVET98" xfId="105"/>
    <cellStyle name="Normál_Kuny Domokos ktgvetés  2013.01.16.-3" xfId="106"/>
    <cellStyle name="Normál_Munkafüzet1" xfId="107"/>
    <cellStyle name="Normál_Munkafüzet1_1" xfId="108"/>
    <cellStyle name="Normál_Munkafüzet3" xfId="109"/>
    <cellStyle name="Normál_Táblák-1" xfId="110"/>
    <cellStyle name="Note" xfId="111"/>
    <cellStyle name="Output" xfId="112"/>
    <cellStyle name="Összesen" xfId="113"/>
    <cellStyle name="Currency" xfId="114"/>
    <cellStyle name="Currency [0]" xfId="115"/>
    <cellStyle name="Rossz" xfId="116"/>
    <cellStyle name="Semleges" xfId="117"/>
    <cellStyle name="Számítás" xfId="118"/>
    <cellStyle name="Percent" xfId="119"/>
    <cellStyle name="Title" xfId="120"/>
    <cellStyle name="Total" xfId="121"/>
    <cellStyle name="Warning Text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Titk&#225;rs&#225;g\Dokumentumok\el&#337;terjeszt&#233;sek\2013\&#193;prilis\Besz&#225;mol&#243;%20janu&#225;r-febru&#225;r\K&#233;sz%20t&#225;bl&#225;k-%201-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OMBOR~1\AppData\Local\Temp\Int&#258;&#169;zm&#258;&#169;nyi%20t&#258;&#711;bla%202014.%20augusztus-rendelet%20m&#258;&#322;dos&#258;&#173;t&#258;&#711;shoz%20m&#225;sol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zomborimonika\Dokumentumok\el&#337;terjeszt&#233;sek\2011\November\Koncepci&#243;\Koncepci&#243;%20sz&#246;veg%20&#233;s%20t&#225;bla\Barbara\Exceleim\Buboros%20t&#225;b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2012.%20k&#246;lts&#233;gvet&#233;si%20t&#225;bl&#225;k%202012%2002%2006-2(K&#246;tv&#233;nyes%20t&#225;bl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Local%20Settings\Temp\2012.%20&#233;vi%20k&#246;lts&#233;gvet&#233;si%20t&#225;bl&#225;k%202010.01.05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DOCUME~1\ZSOMBO~1\LOCALS~1\Temp\DOCUME~1\ZSOMBO~1\LOCALS~1\Temp\Barbara\10.%20mell&#233;klet%20Ic&#225;nak%20(%20cellat&#246;rl&#337;s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Titk&#225;rs&#225;g\Dokumentumok\el&#337;terjeszt&#233;sek\2012\M&#225;jus\T&#225;j&#233;koztat&#243;%20t&#225;bl&#225;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T&#225;j&#233;koztat&#243;%20t&#225;bl&#225;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unkaf&#252;zet1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OMBOR~1\LOCALS~1\Temp\2012.%20&#233;vi%20k&#246;lts&#233;gvet&#233;si%20t&#225;bl&#225;k%202010.01.0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 (2)"/>
      <sheetName val="4.....sz. melléklet"/>
      <sheetName val="5.2. sz. melléklet (2)"/>
      <sheetName val="3.... sz. melléklet"/>
      <sheetName val="5.2. sz. melléklet"/>
      <sheetName val="3.. sz. melléklet"/>
      <sheetName val="4..sz. melléklet"/>
      <sheetName val="Munka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redeti EFt"/>
      <sheetName val="Eredeti EzerFt"/>
      <sheetName val="Eredeti Ft"/>
      <sheetName val="Küldhető"/>
    </sheetNames>
    <sheetDataSet>
      <sheetData sheetId="1">
        <row r="4">
          <cell r="D4">
            <v>7973</v>
          </cell>
          <cell r="E4">
            <v>5729</v>
          </cell>
          <cell r="H4">
            <v>0</v>
          </cell>
          <cell r="I4">
            <v>0</v>
          </cell>
          <cell r="J4">
            <v>0</v>
          </cell>
        </row>
        <row r="6">
          <cell r="D6">
            <v>1648</v>
          </cell>
          <cell r="E6">
            <v>1527</v>
          </cell>
          <cell r="H6">
            <v>0</v>
          </cell>
          <cell r="I6">
            <v>0</v>
          </cell>
          <cell r="J6">
            <v>0</v>
          </cell>
        </row>
        <row r="8">
          <cell r="D8">
            <v>4928</v>
          </cell>
          <cell r="E8">
            <v>4580</v>
          </cell>
          <cell r="H8">
            <v>0</v>
          </cell>
          <cell r="I8">
            <v>0</v>
          </cell>
          <cell r="J8">
            <v>0</v>
          </cell>
        </row>
        <row r="9">
          <cell r="D9">
            <v>11848</v>
          </cell>
          <cell r="E9">
            <v>5171</v>
          </cell>
          <cell r="H9">
            <v>0</v>
          </cell>
          <cell r="I9">
            <v>0</v>
          </cell>
          <cell r="J9">
            <v>0</v>
          </cell>
        </row>
        <row r="10">
          <cell r="D10">
            <v>20293</v>
          </cell>
          <cell r="E10">
            <v>3396</v>
          </cell>
          <cell r="H10">
            <v>0</v>
          </cell>
          <cell r="I10">
            <v>0</v>
          </cell>
          <cell r="J10">
            <v>0</v>
          </cell>
        </row>
        <row r="11">
          <cell r="D11">
            <v>5031</v>
          </cell>
          <cell r="E11">
            <v>4665</v>
          </cell>
          <cell r="H11">
            <v>0</v>
          </cell>
          <cell r="I11">
            <v>505</v>
          </cell>
          <cell r="J11">
            <v>900</v>
          </cell>
        </row>
        <row r="12">
          <cell r="D12">
            <v>1072</v>
          </cell>
          <cell r="E12">
            <v>1072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7636</v>
          </cell>
          <cell r="E13">
            <v>4258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17038</v>
          </cell>
          <cell r="E14">
            <v>14011</v>
          </cell>
          <cell r="H14">
            <v>0</v>
          </cell>
          <cell r="I14">
            <v>0</v>
          </cell>
          <cell r="J14">
            <v>0</v>
          </cell>
        </row>
        <row r="15"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8504</v>
          </cell>
          <cell r="E16">
            <v>8284</v>
          </cell>
          <cell r="H16">
            <v>0</v>
          </cell>
          <cell r="I16">
            <v>0</v>
          </cell>
          <cell r="J16">
            <v>0</v>
          </cell>
        </row>
        <row r="18">
          <cell r="D18">
            <v>23522</v>
          </cell>
          <cell r="E18">
            <v>18374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6892</v>
          </cell>
          <cell r="E19">
            <v>6492</v>
          </cell>
          <cell r="H19">
            <v>0</v>
          </cell>
          <cell r="I19">
            <v>0</v>
          </cell>
          <cell r="J19">
            <v>0</v>
          </cell>
        </row>
        <row r="21">
          <cell r="D21">
            <v>2231</v>
          </cell>
          <cell r="E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D22">
            <v>4452</v>
          </cell>
          <cell r="E22">
            <v>4452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666</v>
          </cell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5">
          <cell r="D25">
            <v>1230</v>
          </cell>
          <cell r="E25">
            <v>0</v>
          </cell>
          <cell r="H25">
            <v>0</v>
          </cell>
          <cell r="I25">
            <v>11868</v>
          </cell>
          <cell r="J25">
            <v>0</v>
          </cell>
        </row>
        <row r="26">
          <cell r="D26">
            <v>0</v>
          </cell>
          <cell r="E26">
            <v>0</v>
          </cell>
          <cell r="H26">
            <v>0</v>
          </cell>
          <cell r="I26">
            <v>99560</v>
          </cell>
          <cell r="J26">
            <v>0</v>
          </cell>
        </row>
      </sheetData>
      <sheetData sheetId="2">
        <row r="4">
          <cell r="A4" t="str">
            <v>Fürdő utcai Óvoda</v>
          </cell>
          <cell r="B4" t="str">
            <v>Eredeti</v>
          </cell>
          <cell r="D4">
            <v>5728768</v>
          </cell>
          <cell r="E4">
            <v>2152749.312</v>
          </cell>
          <cell r="F4">
            <v>0</v>
          </cell>
          <cell r="J4">
            <v>0</v>
          </cell>
          <cell r="N4">
            <v>54555595.088</v>
          </cell>
          <cell r="O4">
            <v>14592645.18</v>
          </cell>
          <cell r="P4">
            <v>17071157.200492</v>
          </cell>
          <cell r="Q4">
            <v>7238144</v>
          </cell>
          <cell r="R4">
            <v>0</v>
          </cell>
          <cell r="S4">
            <v>0</v>
          </cell>
          <cell r="T4">
            <v>1520190</v>
          </cell>
          <cell r="U4">
            <v>0</v>
          </cell>
        </row>
        <row r="6">
          <cell r="A6" t="str">
            <v>Szivárvány Óvoda</v>
          </cell>
          <cell r="B6" t="str">
            <v>Eredeti</v>
          </cell>
          <cell r="D6">
            <v>1526528</v>
          </cell>
          <cell r="E6">
            <v>445063.68000000005</v>
          </cell>
          <cell r="F6">
            <v>0</v>
          </cell>
          <cell r="J6">
            <v>0</v>
          </cell>
          <cell r="N6">
            <v>19132997.76</v>
          </cell>
          <cell r="O6">
            <v>5091711.840000001</v>
          </cell>
          <cell r="P6">
            <v>7162103.177852</v>
          </cell>
          <cell r="Q6">
            <v>3035904</v>
          </cell>
          <cell r="R6">
            <v>0</v>
          </cell>
          <cell r="S6">
            <v>0</v>
          </cell>
          <cell r="T6">
            <v>0</v>
          </cell>
          <cell r="U6">
            <v>450000</v>
          </cell>
        </row>
        <row r="8">
          <cell r="A8" t="str">
            <v>Geszti Óvoda</v>
          </cell>
          <cell r="B8" t="str">
            <v>Eredeti</v>
          </cell>
          <cell r="D8">
            <v>4579584</v>
          </cell>
          <cell r="E8">
            <v>1330490.8800000001</v>
          </cell>
          <cell r="F8">
            <v>0</v>
          </cell>
          <cell r="J8">
            <v>0</v>
          </cell>
          <cell r="N8">
            <v>43561249.5</v>
          </cell>
          <cell r="O8">
            <v>11649839.445</v>
          </cell>
          <cell r="P8">
            <v>12403682.452252</v>
          </cell>
          <cell r="Q8">
            <v>5780224</v>
          </cell>
          <cell r="R8">
            <v>0</v>
          </cell>
          <cell r="S8">
            <v>0</v>
          </cell>
          <cell r="T8">
            <v>500000</v>
          </cell>
          <cell r="U8">
            <v>500000</v>
          </cell>
        </row>
        <row r="9">
          <cell r="A9" t="str">
            <v>Bartók B. utcai Óvoda</v>
          </cell>
          <cell r="B9" t="str">
            <v>Eredeti</v>
          </cell>
          <cell r="D9">
            <v>5171328</v>
          </cell>
          <cell r="E9">
            <v>3198949.632</v>
          </cell>
          <cell r="F9">
            <v>0</v>
          </cell>
          <cell r="J9">
            <v>0</v>
          </cell>
          <cell r="N9">
            <v>53947956.95</v>
          </cell>
          <cell r="O9">
            <v>14288417.752500001</v>
          </cell>
          <cell r="P9">
            <v>27458503.766304</v>
          </cell>
          <cell r="Q9">
            <v>7392512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Kertvárosi Óvoda</v>
          </cell>
          <cell r="B10" t="str">
            <v>Eredeti</v>
          </cell>
          <cell r="D10">
            <v>3396096</v>
          </cell>
          <cell r="E10">
            <v>5478935.04</v>
          </cell>
          <cell r="F10">
            <v>0</v>
          </cell>
          <cell r="J10">
            <v>0</v>
          </cell>
          <cell r="N10">
            <v>38605421.85</v>
          </cell>
          <cell r="O10">
            <v>10289485.1475</v>
          </cell>
          <cell r="P10">
            <v>29421874.718024</v>
          </cell>
          <cell r="Q10">
            <v>3754439.0000000005</v>
          </cell>
          <cell r="R10">
            <v>0</v>
          </cell>
          <cell r="S10">
            <v>0</v>
          </cell>
          <cell r="T10">
            <v>0</v>
          </cell>
          <cell r="U10">
            <v>300000</v>
          </cell>
        </row>
        <row r="11">
          <cell r="A11" t="str">
            <v>Kincseskert Óvoda</v>
          </cell>
          <cell r="B11" t="str">
            <v>Eredeti</v>
          </cell>
          <cell r="D11">
            <v>4665344</v>
          </cell>
          <cell r="E11">
            <v>1358346.24</v>
          </cell>
          <cell r="F11">
            <v>0</v>
          </cell>
          <cell r="J11">
            <v>0</v>
          </cell>
          <cell r="N11">
            <v>42146815.696</v>
          </cell>
          <cell r="O11">
            <v>11174864.22</v>
          </cell>
          <cell r="P11">
            <v>13019901.608784</v>
          </cell>
          <cell r="Q11">
            <v>6517760</v>
          </cell>
          <cell r="R11">
            <v>0</v>
          </cell>
          <cell r="S11">
            <v>0</v>
          </cell>
          <cell r="T11">
            <v>900049</v>
          </cell>
          <cell r="U11">
            <v>0</v>
          </cell>
        </row>
        <row r="12">
          <cell r="A12" t="str">
            <v>Bergengócia Óvoda</v>
          </cell>
          <cell r="B12" t="str">
            <v>Eredeti</v>
          </cell>
          <cell r="D12">
            <v>1072000</v>
          </cell>
          <cell r="E12">
            <v>289440</v>
          </cell>
          <cell r="F12">
            <v>0</v>
          </cell>
          <cell r="J12">
            <v>0</v>
          </cell>
          <cell r="N12">
            <v>10537440.5</v>
          </cell>
          <cell r="O12">
            <v>2845108.9350000005</v>
          </cell>
          <cell r="P12">
            <v>4232301.35612</v>
          </cell>
          <cell r="Q12">
            <v>1355008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A13" t="str">
            <v>Bölcsöde</v>
          </cell>
          <cell r="B13" t="str">
            <v>Eredeti</v>
          </cell>
          <cell r="D13">
            <v>4257792</v>
          </cell>
          <cell r="E13">
            <v>1251645.696</v>
          </cell>
          <cell r="F13">
            <v>0</v>
          </cell>
          <cell r="J13">
            <v>0</v>
          </cell>
          <cell r="N13">
            <v>53032068.39999999</v>
          </cell>
          <cell r="O13">
            <v>13724663.3334</v>
          </cell>
          <cell r="P13">
            <v>20063155.914492</v>
          </cell>
          <cell r="Q13">
            <v>5787648</v>
          </cell>
          <cell r="R13">
            <v>0</v>
          </cell>
          <cell r="S13">
            <v>0</v>
          </cell>
          <cell r="T13">
            <v>700024</v>
          </cell>
          <cell r="U13">
            <v>0</v>
          </cell>
        </row>
        <row r="14">
          <cell r="A14" t="str">
            <v>Vaszary J. Általános Iskola</v>
          </cell>
          <cell r="B14" t="str">
            <v>Eredeti</v>
          </cell>
          <cell r="D14">
            <v>14011084.8</v>
          </cell>
          <cell r="E14">
            <v>4600282.896000001</v>
          </cell>
          <cell r="F14">
            <v>0</v>
          </cell>
          <cell r="J14">
            <v>0</v>
          </cell>
          <cell r="N14">
            <v>-0.02500002086162567</v>
          </cell>
          <cell r="O14">
            <v>0.26324998307973146</v>
          </cell>
          <cell r="P14">
            <v>83376427.787652</v>
          </cell>
          <cell r="Q14">
            <v>43223719.936000004</v>
          </cell>
          <cell r="R14">
            <v>0</v>
          </cell>
          <cell r="S14">
            <v>0</v>
          </cell>
          <cell r="T14">
            <v>0</v>
          </cell>
          <cell r="U14">
            <v>25000000</v>
          </cell>
        </row>
        <row r="15">
          <cell r="A15" t="str">
            <v>Vaszary - Logopédiai Intézet</v>
          </cell>
          <cell r="B15" t="str">
            <v>Eredeti</v>
          </cell>
          <cell r="D15">
            <v>0</v>
          </cell>
          <cell r="E15">
            <v>0</v>
          </cell>
          <cell r="F15">
            <v>0</v>
          </cell>
          <cell r="J15">
            <v>0</v>
          </cell>
          <cell r="N15">
            <v>0.20000000298023224</v>
          </cell>
          <cell r="O15">
            <v>0.05400000046938658</v>
          </cell>
          <cell r="P15">
            <v>1763198.706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 t="str">
            <v>Vaszary-Jázmin Tagint.</v>
          </cell>
          <cell r="B16" t="str">
            <v>Eredeti</v>
          </cell>
          <cell r="D16">
            <v>8284262.4</v>
          </cell>
          <cell r="E16">
            <v>2242150.848</v>
          </cell>
          <cell r="F16">
            <v>0</v>
          </cell>
          <cell r="J16">
            <v>0</v>
          </cell>
          <cell r="N16">
            <v>-0.32500000298023224</v>
          </cell>
          <cell r="O16">
            <v>-0.08775000274181366</v>
          </cell>
          <cell r="P16">
            <v>31468314.479732</v>
          </cell>
          <cell r="Q16">
            <v>20841152.512</v>
          </cell>
          <cell r="R16">
            <v>0</v>
          </cell>
          <cell r="S16">
            <v>0</v>
          </cell>
          <cell r="T16">
            <v>0</v>
          </cell>
          <cell r="U16">
            <v>650000</v>
          </cell>
        </row>
        <row r="17">
          <cell r="A17" t="str">
            <v>Vaszary összesen</v>
          </cell>
          <cell r="B17" t="str">
            <v>Eredeti</v>
          </cell>
        </row>
        <row r="18">
          <cell r="A18" t="str">
            <v>Kőkúti Általános Iskola</v>
          </cell>
          <cell r="B18" t="str">
            <v>Eredeti</v>
          </cell>
          <cell r="D18">
            <v>18374451.200000003</v>
          </cell>
          <cell r="E18">
            <v>5992501.824000001</v>
          </cell>
          <cell r="F18">
            <v>0</v>
          </cell>
          <cell r="J18">
            <v>0</v>
          </cell>
          <cell r="N18">
            <v>-0.09999999403953552</v>
          </cell>
          <cell r="O18">
            <v>-0.02699999511241913</v>
          </cell>
          <cell r="P18">
            <v>122415089.17833199</v>
          </cell>
          <cell r="Q18">
            <v>47459237.888</v>
          </cell>
          <cell r="R18">
            <v>0</v>
          </cell>
          <cell r="S18">
            <v>0</v>
          </cell>
          <cell r="T18">
            <v>0</v>
          </cell>
          <cell r="U18">
            <v>2000000</v>
          </cell>
        </row>
        <row r="19">
          <cell r="A19" t="str">
            <v>Kőkúti Általános Iskola - Fazekas U. Tagintézmény</v>
          </cell>
          <cell r="B19" t="str">
            <v>Eredeti</v>
          </cell>
          <cell r="D19">
            <v>6491955.2</v>
          </cell>
          <cell r="E19">
            <v>1798457.904</v>
          </cell>
          <cell r="F19">
            <v>0</v>
          </cell>
          <cell r="J19">
            <v>0</v>
          </cell>
          <cell r="N19">
            <v>0.25</v>
          </cell>
          <cell r="O19">
            <v>-0.20250000059604645</v>
          </cell>
          <cell r="P19">
            <v>35268617.808412</v>
          </cell>
          <cell r="Q19">
            <v>17489707.008</v>
          </cell>
          <cell r="R19">
            <v>0</v>
          </cell>
          <cell r="S19">
            <v>0</v>
          </cell>
          <cell r="T19">
            <v>0</v>
          </cell>
          <cell r="U19">
            <v>2581000</v>
          </cell>
        </row>
        <row r="20">
          <cell r="A20" t="str">
            <v>Kőkúti összesen</v>
          </cell>
          <cell r="B20" t="str">
            <v>Eredeti</v>
          </cell>
        </row>
        <row r="21">
          <cell r="A21" t="str">
            <v>Zeneiskola</v>
          </cell>
          <cell r="B21" t="str">
            <v>Eredeti</v>
          </cell>
          <cell r="E21">
            <v>0</v>
          </cell>
          <cell r="F21">
            <v>0</v>
          </cell>
          <cell r="J21">
            <v>0</v>
          </cell>
          <cell r="N21">
            <v>-0.030000001192092896</v>
          </cell>
          <cell r="O21">
            <v>0</v>
          </cell>
          <cell r="P21">
            <v>3640744.9156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 t="str">
            <v>Eredeti</v>
          </cell>
          <cell r="D22">
            <v>4452352</v>
          </cell>
          <cell r="E22">
            <v>1202135.04</v>
          </cell>
          <cell r="F22">
            <v>0</v>
          </cell>
          <cell r="J22">
            <v>0</v>
          </cell>
          <cell r="O22">
            <v>-0.030000001192092896</v>
          </cell>
          <cell r="P22">
            <v>20120636.416</v>
          </cell>
          <cell r="Q22">
            <v>20120636.416</v>
          </cell>
          <cell r="R22">
            <v>0</v>
          </cell>
          <cell r="T22">
            <v>0</v>
          </cell>
          <cell r="U22">
            <v>0</v>
          </cell>
        </row>
        <row r="23">
          <cell r="E23">
            <v>8179946.36</v>
          </cell>
          <cell r="F23">
            <v>0</v>
          </cell>
          <cell r="J23">
            <v>0</v>
          </cell>
          <cell r="N23">
            <v>18295365.316</v>
          </cell>
          <cell r="O23">
            <v>4906365.3342</v>
          </cell>
          <cell r="P23">
            <v>13922650.8</v>
          </cell>
          <cell r="R23">
            <v>0</v>
          </cell>
          <cell r="S23">
            <v>0</v>
          </cell>
          <cell r="T23">
            <v>3175000</v>
          </cell>
          <cell r="U23">
            <v>0</v>
          </cell>
        </row>
        <row r="25">
          <cell r="A25" t="str">
            <v>Könyvtár</v>
          </cell>
          <cell r="B25" t="str">
            <v>Eredeti</v>
          </cell>
          <cell r="E25">
            <v>332100</v>
          </cell>
          <cell r="F25">
            <v>0</v>
          </cell>
          <cell r="J25">
            <v>0</v>
          </cell>
          <cell r="N25">
            <v>21426526.40125</v>
          </cell>
          <cell r="O25">
            <v>5687962.1283375</v>
          </cell>
          <cell r="P25">
            <v>26296934.923772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A26" t="str">
            <v>Egészségügyi Alapellátó Intézmény</v>
          </cell>
          <cell r="B26" t="str">
            <v>Eredeti</v>
          </cell>
          <cell r="E26">
            <v>0</v>
          </cell>
          <cell r="F26">
            <v>0</v>
          </cell>
          <cell r="J26">
            <v>0</v>
          </cell>
          <cell r="N26">
            <v>58644362.596</v>
          </cell>
          <cell r="O26">
            <v>15804887.265</v>
          </cell>
          <cell r="P26">
            <v>36027022.723000005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 t="str">
            <v>Kvi. alcímek és szakf. Összesen:</v>
          </cell>
          <cell r="B27" t="str">
            <v>Eredeti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. 1.b. melléklet"/>
      <sheetName val="2. sz. melléklet"/>
      <sheetName val="3.sz. melléklet"/>
      <sheetName val="4.A sz. melléklet"/>
      <sheetName val="4.B-C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0-a.sz. melléklet"/>
      <sheetName val="11. sz. melléklet"/>
      <sheetName val="12. sz. melléklet"/>
      <sheetName val="13. sz. melléklet"/>
      <sheetName val="14. sz. melléklet"/>
      <sheetName val="15. sz. melléklet"/>
      <sheetName val="16.sz. melléklet"/>
      <sheetName val="17.a. 17.b. sz. melléklet"/>
      <sheetName val="18."/>
      <sheetName val="19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Pályázati előkészíté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1.b. melléklet"/>
      <sheetName val="2. sz. melléklet"/>
      <sheetName val="3.sz. melléklet"/>
      <sheetName val="4. sz. melléklet"/>
      <sheetName val="5. sz. melléklet"/>
      <sheetName val="6. sz. melléklet"/>
      <sheetName val="8. sz. melléklet"/>
      <sheetName val="9. sz. melléklet"/>
      <sheetName val="10. sz. melléklet"/>
      <sheetName val="11. sz. melléklet"/>
      <sheetName val="12. sz. melléklet"/>
      <sheetName val="13. sz. melléklet"/>
      <sheetName val="14. sz. melléklet"/>
      <sheetName val="15. sz. melléklet"/>
      <sheetName val="16. sz. melléklet"/>
      <sheetName val="17.sz. melléklet"/>
      <sheetName val="17.a. 17.b. sz. melléklet"/>
      <sheetName val="18. sz. melléklet"/>
      <sheetName val="Kiadások elemzé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view="pageLayout" zoomScaleNormal="90" zoomScaleSheetLayoutView="90" workbookViewId="0" topLeftCell="A1">
      <selection activeCell="A2" sqref="A2:J2"/>
    </sheetView>
  </sheetViews>
  <sheetFormatPr defaultColWidth="9.00390625" defaultRowHeight="12.75"/>
  <cols>
    <col min="1" max="1" width="6.125" style="1" customWidth="1"/>
    <col min="2" max="2" width="73.25390625" style="1" customWidth="1"/>
    <col min="3" max="4" width="11.375" style="45" customWidth="1"/>
    <col min="5" max="5" width="12.625" style="45" customWidth="1"/>
    <col min="6" max="6" width="6.125" style="1" customWidth="1"/>
    <col min="7" max="7" width="64.375" style="1" customWidth="1"/>
    <col min="8" max="8" width="11.375" style="45" customWidth="1"/>
    <col min="9" max="9" width="11.375" style="1" customWidth="1"/>
    <col min="10" max="10" width="12.375" style="1" customWidth="1"/>
    <col min="11" max="16384" width="9.125" style="1" customWidth="1"/>
  </cols>
  <sheetData>
    <row r="1" ht="12.75">
      <c r="A1" s="108"/>
    </row>
    <row r="2" spans="1:10" ht="19.5" customHeight="1">
      <c r="A2" s="941" t="s">
        <v>280</v>
      </c>
      <c r="B2" s="941"/>
      <c r="C2" s="941"/>
      <c r="D2" s="941"/>
      <c r="E2" s="941"/>
      <c r="F2" s="941"/>
      <c r="G2" s="941"/>
      <c r="H2" s="941"/>
      <c r="I2" s="942"/>
      <c r="J2" s="942"/>
    </row>
    <row r="3" spans="6:7" ht="13.5" thickBot="1">
      <c r="F3" s="45"/>
      <c r="G3" s="45"/>
    </row>
    <row r="4" spans="1:10" ht="13.5" customHeight="1">
      <c r="A4" s="953" t="s">
        <v>510</v>
      </c>
      <c r="B4" s="954"/>
      <c r="C4" s="954"/>
      <c r="D4" s="955"/>
      <c r="E4" s="956"/>
      <c r="F4" s="957" t="s">
        <v>511</v>
      </c>
      <c r="G4" s="958"/>
      <c r="H4" s="958"/>
      <c r="I4" s="959"/>
      <c r="J4" s="960"/>
    </row>
    <row r="5" spans="1:10" ht="14.25" customHeight="1" thickBot="1">
      <c r="A5" s="949" t="s">
        <v>122</v>
      </c>
      <c r="B5" s="950"/>
      <c r="C5" s="269" t="s">
        <v>163</v>
      </c>
      <c r="D5" s="269" t="s">
        <v>765</v>
      </c>
      <c r="E5" s="907" t="s">
        <v>944</v>
      </c>
      <c r="F5" s="951" t="s">
        <v>122</v>
      </c>
      <c r="G5" s="952"/>
      <c r="H5" s="894" t="s">
        <v>123</v>
      </c>
      <c r="I5" s="895" t="s">
        <v>765</v>
      </c>
      <c r="J5" s="896" t="s">
        <v>944</v>
      </c>
    </row>
    <row r="6" spans="1:10" ht="13.5" customHeight="1">
      <c r="A6" s="172" t="s">
        <v>83</v>
      </c>
      <c r="B6" s="173"/>
      <c r="C6" s="438">
        <f>SUM(C7:C9)</f>
        <v>1221389</v>
      </c>
      <c r="D6" s="438">
        <f>SUM(D7:D9)</f>
        <v>1322815</v>
      </c>
      <c r="E6" s="908">
        <f>SUM(E7:E9)</f>
        <v>1277869</v>
      </c>
      <c r="F6" s="112" t="s">
        <v>37</v>
      </c>
      <c r="G6" s="113"/>
      <c r="H6" s="897">
        <v>1050011</v>
      </c>
      <c r="I6" s="440">
        <v>1096192</v>
      </c>
      <c r="J6" s="898">
        <v>1121034</v>
      </c>
    </row>
    <row r="7" spans="1:10" ht="13.5" customHeight="1">
      <c r="A7" s="115"/>
      <c r="B7" s="113" t="s">
        <v>285</v>
      </c>
      <c r="C7" s="439">
        <v>41769</v>
      </c>
      <c r="D7" s="439">
        <v>108539</v>
      </c>
      <c r="E7" s="909">
        <v>63635</v>
      </c>
      <c r="F7" s="112"/>
      <c r="G7" s="113"/>
      <c r="H7" s="897"/>
      <c r="I7" s="440"/>
      <c r="J7" s="901"/>
    </row>
    <row r="8" spans="1:10" ht="12.75" customHeight="1">
      <c r="A8" s="121"/>
      <c r="B8" s="120" t="s">
        <v>283</v>
      </c>
      <c r="C8" s="120">
        <v>1086770</v>
      </c>
      <c r="D8" s="120">
        <v>1121426</v>
      </c>
      <c r="E8" s="910">
        <v>1121384</v>
      </c>
      <c r="F8" s="115"/>
      <c r="G8" s="113"/>
      <c r="H8" s="120"/>
      <c r="I8" s="440"/>
      <c r="J8" s="901"/>
    </row>
    <row r="9" spans="1:10" ht="12.75">
      <c r="A9" s="115"/>
      <c r="B9" s="122" t="s">
        <v>86</v>
      </c>
      <c r="C9" s="439">
        <v>92850</v>
      </c>
      <c r="D9" s="439">
        <v>92850</v>
      </c>
      <c r="E9" s="910">
        <v>92850</v>
      </c>
      <c r="F9" s="112" t="s">
        <v>436</v>
      </c>
      <c r="G9" s="113"/>
      <c r="H9" s="897">
        <v>280044</v>
      </c>
      <c r="I9" s="440">
        <v>292367</v>
      </c>
      <c r="J9" s="898">
        <v>294431</v>
      </c>
    </row>
    <row r="10" spans="1:10" ht="13.5" customHeight="1">
      <c r="A10" s="117"/>
      <c r="B10" s="122"/>
      <c r="C10" s="439"/>
      <c r="D10" s="439"/>
      <c r="E10" s="910"/>
      <c r="F10" s="115"/>
      <c r="G10" s="113"/>
      <c r="H10" s="120"/>
      <c r="I10" s="440"/>
      <c r="J10" s="901"/>
    </row>
    <row r="11" spans="1:10" ht="12.75">
      <c r="A11" s="123" t="s">
        <v>87</v>
      </c>
      <c r="B11" s="124"/>
      <c r="C11" s="440">
        <f>SUM(C12:C13)</f>
        <v>276411</v>
      </c>
      <c r="D11" s="440">
        <f>SUM(D12:D13)</f>
        <v>290746</v>
      </c>
      <c r="E11" s="898">
        <f>SUM(E12:E13)</f>
        <v>351890</v>
      </c>
      <c r="F11" s="115"/>
      <c r="G11" s="113"/>
      <c r="H11" s="120"/>
      <c r="I11" s="440"/>
      <c r="J11" s="901"/>
    </row>
    <row r="12" spans="1:10" ht="12.75">
      <c r="A12" s="125"/>
      <c r="B12" s="126" t="s">
        <v>43</v>
      </c>
      <c r="C12" s="120">
        <v>0</v>
      </c>
      <c r="D12" s="120">
        <v>0</v>
      </c>
      <c r="E12" s="909">
        <v>0</v>
      </c>
      <c r="F12" s="112" t="s">
        <v>39</v>
      </c>
      <c r="G12" s="113"/>
      <c r="H12" s="897">
        <v>1611955</v>
      </c>
      <c r="I12" s="440">
        <v>1689739</v>
      </c>
      <c r="J12" s="898">
        <v>1737233</v>
      </c>
    </row>
    <row r="13" spans="1:10" ht="12.75">
      <c r="A13" s="115"/>
      <c r="B13" s="116" t="s">
        <v>431</v>
      </c>
      <c r="C13" s="120">
        <v>276411</v>
      </c>
      <c r="D13" s="120">
        <v>290746</v>
      </c>
      <c r="E13" s="909">
        <v>351890</v>
      </c>
      <c r="F13" s="115"/>
      <c r="G13" s="113"/>
      <c r="H13" s="120"/>
      <c r="I13" s="440"/>
      <c r="J13" s="901"/>
    </row>
    <row r="14" spans="1:10" ht="12.75">
      <c r="A14" s="115"/>
      <c r="B14" s="116"/>
      <c r="C14" s="120"/>
      <c r="D14" s="120"/>
      <c r="E14" s="909"/>
      <c r="F14" s="115"/>
      <c r="G14" s="113"/>
      <c r="H14" s="113"/>
      <c r="I14" s="440"/>
      <c r="J14" s="901"/>
    </row>
    <row r="15" spans="1:10" ht="12.75">
      <c r="A15" s="109" t="s">
        <v>90</v>
      </c>
      <c r="B15" s="116"/>
      <c r="C15" s="440">
        <f>SUM(C16:C19)</f>
        <v>2315462</v>
      </c>
      <c r="D15" s="440">
        <f>SUM(D16:D19)</f>
        <v>2308540</v>
      </c>
      <c r="E15" s="898">
        <f>SUM(E16:E19)</f>
        <v>2312333</v>
      </c>
      <c r="F15" s="110" t="s">
        <v>46</v>
      </c>
      <c r="G15" s="111"/>
      <c r="H15" s="135">
        <v>184105</v>
      </c>
      <c r="I15" s="440">
        <v>184105</v>
      </c>
      <c r="J15" s="898">
        <v>185722</v>
      </c>
    </row>
    <row r="16" spans="1:10" ht="12.75">
      <c r="A16" s="109"/>
      <c r="B16" s="116" t="s">
        <v>953</v>
      </c>
      <c r="C16" s="440"/>
      <c r="D16" s="440"/>
      <c r="E16" s="910">
        <v>49795</v>
      </c>
      <c r="F16" s="110"/>
      <c r="G16" s="111"/>
      <c r="H16" s="135"/>
      <c r="I16" s="440"/>
      <c r="J16" s="901"/>
    </row>
    <row r="17" spans="1:10" ht="12.75">
      <c r="A17" s="117"/>
      <c r="B17" s="116" t="s">
        <v>88</v>
      </c>
      <c r="C17" s="439">
        <v>0</v>
      </c>
      <c r="D17" s="439">
        <v>0</v>
      </c>
      <c r="E17" s="910">
        <v>0</v>
      </c>
      <c r="F17" s="115"/>
      <c r="G17" s="113"/>
      <c r="H17" s="899"/>
      <c r="I17" s="120"/>
      <c r="J17" s="901"/>
    </row>
    <row r="18" spans="1:10" ht="12.75">
      <c r="A18" s="117"/>
      <c r="B18" s="116" t="s">
        <v>89</v>
      </c>
      <c r="C18" s="439">
        <v>1691228</v>
      </c>
      <c r="D18" s="439">
        <v>1684306</v>
      </c>
      <c r="E18" s="910">
        <v>1638304</v>
      </c>
      <c r="F18" s="110" t="s">
        <v>281</v>
      </c>
      <c r="G18" s="111"/>
      <c r="H18" s="135">
        <f>SUM(H25+H21+H20+H19)</f>
        <v>1002114</v>
      </c>
      <c r="I18" s="135">
        <f>SUM(I25+I21+I20+I19)</f>
        <v>1101834</v>
      </c>
      <c r="J18" s="135">
        <f>SUM(J25+J21+J20+J19)</f>
        <v>1036007</v>
      </c>
    </row>
    <row r="19" spans="1:10" ht="12.75">
      <c r="A19" s="117"/>
      <c r="B19" s="116" t="s">
        <v>1</v>
      </c>
      <c r="C19" s="439">
        <v>624234</v>
      </c>
      <c r="D19" s="439">
        <v>624234</v>
      </c>
      <c r="E19" s="910">
        <v>624234</v>
      </c>
      <c r="F19" s="115"/>
      <c r="G19" s="113" t="s">
        <v>43</v>
      </c>
      <c r="H19" s="120">
        <v>6000</v>
      </c>
      <c r="I19" s="120">
        <v>6000</v>
      </c>
      <c r="J19" s="901">
        <v>6000</v>
      </c>
    </row>
    <row r="20" spans="1:10" ht="12.75">
      <c r="A20" s="109"/>
      <c r="B20" s="118"/>
      <c r="C20" s="440"/>
      <c r="D20" s="440"/>
      <c r="E20" s="911"/>
      <c r="F20" s="115"/>
      <c r="G20" s="113" t="s">
        <v>44</v>
      </c>
      <c r="H20" s="120">
        <v>834414</v>
      </c>
      <c r="I20" s="120">
        <v>907938</v>
      </c>
      <c r="J20" s="901">
        <v>873659</v>
      </c>
    </row>
    <row r="21" spans="1:10" ht="12.75">
      <c r="A21" s="109" t="s">
        <v>515</v>
      </c>
      <c r="B21" s="114"/>
      <c r="C21" s="440">
        <f>SUM(C22:C25)</f>
        <v>1795800</v>
      </c>
      <c r="D21" s="440">
        <f>SUM(D22:D25)</f>
        <v>1795800</v>
      </c>
      <c r="E21" s="898">
        <f>SUM(E22:E25)</f>
        <v>1795800</v>
      </c>
      <c r="F21" s="115"/>
      <c r="G21" s="111" t="s">
        <v>153</v>
      </c>
      <c r="H21" s="120">
        <f>SUM(H22:H24)</f>
        <v>161700</v>
      </c>
      <c r="I21" s="120">
        <f>SUM(I22:I24)</f>
        <v>187896</v>
      </c>
      <c r="J21" s="901">
        <f>SUM(J22:J24)</f>
        <v>140131</v>
      </c>
    </row>
    <row r="22" spans="1:10" ht="14.25" customHeight="1">
      <c r="A22" s="115"/>
      <c r="B22" s="113" t="s">
        <v>92</v>
      </c>
      <c r="C22" s="120">
        <v>446000</v>
      </c>
      <c r="D22" s="120">
        <v>446000</v>
      </c>
      <c r="E22" s="909">
        <v>446000</v>
      </c>
      <c r="F22" s="115"/>
      <c r="G22" s="132" t="s">
        <v>45</v>
      </c>
      <c r="H22" s="902">
        <v>13000</v>
      </c>
      <c r="I22" s="120">
        <v>10189</v>
      </c>
      <c r="J22" s="901">
        <v>5958</v>
      </c>
    </row>
    <row r="23" spans="1:10" ht="12.75">
      <c r="A23" s="117"/>
      <c r="B23" s="127" t="s">
        <v>52</v>
      </c>
      <c r="C23" s="120">
        <v>1338000</v>
      </c>
      <c r="D23" s="120">
        <v>1338000</v>
      </c>
      <c r="E23" s="909">
        <v>1338000</v>
      </c>
      <c r="F23" s="115"/>
      <c r="G23" s="175" t="s">
        <v>707</v>
      </c>
      <c r="H23" s="902">
        <v>125400</v>
      </c>
      <c r="I23" s="120">
        <v>124250</v>
      </c>
      <c r="J23" s="901">
        <v>81927</v>
      </c>
    </row>
    <row r="24" spans="1:10" ht="12.75">
      <c r="A24" s="115"/>
      <c r="B24" s="128" t="s">
        <v>432</v>
      </c>
      <c r="C24" s="120">
        <v>1300</v>
      </c>
      <c r="D24" s="120">
        <v>1300</v>
      </c>
      <c r="E24" s="909">
        <v>1300</v>
      </c>
      <c r="F24" s="115"/>
      <c r="G24" s="170" t="s">
        <v>64</v>
      </c>
      <c r="H24" s="902">
        <v>23300</v>
      </c>
      <c r="I24" s="120">
        <v>53457</v>
      </c>
      <c r="J24" s="901">
        <v>52246</v>
      </c>
    </row>
    <row r="25" spans="1:10" ht="12.75">
      <c r="A25" s="123"/>
      <c r="B25" s="126" t="s">
        <v>53</v>
      </c>
      <c r="C25" s="439">
        <v>10500</v>
      </c>
      <c r="D25" s="439">
        <v>10500</v>
      </c>
      <c r="E25" s="910">
        <v>10500</v>
      </c>
      <c r="F25" s="176"/>
      <c r="G25" s="113" t="s">
        <v>835</v>
      </c>
      <c r="H25" s="903"/>
      <c r="I25" s="120"/>
      <c r="J25" s="901">
        <v>16217</v>
      </c>
    </row>
    <row r="26" spans="1:10" ht="12.75">
      <c r="A26" s="125"/>
      <c r="B26" s="126"/>
      <c r="C26" s="439"/>
      <c r="D26" s="439"/>
      <c r="E26" s="910"/>
      <c r="F26" s="115"/>
      <c r="G26" s="113"/>
      <c r="H26" s="899"/>
      <c r="I26" s="120"/>
      <c r="J26" s="901"/>
    </row>
    <row r="27" spans="1:10" ht="12.75" customHeight="1">
      <c r="A27" s="110" t="s">
        <v>102</v>
      </c>
      <c r="B27" s="116"/>
      <c r="C27" s="440">
        <f>SUM(C28:C34)</f>
        <v>1283090</v>
      </c>
      <c r="D27" s="440">
        <f>SUM(D28:D34)</f>
        <v>1284633</v>
      </c>
      <c r="E27" s="898">
        <f>SUM(E28:E34)</f>
        <v>1271658</v>
      </c>
      <c r="F27" s="110" t="s">
        <v>282</v>
      </c>
      <c r="G27" s="113"/>
      <c r="H27" s="440">
        <v>2447222</v>
      </c>
      <c r="I27" s="440">
        <v>2534724</v>
      </c>
      <c r="J27" s="898">
        <v>2579369</v>
      </c>
    </row>
    <row r="28" spans="1:10" ht="12.75">
      <c r="A28" s="115"/>
      <c r="B28" s="113" t="s">
        <v>345</v>
      </c>
      <c r="C28" s="120">
        <v>655254</v>
      </c>
      <c r="D28" s="120">
        <v>655254</v>
      </c>
      <c r="E28" s="909">
        <v>564268</v>
      </c>
      <c r="F28" s="115"/>
      <c r="G28" s="113"/>
      <c r="H28" s="120"/>
      <c r="I28" s="120"/>
      <c r="J28" s="901"/>
    </row>
    <row r="29" spans="1:10" ht="12.75">
      <c r="A29" s="115"/>
      <c r="B29" s="113" t="s">
        <v>54</v>
      </c>
      <c r="C29" s="120">
        <v>264033</v>
      </c>
      <c r="D29" s="120">
        <v>179344</v>
      </c>
      <c r="E29" s="909">
        <v>224959</v>
      </c>
      <c r="F29" s="115"/>
      <c r="G29" s="113"/>
      <c r="H29" s="120"/>
      <c r="I29" s="120"/>
      <c r="J29" s="901"/>
    </row>
    <row r="30" spans="1:10" ht="12.75">
      <c r="A30" s="109"/>
      <c r="B30" s="111" t="s">
        <v>55</v>
      </c>
      <c r="C30" s="439">
        <v>18215</v>
      </c>
      <c r="D30" s="439">
        <v>104447</v>
      </c>
      <c r="E30" s="910">
        <v>104447</v>
      </c>
      <c r="F30" s="110" t="s">
        <v>284</v>
      </c>
      <c r="G30" s="111"/>
      <c r="H30" s="135">
        <v>283400</v>
      </c>
      <c r="I30" s="440">
        <v>305538</v>
      </c>
      <c r="J30" s="898">
        <v>388751</v>
      </c>
    </row>
    <row r="31" spans="1:10" ht="12.75">
      <c r="A31" s="115"/>
      <c r="B31" s="111" t="s">
        <v>105</v>
      </c>
      <c r="C31" s="439">
        <v>82011</v>
      </c>
      <c r="D31" s="439">
        <v>82011</v>
      </c>
      <c r="E31" s="910">
        <v>82011</v>
      </c>
      <c r="F31" s="115"/>
      <c r="G31" s="111"/>
      <c r="H31" s="903"/>
      <c r="I31" s="120"/>
      <c r="J31" s="901"/>
    </row>
    <row r="32" spans="1:10" ht="13.5" customHeight="1">
      <c r="A32" s="117"/>
      <c r="B32" s="116" t="s">
        <v>229</v>
      </c>
      <c r="C32" s="439">
        <v>236336</v>
      </c>
      <c r="D32" s="439">
        <v>236336</v>
      </c>
      <c r="E32" s="910">
        <v>268684</v>
      </c>
      <c r="F32" s="115"/>
      <c r="G32" s="113"/>
      <c r="H32" s="120"/>
      <c r="I32" s="120"/>
      <c r="J32" s="901"/>
    </row>
    <row r="33" spans="1:10" ht="12.75">
      <c r="A33" s="115"/>
      <c r="B33" s="169" t="s">
        <v>433</v>
      </c>
      <c r="C33" s="439">
        <v>5000</v>
      </c>
      <c r="D33" s="439">
        <v>5000</v>
      </c>
      <c r="E33" s="910">
        <v>5048</v>
      </c>
      <c r="F33" s="110" t="s">
        <v>67</v>
      </c>
      <c r="G33" s="113"/>
      <c r="H33" s="135">
        <f>SUM(H34:H37)</f>
        <v>1407334</v>
      </c>
      <c r="I33" s="135">
        <f>SUM(I34:I37)</f>
        <v>1401521</v>
      </c>
      <c r="J33" s="900">
        <f>SUM(J34:J37)</f>
        <v>1380971</v>
      </c>
    </row>
    <row r="34" spans="1:10" ht="12.75">
      <c r="A34" s="115"/>
      <c r="B34" s="169" t="s">
        <v>197</v>
      </c>
      <c r="C34" s="439">
        <v>22241</v>
      </c>
      <c r="D34" s="439">
        <v>22241</v>
      </c>
      <c r="E34" s="910">
        <v>22241</v>
      </c>
      <c r="F34" s="115"/>
      <c r="G34" s="113" t="s">
        <v>42</v>
      </c>
      <c r="H34" s="120">
        <v>808</v>
      </c>
      <c r="I34" s="120">
        <v>808</v>
      </c>
      <c r="J34" s="901">
        <v>808</v>
      </c>
    </row>
    <row r="35" spans="1:10" ht="12.75" customHeight="1">
      <c r="A35" s="112"/>
      <c r="B35" s="127"/>
      <c r="C35" s="120"/>
      <c r="D35" s="120"/>
      <c r="E35" s="909"/>
      <c r="F35" s="115"/>
      <c r="G35" s="113" t="s">
        <v>43</v>
      </c>
      <c r="H35" s="120">
        <v>4500</v>
      </c>
      <c r="I35" s="120">
        <v>4500</v>
      </c>
      <c r="J35" s="901">
        <v>4350</v>
      </c>
    </row>
    <row r="36" spans="1:10" ht="12.75" customHeight="1">
      <c r="A36" s="112" t="s">
        <v>107</v>
      </c>
      <c r="B36" s="127"/>
      <c r="C36" s="440">
        <f>SUM(C37:C38)</f>
        <v>7494</v>
      </c>
      <c r="D36" s="440">
        <f>SUM(D37:D38)</f>
        <v>7494</v>
      </c>
      <c r="E36" s="898">
        <f>SUM(E37:E38)</f>
        <v>67494</v>
      </c>
      <c r="F36" s="115"/>
      <c r="G36" s="113" t="s">
        <v>68</v>
      </c>
      <c r="H36" s="120">
        <v>73761</v>
      </c>
      <c r="I36" s="120">
        <v>51760</v>
      </c>
      <c r="J36" s="901">
        <v>76891</v>
      </c>
    </row>
    <row r="37" spans="1:10" ht="12.75" customHeight="1">
      <c r="A37" s="112"/>
      <c r="B37" s="113" t="s">
        <v>108</v>
      </c>
      <c r="C37" s="120">
        <v>7494</v>
      </c>
      <c r="D37" s="120">
        <v>7494</v>
      </c>
      <c r="E37" s="909">
        <v>67494</v>
      </c>
      <c r="F37" s="115"/>
      <c r="G37" s="116" t="s">
        <v>479</v>
      </c>
      <c r="H37" s="120">
        <f>SUM(H38:H40)</f>
        <v>1328265</v>
      </c>
      <c r="I37" s="120">
        <f>SUM(I38:I40)</f>
        <v>1344453</v>
      </c>
      <c r="J37" s="901">
        <f>SUM(J38:J40)</f>
        <v>1298922</v>
      </c>
    </row>
    <row r="38" spans="1:10" ht="12.75" customHeight="1">
      <c r="A38" s="112"/>
      <c r="B38" s="113" t="s">
        <v>230</v>
      </c>
      <c r="C38" s="120">
        <v>0</v>
      </c>
      <c r="D38" s="120">
        <v>0</v>
      </c>
      <c r="E38" s="909"/>
      <c r="F38" s="115"/>
      <c r="G38" s="132" t="s">
        <v>69</v>
      </c>
      <c r="H38" s="902">
        <v>50000</v>
      </c>
      <c r="I38" s="902">
        <v>66188</v>
      </c>
      <c r="J38" s="926">
        <v>24688</v>
      </c>
    </row>
    <row r="39" spans="1:10" ht="12.75" customHeight="1">
      <c r="A39" s="112"/>
      <c r="B39" s="127"/>
      <c r="C39" s="120"/>
      <c r="D39" s="120"/>
      <c r="E39" s="909"/>
      <c r="F39" s="115"/>
      <c r="G39" s="132" t="s">
        <v>70</v>
      </c>
      <c r="H39" s="902">
        <v>0</v>
      </c>
      <c r="I39" s="902">
        <v>0</v>
      </c>
      <c r="J39" s="926">
        <v>0</v>
      </c>
    </row>
    <row r="40" spans="1:10" ht="12.75" customHeight="1">
      <c r="A40" s="112" t="s">
        <v>109</v>
      </c>
      <c r="B40" s="113"/>
      <c r="C40" s="440">
        <f>SUM(C41:C43)</f>
        <v>178693</v>
      </c>
      <c r="D40" s="440">
        <f>SUM(D41:D43)</f>
        <v>178693</v>
      </c>
      <c r="E40" s="898">
        <f>SUM(E41:E43)</f>
        <v>178944</v>
      </c>
      <c r="F40" s="115"/>
      <c r="G40" s="132" t="s">
        <v>71</v>
      </c>
      <c r="H40" s="902">
        <v>1278265</v>
      </c>
      <c r="I40" s="902">
        <v>1278265</v>
      </c>
      <c r="J40" s="926">
        <v>1274234</v>
      </c>
    </row>
    <row r="41" spans="1:10" ht="12.75" customHeight="1">
      <c r="A41" s="115"/>
      <c r="B41" s="113" t="s">
        <v>434</v>
      </c>
      <c r="C41" s="120">
        <v>154763</v>
      </c>
      <c r="D41" s="120">
        <v>154763</v>
      </c>
      <c r="E41" s="909">
        <v>154763</v>
      </c>
      <c r="F41" s="115"/>
      <c r="G41" s="132"/>
      <c r="H41" s="902"/>
      <c r="I41" s="902"/>
      <c r="J41" s="926"/>
    </row>
    <row r="42" spans="1:10" ht="12.75" customHeight="1">
      <c r="A42" s="115"/>
      <c r="B42" s="113" t="s">
        <v>111</v>
      </c>
      <c r="C42" s="120">
        <v>3840</v>
      </c>
      <c r="D42" s="120">
        <v>3840</v>
      </c>
      <c r="E42" s="909">
        <v>4091</v>
      </c>
      <c r="F42" s="115"/>
      <c r="G42" s="132"/>
      <c r="H42" s="902"/>
      <c r="I42" s="902"/>
      <c r="J42" s="926"/>
    </row>
    <row r="43" spans="1:10" ht="12.75" customHeight="1">
      <c r="A43" s="162"/>
      <c r="B43" s="126" t="s">
        <v>435</v>
      </c>
      <c r="C43" s="439">
        <v>20090</v>
      </c>
      <c r="D43" s="439">
        <v>20090</v>
      </c>
      <c r="E43" s="910">
        <v>20090</v>
      </c>
      <c r="F43" s="163"/>
      <c r="G43" s="113"/>
      <c r="H43" s="439"/>
      <c r="I43" s="120"/>
      <c r="J43" s="901"/>
    </row>
    <row r="44" spans="1:10" ht="12.75" customHeight="1">
      <c r="A44" s="163"/>
      <c r="B44" s="111"/>
      <c r="C44" s="439"/>
      <c r="D44" s="439"/>
      <c r="E44" s="910"/>
      <c r="F44" s="115"/>
      <c r="G44" s="113"/>
      <c r="H44" s="120"/>
      <c r="I44" s="120"/>
      <c r="J44" s="901"/>
    </row>
    <row r="45" spans="1:10" ht="12.75">
      <c r="A45" s="110" t="s">
        <v>112</v>
      </c>
      <c r="B45" s="111"/>
      <c r="C45" s="440">
        <f>SUM(C46:C47)</f>
        <v>110123</v>
      </c>
      <c r="D45" s="440">
        <f>SUM(D46:D47)</f>
        <v>110123</v>
      </c>
      <c r="E45" s="898">
        <f>SUM(E46:E47)</f>
        <v>117129</v>
      </c>
      <c r="F45" s="163"/>
      <c r="G45" s="111"/>
      <c r="H45" s="903"/>
      <c r="I45" s="120"/>
      <c r="J45" s="901"/>
    </row>
    <row r="46" spans="1:10" ht="12.75" customHeight="1">
      <c r="A46" s="163"/>
      <c r="B46" s="113" t="s">
        <v>113</v>
      </c>
      <c r="C46" s="439">
        <v>109523</v>
      </c>
      <c r="D46" s="439">
        <v>109523</v>
      </c>
      <c r="E46" s="910">
        <v>116529</v>
      </c>
      <c r="F46" s="115"/>
      <c r="G46" s="111"/>
      <c r="H46" s="439"/>
      <c r="I46" s="120"/>
      <c r="J46" s="901"/>
    </row>
    <row r="47" spans="1:10" ht="12.75" customHeight="1">
      <c r="A47" s="163"/>
      <c r="B47" s="113" t="s">
        <v>114</v>
      </c>
      <c r="C47" s="439">
        <v>600</v>
      </c>
      <c r="D47" s="439">
        <v>600</v>
      </c>
      <c r="E47" s="910">
        <v>600</v>
      </c>
      <c r="F47" s="115"/>
      <c r="G47" s="111"/>
      <c r="H47" s="439"/>
      <c r="I47" s="120"/>
      <c r="J47" s="901"/>
    </row>
    <row r="48" spans="1:10" ht="12.75" customHeight="1">
      <c r="A48" s="115"/>
      <c r="B48" s="113"/>
      <c r="C48" s="120"/>
      <c r="D48" s="120"/>
      <c r="E48" s="909"/>
      <c r="F48" s="115"/>
      <c r="G48" s="111"/>
      <c r="H48" s="439"/>
      <c r="I48" s="120"/>
      <c r="J48" s="901"/>
    </row>
    <row r="49" spans="1:10" ht="18.75" customHeight="1">
      <c r="A49" s="171" t="s">
        <v>207</v>
      </c>
      <c r="B49" s="129"/>
      <c r="C49" s="441">
        <f>SUM(C6,C11,C15,C21,C27,C36,C40,C45)</f>
        <v>7188462</v>
      </c>
      <c r="D49" s="441">
        <f>SUM(D6,D11,D15,D21,D27,D36,D40,D45)</f>
        <v>7298844</v>
      </c>
      <c r="E49" s="914">
        <f>SUM(E6,E11,E15,E21,E27,E36,E40,E45)</f>
        <v>7373117</v>
      </c>
      <c r="F49" s="112" t="s">
        <v>208</v>
      </c>
      <c r="G49" s="119"/>
      <c r="H49" s="897">
        <f>SUM(H6+H9+H12+H15+H18+H27+H30+H33)</f>
        <v>8266185</v>
      </c>
      <c r="I49" s="897">
        <f>SUM(I6+I9+I12+I15+I18+I27+I30+I33)</f>
        <v>8606020</v>
      </c>
      <c r="J49" s="904">
        <f>SUM(J6+J9+J12+J15+J18+J27+J30+J33)</f>
        <v>8723518</v>
      </c>
    </row>
    <row r="50" spans="1:10" ht="12.75" customHeight="1">
      <c r="A50" s="115"/>
      <c r="B50" s="113"/>
      <c r="C50" s="120"/>
      <c r="D50" s="120"/>
      <c r="E50" s="909"/>
      <c r="F50" s="115"/>
      <c r="G50" s="113"/>
      <c r="H50" s="903"/>
      <c r="I50" s="120"/>
      <c r="J50" s="901"/>
    </row>
    <row r="51" spans="1:10" ht="12.75" customHeight="1">
      <c r="A51" s="131" t="s">
        <v>286</v>
      </c>
      <c r="B51" s="124"/>
      <c r="C51" s="440">
        <f>C49-H49</f>
        <v>-1077723</v>
      </c>
      <c r="D51" s="440">
        <f>D49-I49</f>
        <v>-1307176</v>
      </c>
      <c r="E51" s="898">
        <f>E49-J49</f>
        <v>-1350401</v>
      </c>
      <c r="F51" s="115"/>
      <c r="G51" s="113"/>
      <c r="H51" s="439"/>
      <c r="I51" s="120"/>
      <c r="J51" s="901"/>
    </row>
    <row r="52" spans="1:10" ht="12.75" customHeight="1">
      <c r="A52" s="131"/>
      <c r="B52" s="124"/>
      <c r="C52" s="440"/>
      <c r="D52" s="440"/>
      <c r="E52" s="911"/>
      <c r="F52" s="112"/>
      <c r="G52" s="113"/>
      <c r="H52" s="439"/>
      <c r="I52" s="120"/>
      <c r="J52" s="901"/>
    </row>
    <row r="53" spans="1:10" ht="15" customHeight="1">
      <c r="A53" s="123" t="s">
        <v>287</v>
      </c>
      <c r="B53" s="124"/>
      <c r="C53" s="440">
        <f>SUM(C54:C55)</f>
        <v>1254031</v>
      </c>
      <c r="D53" s="440">
        <f>SUM(D54:D55)</f>
        <v>1448287</v>
      </c>
      <c r="E53" s="898">
        <f>SUM(E54:E55)</f>
        <v>1444256</v>
      </c>
      <c r="F53" s="110" t="s">
        <v>576</v>
      </c>
      <c r="G53" s="130"/>
      <c r="H53" s="440">
        <v>80158</v>
      </c>
      <c r="I53" s="440">
        <v>44961</v>
      </c>
      <c r="J53" s="898">
        <v>44961</v>
      </c>
    </row>
    <row r="54" spans="1:10" ht="12.75" customHeight="1">
      <c r="A54" s="115"/>
      <c r="B54" s="111" t="s">
        <v>204</v>
      </c>
      <c r="C54" s="439">
        <v>350000</v>
      </c>
      <c r="D54" s="439">
        <v>544256</v>
      </c>
      <c r="E54" s="910">
        <v>544256</v>
      </c>
      <c r="F54" s="115"/>
      <c r="G54" s="119"/>
      <c r="H54" s="120"/>
      <c r="I54" s="440"/>
      <c r="J54" s="901"/>
    </row>
    <row r="55" spans="1:10" ht="12.75" customHeight="1">
      <c r="A55" s="115"/>
      <c r="B55" s="174" t="s">
        <v>205</v>
      </c>
      <c r="C55" s="442">
        <f>250000+654031</f>
        <v>904031</v>
      </c>
      <c r="D55" s="442">
        <v>904031</v>
      </c>
      <c r="E55" s="912">
        <v>900000</v>
      </c>
      <c r="F55" s="115"/>
      <c r="G55" s="113"/>
      <c r="H55" s="135"/>
      <c r="I55" s="440"/>
      <c r="J55" s="901"/>
    </row>
    <row r="56" spans="1:10" ht="12.75" customHeight="1">
      <c r="A56" s="115"/>
      <c r="B56" s="113"/>
      <c r="C56" s="442"/>
      <c r="D56" s="442"/>
      <c r="E56" s="912"/>
      <c r="F56" s="110" t="s">
        <v>577</v>
      </c>
      <c r="G56" s="119"/>
      <c r="H56" s="135">
        <v>96150</v>
      </c>
      <c r="I56" s="440">
        <v>96150</v>
      </c>
      <c r="J56" s="898">
        <v>48894</v>
      </c>
    </row>
    <row r="57" spans="1:10" ht="12.75" customHeight="1">
      <c r="A57" s="115"/>
      <c r="B57" s="174"/>
      <c r="C57" s="442"/>
      <c r="D57" s="442"/>
      <c r="E57" s="912"/>
      <c r="F57" s="27"/>
      <c r="G57" s="119"/>
      <c r="H57" s="135"/>
      <c r="I57" s="440"/>
      <c r="J57" s="901"/>
    </row>
    <row r="58" spans="1:10" ht="12.75" customHeight="1">
      <c r="A58" s="947" t="s">
        <v>206</v>
      </c>
      <c r="B58" s="948"/>
      <c r="C58" s="443">
        <v>1637807</v>
      </c>
      <c r="D58" s="443">
        <v>1648013</v>
      </c>
      <c r="E58" s="913">
        <v>1660781</v>
      </c>
      <c r="F58" s="112" t="s">
        <v>478</v>
      </c>
      <c r="G58" s="119"/>
      <c r="H58" s="135">
        <v>1637807</v>
      </c>
      <c r="I58" s="440">
        <v>1648013</v>
      </c>
      <c r="J58" s="898">
        <v>1660781</v>
      </c>
    </row>
    <row r="59" spans="1:10" ht="12.75" customHeight="1">
      <c r="A59" s="133"/>
      <c r="B59" s="134"/>
      <c r="C59" s="120"/>
      <c r="D59" s="120"/>
      <c r="E59" s="909"/>
      <c r="F59" s="27"/>
      <c r="G59" s="119"/>
      <c r="H59" s="135"/>
      <c r="I59" s="120"/>
      <c r="J59" s="901"/>
    </row>
    <row r="60" spans="1:10" ht="15" customHeight="1">
      <c r="A60" s="945" t="s">
        <v>209</v>
      </c>
      <c r="B60" s="946"/>
      <c r="C60" s="441">
        <f>SUM(C53,C58)</f>
        <v>2891838</v>
      </c>
      <c r="D60" s="441">
        <f>SUM(D53,D58)</f>
        <v>3096300</v>
      </c>
      <c r="E60" s="914">
        <f>SUM(E53,E58)</f>
        <v>3105037</v>
      </c>
      <c r="F60" s="112" t="s">
        <v>210</v>
      </c>
      <c r="G60" s="135"/>
      <c r="H60" s="440">
        <f>SUM(H53,H56,H58)</f>
        <v>1814115</v>
      </c>
      <c r="I60" s="440">
        <f>SUM(I53,I56,I58)</f>
        <v>1789124</v>
      </c>
      <c r="J60" s="898">
        <f>SUM(J53,J56,J58)</f>
        <v>1754636</v>
      </c>
    </row>
    <row r="61" spans="1:10" ht="12.75" customHeight="1">
      <c r="A61" s="943"/>
      <c r="B61" s="944"/>
      <c r="C61" s="439"/>
      <c r="D61" s="439"/>
      <c r="E61" s="910"/>
      <c r="F61" s="112"/>
      <c r="G61" s="113"/>
      <c r="H61" s="120"/>
      <c r="I61" s="120"/>
      <c r="J61" s="901"/>
    </row>
    <row r="62" spans="1:10" ht="19.5" customHeight="1" thickBot="1">
      <c r="A62" s="136" t="s">
        <v>120</v>
      </c>
      <c r="B62" s="137"/>
      <c r="C62" s="137">
        <f>SUM(C49,C60)</f>
        <v>10080300</v>
      </c>
      <c r="D62" s="137">
        <f>SUM(D49,D60)</f>
        <v>10395144</v>
      </c>
      <c r="E62" s="915">
        <f>SUM(E49,E60)</f>
        <v>10478154</v>
      </c>
      <c r="F62" s="138" t="s">
        <v>74</v>
      </c>
      <c r="G62" s="139"/>
      <c r="H62" s="905">
        <f>SUM(H49,H60)</f>
        <v>10080300</v>
      </c>
      <c r="I62" s="905">
        <f>SUM(I49,I60)</f>
        <v>10395144</v>
      </c>
      <c r="J62" s="906">
        <f>SUM(J49,J60)</f>
        <v>10478154</v>
      </c>
    </row>
    <row r="63" ht="15" customHeight="1"/>
    <row r="64" ht="15" customHeight="1"/>
    <row r="65" ht="15" customHeight="1"/>
    <row r="66" ht="27" customHeight="1">
      <c r="F66" s="140"/>
    </row>
    <row r="67" ht="15" customHeight="1"/>
    <row r="68" ht="15" customHeight="1"/>
    <row r="69" ht="15" customHeight="1"/>
    <row r="70" ht="15" customHeight="1"/>
    <row r="71" spans="1:5" ht="15" customHeight="1">
      <c r="A71" s="140"/>
      <c r="B71" s="141"/>
      <c r="C71" s="142"/>
      <c r="D71" s="142"/>
      <c r="E71" s="142"/>
    </row>
    <row r="72" ht="15" customHeight="1"/>
    <row r="73" ht="12.75" customHeight="1"/>
  </sheetData>
  <sheetProtection/>
  <mergeCells count="8">
    <mergeCell ref="A2:J2"/>
    <mergeCell ref="A61:B61"/>
    <mergeCell ref="A60:B60"/>
    <mergeCell ref="A58:B58"/>
    <mergeCell ref="A5:B5"/>
    <mergeCell ref="F5:G5"/>
    <mergeCell ref="A4:E4"/>
    <mergeCell ref="F4:J4"/>
  </mergeCells>
  <printOptions horizontalCentered="1"/>
  <pageMargins left="0.7874015748031497" right="0.7874015748031497" top="0.35433070866141736" bottom="0.2755905511811024" header="0.2362204724409449" footer="0.15748031496062992"/>
  <pageSetup horizontalDpi="600" verticalDpi="600" orientation="landscape" paperSize="9" scale="59" r:id="rId1"/>
  <headerFooter alignWithMargins="0">
    <oddHeader>&amp;L 1. melléklet a 18/2014.(IX.1.) önkormányzati rendelethez
"1. melléklet az 1/2014.(I.31.) önkormányzati rendelethez"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457"/>
  <sheetViews>
    <sheetView view="pageBreakPreview" zoomScaleSheetLayoutView="100" workbookViewId="0" topLeftCell="A49">
      <selection activeCell="A6" sqref="A6"/>
    </sheetView>
  </sheetViews>
  <sheetFormatPr defaultColWidth="9.00390625" defaultRowHeight="12.75"/>
  <cols>
    <col min="1" max="1" width="82.00390625" style="16" customWidth="1"/>
    <col min="2" max="2" width="12.375" style="8" customWidth="1"/>
    <col min="3" max="3" width="12.25390625" style="7" customWidth="1"/>
    <col min="4" max="4" width="11.25390625" style="346" customWidth="1"/>
    <col min="5" max="16384" width="9.125" style="7" customWidth="1"/>
  </cols>
  <sheetData>
    <row r="1" spans="1:2" ht="12.75">
      <c r="A1" s="792"/>
      <c r="B1" s="831"/>
    </row>
    <row r="2" spans="1:4" ht="15.75">
      <c r="A2" s="1075" t="s">
        <v>897</v>
      </c>
      <c r="B2" s="1075"/>
      <c r="C2" s="1076"/>
      <c r="D2" s="8"/>
    </row>
    <row r="3" spans="1:4" ht="15.75">
      <c r="A3" s="1077" t="s">
        <v>174</v>
      </c>
      <c r="B3" s="1077"/>
      <c r="C3" s="1076"/>
      <c r="D3" s="8"/>
    </row>
    <row r="4" spans="1:4" ht="13.5" thickBot="1">
      <c r="A4" s="347"/>
      <c r="B4" s="348"/>
      <c r="D4" s="8"/>
    </row>
    <row r="5" spans="1:4" ht="12.75">
      <c r="A5" s="14" t="s">
        <v>122</v>
      </c>
      <c r="B5" s="832" t="s">
        <v>163</v>
      </c>
      <c r="C5" s="640" t="s">
        <v>765</v>
      </c>
      <c r="D5" s="318" t="s">
        <v>944</v>
      </c>
    </row>
    <row r="6" spans="1:4" ht="12.75">
      <c r="A6" s="4"/>
      <c r="B6" s="290"/>
      <c r="C6" s="641"/>
      <c r="D6" s="833"/>
    </row>
    <row r="7" spans="1:4" ht="12.75">
      <c r="A7" s="11" t="s">
        <v>164</v>
      </c>
      <c r="B7" s="291">
        <f>SUM(B13,B23,B9)</f>
        <v>251919</v>
      </c>
      <c r="C7" s="291">
        <f>SUM(C13,C23,C9)</f>
        <v>260634</v>
      </c>
      <c r="D7" s="6">
        <f>SUM(D13,D23,D9)</f>
        <v>334376</v>
      </c>
    </row>
    <row r="8" spans="1:4" ht="12.75">
      <c r="A8" s="4"/>
      <c r="B8" s="290"/>
      <c r="C8" s="290"/>
      <c r="D8" s="833"/>
    </row>
    <row r="9" spans="1:4" s="287" customFormat="1" ht="12.75">
      <c r="A9" s="11" t="s">
        <v>838</v>
      </c>
      <c r="B9" s="291">
        <f>SUM(B10:B11)</f>
        <v>19922</v>
      </c>
      <c r="C9" s="291">
        <f>SUM(C10:C11)</f>
        <v>13000</v>
      </c>
      <c r="D9" s="6">
        <f>SUM(D10:D11)</f>
        <v>13000</v>
      </c>
    </row>
    <row r="10" spans="1:4" ht="12.75">
      <c r="A10" s="4" t="s">
        <v>222</v>
      </c>
      <c r="B10" s="290">
        <v>13000</v>
      </c>
      <c r="C10" s="290">
        <v>13000</v>
      </c>
      <c r="D10" s="833">
        <v>13000</v>
      </c>
    </row>
    <row r="11" spans="1:4" ht="12.75">
      <c r="A11" s="4" t="s">
        <v>898</v>
      </c>
      <c r="B11" s="290">
        <v>6922</v>
      </c>
      <c r="C11" s="290">
        <v>0</v>
      </c>
      <c r="D11" s="833">
        <v>0</v>
      </c>
    </row>
    <row r="12" spans="1:4" ht="12.75">
      <c r="A12" s="4"/>
      <c r="B12" s="290"/>
      <c r="C12" s="290"/>
      <c r="D12" s="833"/>
    </row>
    <row r="13" spans="1:4" s="287" customFormat="1" ht="12.75">
      <c r="A13" s="11" t="s">
        <v>843</v>
      </c>
      <c r="B13" s="291">
        <f>SUM(B14:B18)</f>
        <v>105905</v>
      </c>
      <c r="C13" s="291">
        <f>SUM(C14:C21)</f>
        <v>121542</v>
      </c>
      <c r="D13" s="6">
        <f>SUM(D14:D21)</f>
        <v>121413</v>
      </c>
    </row>
    <row r="14" spans="1:4" ht="12.75">
      <c r="A14" s="4" t="s">
        <v>899</v>
      </c>
      <c r="B14" s="290">
        <v>12000</v>
      </c>
      <c r="C14" s="290">
        <v>12000</v>
      </c>
      <c r="D14" s="833">
        <v>12000</v>
      </c>
    </row>
    <row r="15" spans="1:4" ht="12.75">
      <c r="A15" s="4" t="s">
        <v>900</v>
      </c>
      <c r="B15" s="290">
        <v>82000</v>
      </c>
      <c r="C15" s="290">
        <v>82000</v>
      </c>
      <c r="D15" s="833">
        <v>82000</v>
      </c>
    </row>
    <row r="16" spans="1:4" ht="12.75">
      <c r="A16" s="4" t="s">
        <v>901</v>
      </c>
      <c r="B16" s="290">
        <v>5000</v>
      </c>
      <c r="C16" s="290">
        <v>5000</v>
      </c>
      <c r="D16" s="833">
        <v>5000</v>
      </c>
    </row>
    <row r="17" spans="1:4" ht="12.75">
      <c r="A17" s="4" t="s">
        <v>902</v>
      </c>
      <c r="B17" s="290">
        <v>5000</v>
      </c>
      <c r="C17" s="290">
        <v>5000</v>
      </c>
      <c r="D17" s="833">
        <v>5000</v>
      </c>
    </row>
    <row r="18" spans="1:4" ht="12.75">
      <c r="A18" s="4" t="s">
        <v>903</v>
      </c>
      <c r="B18" s="290">
        <v>1905</v>
      </c>
      <c r="C18" s="290">
        <v>1905</v>
      </c>
      <c r="D18" s="833">
        <v>1776</v>
      </c>
    </row>
    <row r="19" spans="1:4" ht="12.75">
      <c r="A19" s="4" t="s">
        <v>904</v>
      </c>
      <c r="B19" s="290"/>
      <c r="C19" s="290">
        <v>7392</v>
      </c>
      <c r="D19" s="833">
        <v>7392</v>
      </c>
    </row>
    <row r="20" spans="1:4" ht="12.75">
      <c r="A20" s="4" t="s">
        <v>905</v>
      </c>
      <c r="B20" s="290"/>
      <c r="C20" s="290">
        <v>7000</v>
      </c>
      <c r="D20" s="833">
        <v>7000</v>
      </c>
    </row>
    <row r="21" spans="1:4" ht="12.75">
      <c r="A21" s="4" t="s">
        <v>906</v>
      </c>
      <c r="B21" s="290"/>
      <c r="C21" s="290">
        <v>1245</v>
      </c>
      <c r="D21" s="833">
        <v>1245</v>
      </c>
    </row>
    <row r="22" spans="1:4" ht="12.75">
      <c r="A22" s="4"/>
      <c r="B22" s="290"/>
      <c r="C22" s="290"/>
      <c r="D22" s="833"/>
    </row>
    <row r="23" spans="1:4" ht="12.75">
      <c r="A23" s="11" t="s">
        <v>849</v>
      </c>
      <c r="B23" s="291">
        <f>SUM(B24:B44)</f>
        <v>126092</v>
      </c>
      <c r="C23" s="291">
        <f>SUM(C24:C44)</f>
        <v>126092</v>
      </c>
      <c r="D23" s="6">
        <f>SUM(D24:D47)</f>
        <v>199963</v>
      </c>
    </row>
    <row r="24" spans="1:4" ht="12.75">
      <c r="A24" s="4" t="s">
        <v>907</v>
      </c>
      <c r="B24" s="290">
        <v>196</v>
      </c>
      <c r="C24" s="290">
        <v>196</v>
      </c>
      <c r="D24" s="833">
        <v>196</v>
      </c>
    </row>
    <row r="25" spans="1:4" ht="12.75">
      <c r="A25" s="4" t="s">
        <v>908</v>
      </c>
      <c r="B25" s="290">
        <v>22804</v>
      </c>
      <c r="C25" s="290">
        <v>22804</v>
      </c>
      <c r="D25" s="833">
        <v>22804</v>
      </c>
    </row>
    <row r="26" spans="1:4" ht="12.75" customHeight="1">
      <c r="A26" s="4" t="s">
        <v>909</v>
      </c>
      <c r="B26" s="290">
        <v>2540</v>
      </c>
      <c r="C26" s="290">
        <v>2540</v>
      </c>
      <c r="D26" s="833">
        <v>2540</v>
      </c>
    </row>
    <row r="27" spans="1:4" ht="12.75">
      <c r="A27" s="4" t="s">
        <v>910</v>
      </c>
      <c r="B27" s="290">
        <v>10000</v>
      </c>
      <c r="C27" s="290">
        <v>10000</v>
      </c>
      <c r="D27" s="833">
        <v>10000</v>
      </c>
    </row>
    <row r="28" spans="1:4" ht="12.75">
      <c r="A28" s="4" t="s">
        <v>911</v>
      </c>
      <c r="B28" s="290">
        <v>1000</v>
      </c>
      <c r="C28" s="290">
        <v>1000</v>
      </c>
      <c r="D28" s="833">
        <v>1000</v>
      </c>
    </row>
    <row r="29" spans="1:4" ht="25.5">
      <c r="A29" s="4" t="s">
        <v>912</v>
      </c>
      <c r="B29" s="290">
        <v>500</v>
      </c>
      <c r="C29" s="290">
        <v>500</v>
      </c>
      <c r="D29" s="833">
        <v>500</v>
      </c>
    </row>
    <row r="30" spans="1:4" ht="12.75">
      <c r="A30" s="4" t="s">
        <v>913</v>
      </c>
      <c r="B30" s="290">
        <v>1000</v>
      </c>
      <c r="C30" s="290">
        <v>1000</v>
      </c>
      <c r="D30" s="833">
        <v>1000</v>
      </c>
    </row>
    <row r="31" spans="1:4" ht="12.75">
      <c r="A31" s="4" t="s">
        <v>914</v>
      </c>
      <c r="B31" s="290">
        <f>12000-5000</f>
        <v>7000</v>
      </c>
      <c r="C31" s="290">
        <v>7000</v>
      </c>
      <c r="D31" s="833">
        <v>7000</v>
      </c>
    </row>
    <row r="32" spans="1:4" ht="12.75">
      <c r="A32" s="4" t="s">
        <v>915</v>
      </c>
      <c r="B32" s="290">
        <f>10000-5000</f>
        <v>5000</v>
      </c>
      <c r="C32" s="290">
        <v>5000</v>
      </c>
      <c r="D32" s="833">
        <v>5000</v>
      </c>
    </row>
    <row r="33" spans="1:4" ht="12.75">
      <c r="A33" s="4" t="s">
        <v>916</v>
      </c>
      <c r="B33" s="290">
        <v>1772</v>
      </c>
      <c r="C33" s="290">
        <v>1772</v>
      </c>
      <c r="D33" s="833">
        <v>1772</v>
      </c>
    </row>
    <row r="34" spans="1:4" ht="12.75">
      <c r="A34" s="4" t="s">
        <v>917</v>
      </c>
      <c r="B34" s="290">
        <v>10000</v>
      </c>
      <c r="C34" s="290">
        <v>10000</v>
      </c>
      <c r="D34" s="833">
        <v>10000</v>
      </c>
    </row>
    <row r="35" spans="1:4" ht="12.75">
      <c r="A35" s="4" t="s">
        <v>918</v>
      </c>
      <c r="B35" s="290">
        <v>8500</v>
      </c>
      <c r="C35" s="290">
        <v>8500</v>
      </c>
      <c r="D35" s="833">
        <v>8500</v>
      </c>
    </row>
    <row r="36" spans="1:4" ht="12.75">
      <c r="A36" s="4" t="s">
        <v>919</v>
      </c>
      <c r="B36" s="290">
        <f>15000-2000</f>
        <v>13000</v>
      </c>
      <c r="C36" s="290">
        <v>13000</v>
      </c>
      <c r="D36" s="833">
        <v>13000</v>
      </c>
    </row>
    <row r="37" spans="1:4" ht="12.75">
      <c r="A37" s="4" t="s">
        <v>920</v>
      </c>
      <c r="B37" s="290">
        <f>10000+15000</f>
        <v>25000</v>
      </c>
      <c r="C37" s="290">
        <v>25000</v>
      </c>
      <c r="D37" s="833">
        <v>50000</v>
      </c>
    </row>
    <row r="38" spans="1:4" ht="12.75">
      <c r="A38" s="4" t="s">
        <v>921</v>
      </c>
      <c r="B38" s="290">
        <v>2000</v>
      </c>
      <c r="C38" s="290">
        <v>2000</v>
      </c>
      <c r="D38" s="833">
        <v>2000</v>
      </c>
    </row>
    <row r="39" spans="1:4" ht="25.5">
      <c r="A39" s="4" t="s">
        <v>922</v>
      </c>
      <c r="B39" s="290">
        <v>5000</v>
      </c>
      <c r="C39" s="290">
        <v>5000</v>
      </c>
      <c r="D39" s="833">
        <v>5000</v>
      </c>
    </row>
    <row r="40" spans="1:4" ht="12.75">
      <c r="A40" s="4" t="s">
        <v>923</v>
      </c>
      <c r="B40" s="290">
        <v>2000</v>
      </c>
      <c r="C40" s="290">
        <v>2000</v>
      </c>
      <c r="D40" s="833">
        <v>2000</v>
      </c>
    </row>
    <row r="41" spans="1:4" ht="12.75">
      <c r="A41" s="4" t="s">
        <v>924</v>
      </c>
      <c r="B41" s="290">
        <v>4600</v>
      </c>
      <c r="C41" s="290">
        <v>4600</v>
      </c>
      <c r="D41" s="833">
        <v>4600</v>
      </c>
    </row>
    <row r="42" spans="1:4" ht="12.75">
      <c r="A42" s="4" t="s">
        <v>925</v>
      </c>
      <c r="B42" s="290">
        <v>2000</v>
      </c>
      <c r="C42" s="290">
        <v>2000</v>
      </c>
      <c r="D42" s="833">
        <v>2000</v>
      </c>
    </row>
    <row r="43" spans="1:4" s="287" customFormat="1" ht="12.75">
      <c r="A43" s="4" t="s">
        <v>926</v>
      </c>
      <c r="B43" s="290">
        <v>2000</v>
      </c>
      <c r="C43" s="290">
        <v>2000</v>
      </c>
      <c r="D43" s="833">
        <v>2000</v>
      </c>
    </row>
    <row r="44" spans="1:4" ht="12.75">
      <c r="A44" s="4" t="s">
        <v>927</v>
      </c>
      <c r="B44" s="290">
        <v>180</v>
      </c>
      <c r="C44" s="290">
        <v>180</v>
      </c>
      <c r="D44" s="833">
        <v>180</v>
      </c>
    </row>
    <row r="45" spans="1:4" ht="12.75">
      <c r="A45" s="4" t="s">
        <v>928</v>
      </c>
      <c r="B45" s="290"/>
      <c r="C45" s="290"/>
      <c r="D45" s="833">
        <v>448</v>
      </c>
    </row>
    <row r="46" spans="1:4" ht="12.75">
      <c r="A46" s="4" t="s">
        <v>929</v>
      </c>
      <c r="B46" s="290"/>
      <c r="C46" s="290"/>
      <c r="D46" s="833">
        <v>4950</v>
      </c>
    </row>
    <row r="47" spans="1:4" ht="12.75">
      <c r="A47" s="4" t="s">
        <v>930</v>
      </c>
      <c r="B47" s="290"/>
      <c r="C47" s="290"/>
      <c r="D47" s="833">
        <v>43473</v>
      </c>
    </row>
    <row r="48" spans="1:4" s="287" customFormat="1" ht="12.75">
      <c r="A48" s="4"/>
      <c r="B48" s="290"/>
      <c r="C48" s="290"/>
      <c r="D48" s="6"/>
    </row>
    <row r="49" spans="1:4" ht="12.75">
      <c r="A49" s="11" t="s">
        <v>170</v>
      </c>
      <c r="B49" s="291">
        <v>0</v>
      </c>
      <c r="C49" s="291">
        <v>0</v>
      </c>
      <c r="D49" s="6">
        <f>SUM(D51)</f>
        <v>971</v>
      </c>
    </row>
    <row r="50" spans="1:4" ht="12.75">
      <c r="A50" s="834"/>
      <c r="B50" s="835"/>
      <c r="C50" s="291"/>
      <c r="D50" s="6"/>
    </row>
    <row r="51" spans="1:4" s="475" customFormat="1" ht="13.5">
      <c r="A51" s="836" t="s">
        <v>873</v>
      </c>
      <c r="B51" s="837"/>
      <c r="C51" s="315"/>
      <c r="D51" s="19">
        <f>SUM(D52)</f>
        <v>971</v>
      </c>
    </row>
    <row r="52" spans="1:4" ht="12.75">
      <c r="A52" s="838" t="s">
        <v>931</v>
      </c>
      <c r="B52" s="839"/>
      <c r="C52" s="290"/>
      <c r="D52" s="833">
        <v>971</v>
      </c>
    </row>
    <row r="53" spans="1:4" ht="12.75">
      <c r="A53" s="838"/>
      <c r="B53" s="839"/>
      <c r="C53" s="290"/>
      <c r="D53" s="833"/>
    </row>
    <row r="54" spans="1:4" ht="12.75">
      <c r="A54" s="11" t="s">
        <v>883</v>
      </c>
      <c r="B54" s="291">
        <f>SUM(B55:B61)</f>
        <v>31481</v>
      </c>
      <c r="C54" s="291">
        <f>SUM(C55:C61)</f>
        <v>31481</v>
      </c>
      <c r="D54" s="6">
        <f>SUM(D55:D61)</f>
        <v>39981</v>
      </c>
    </row>
    <row r="55" spans="1:4" ht="12.75">
      <c r="A55" s="4" t="s">
        <v>932</v>
      </c>
      <c r="B55" s="290">
        <v>500</v>
      </c>
      <c r="C55" s="290">
        <v>500</v>
      </c>
      <c r="D55" s="833">
        <v>500</v>
      </c>
    </row>
    <row r="56" spans="1:4" ht="12.75">
      <c r="A56" s="4" t="s">
        <v>933</v>
      </c>
      <c r="B56" s="290">
        <f>2300-2000</f>
        <v>300</v>
      </c>
      <c r="C56" s="290">
        <v>300</v>
      </c>
      <c r="D56" s="833">
        <v>300</v>
      </c>
    </row>
    <row r="57" spans="1:4" ht="12.75">
      <c r="A57" s="4" t="s">
        <v>934</v>
      </c>
      <c r="B57" s="290">
        <v>450</v>
      </c>
      <c r="C57" s="290">
        <v>450</v>
      </c>
      <c r="D57" s="833">
        <v>450</v>
      </c>
    </row>
    <row r="58" spans="1:4" ht="25.5">
      <c r="A58" s="4" t="s">
        <v>935</v>
      </c>
      <c r="B58" s="290">
        <v>25000</v>
      </c>
      <c r="C58" s="290">
        <v>25000</v>
      </c>
      <c r="D58" s="833">
        <v>33500</v>
      </c>
    </row>
    <row r="59" spans="1:4" ht="25.5">
      <c r="A59" s="4" t="s">
        <v>936</v>
      </c>
      <c r="B59" s="290">
        <v>650</v>
      </c>
      <c r="C59" s="290">
        <v>650</v>
      </c>
      <c r="D59" s="833">
        <v>650</v>
      </c>
    </row>
    <row r="60" spans="1:4" ht="25.5">
      <c r="A60" s="4" t="s">
        <v>937</v>
      </c>
      <c r="B60" s="290">
        <v>2000</v>
      </c>
      <c r="C60" s="290">
        <v>2000</v>
      </c>
      <c r="D60" s="833">
        <v>2000</v>
      </c>
    </row>
    <row r="61" spans="1:4" ht="25.5">
      <c r="A61" s="4" t="s">
        <v>938</v>
      </c>
      <c r="B61" s="290">
        <v>2581</v>
      </c>
      <c r="C61" s="290">
        <v>2581</v>
      </c>
      <c r="D61" s="833">
        <v>2581</v>
      </c>
    </row>
    <row r="62" spans="1:4" ht="12.75">
      <c r="A62" s="4"/>
      <c r="B62" s="290"/>
      <c r="C62" s="290"/>
      <c r="D62" s="833"/>
    </row>
    <row r="63" spans="1:4" s="288" customFormat="1" ht="12.75">
      <c r="A63" s="11" t="s">
        <v>171</v>
      </c>
      <c r="B63" s="291">
        <f>SUM(B64:B64)</f>
        <v>0</v>
      </c>
      <c r="C63" s="291">
        <f>SUM(C64)</f>
        <v>13423</v>
      </c>
      <c r="D63" s="6">
        <f>SUM(D64)</f>
        <v>13423</v>
      </c>
    </row>
    <row r="64" spans="1:4" ht="12.75">
      <c r="A64" s="4" t="s">
        <v>939</v>
      </c>
      <c r="B64" s="290"/>
      <c r="C64" s="290">
        <v>13423</v>
      </c>
      <c r="D64" s="833">
        <v>13423</v>
      </c>
    </row>
    <row r="65" spans="1:4" ht="12.75">
      <c r="A65" s="4"/>
      <c r="B65" s="290"/>
      <c r="C65" s="290"/>
      <c r="D65" s="833"/>
    </row>
    <row r="66" spans="1:4" ht="13.5" thickBot="1">
      <c r="A66" s="15" t="s">
        <v>172</v>
      </c>
      <c r="B66" s="317">
        <f>SUM(B7,B54,B63,B49)</f>
        <v>283400</v>
      </c>
      <c r="C66" s="317">
        <f>SUM(C7,C54,C63,C49)</f>
        <v>305538</v>
      </c>
      <c r="D66" s="66">
        <f>SUM(D7,D54,D63,D49)</f>
        <v>388751</v>
      </c>
    </row>
    <row r="67" spans="1:4" ht="12.75">
      <c r="A67" s="346"/>
      <c r="B67" s="7"/>
      <c r="D67" s="8"/>
    </row>
    <row r="68" spans="1:4" ht="12.75">
      <c r="A68" s="346"/>
      <c r="B68" s="7"/>
      <c r="D68" s="8"/>
    </row>
    <row r="69" spans="1:4" ht="12.75">
      <c r="A69" s="346"/>
      <c r="B69" s="7"/>
      <c r="D69" s="8"/>
    </row>
    <row r="70" spans="1:4" ht="12.75">
      <c r="A70" s="346"/>
      <c r="B70" s="7"/>
      <c r="D70" s="8"/>
    </row>
    <row r="71" spans="1:4" ht="12.75">
      <c r="A71" s="346"/>
      <c r="B71" s="7"/>
      <c r="D71" s="8"/>
    </row>
    <row r="72" spans="1:4" ht="12.75">
      <c r="A72" s="346"/>
      <c r="B72" s="7"/>
      <c r="D72" s="8"/>
    </row>
    <row r="73" spans="1:4" ht="12.75">
      <c r="A73" s="346"/>
      <c r="B73" s="7"/>
      <c r="D73" s="8"/>
    </row>
    <row r="74" spans="1:4" ht="12.75">
      <c r="A74" s="346"/>
      <c r="B74" s="7"/>
      <c r="D74" s="8"/>
    </row>
    <row r="75" spans="1:4" ht="12.75">
      <c r="A75" s="346"/>
      <c r="B75" s="7"/>
      <c r="D75" s="8"/>
    </row>
    <row r="76" spans="1:4" ht="12.75">
      <c r="A76" s="346"/>
      <c r="B76" s="7"/>
      <c r="D76" s="8"/>
    </row>
    <row r="77" spans="1:4" ht="12.75">
      <c r="A77" s="346"/>
      <c r="B77" s="7"/>
      <c r="D77" s="8"/>
    </row>
    <row r="78" spans="1:4" ht="12.75">
      <c r="A78" s="346"/>
      <c r="B78" s="7"/>
      <c r="D78" s="8"/>
    </row>
    <row r="79" spans="1:4" ht="12.75">
      <c r="A79" s="346"/>
      <c r="B79" s="7"/>
      <c r="D79" s="8"/>
    </row>
    <row r="80" spans="1:4" ht="12.75">
      <c r="A80" s="346"/>
      <c r="B80" s="7"/>
      <c r="D80" s="8"/>
    </row>
    <row r="81" spans="1:4" ht="12.75">
      <c r="A81" s="346"/>
      <c r="B81" s="7"/>
      <c r="D81" s="8"/>
    </row>
    <row r="82" spans="1:4" ht="12.75">
      <c r="A82" s="346"/>
      <c r="B82" s="7"/>
      <c r="D82" s="8"/>
    </row>
    <row r="83" spans="1:4" ht="12.75">
      <c r="A83" s="346"/>
      <c r="B83" s="7"/>
      <c r="D83" s="8"/>
    </row>
    <row r="84" spans="1:4" ht="12.75">
      <c r="A84" s="346"/>
      <c r="B84" s="7"/>
      <c r="D84" s="8"/>
    </row>
    <row r="85" spans="1:4" ht="12.75">
      <c r="A85" s="346"/>
      <c r="B85" s="7"/>
      <c r="D85" s="8"/>
    </row>
    <row r="86" spans="1:4" ht="12.75">
      <c r="A86" s="346"/>
      <c r="B86" s="7"/>
      <c r="D86" s="8"/>
    </row>
    <row r="87" spans="1:4" ht="12.75">
      <c r="A87" s="346"/>
      <c r="B87" s="7"/>
      <c r="D87" s="8"/>
    </row>
    <row r="88" spans="1:4" ht="12.75">
      <c r="A88" s="346"/>
      <c r="B88" s="7"/>
      <c r="D88" s="8"/>
    </row>
    <row r="89" spans="1:4" ht="12.75">
      <c r="A89" s="346"/>
      <c r="B89" s="7"/>
      <c r="D89" s="8"/>
    </row>
    <row r="90" spans="1:4" ht="12.75">
      <c r="A90" s="346"/>
      <c r="B90" s="7"/>
      <c r="D90" s="8"/>
    </row>
    <row r="91" spans="1:4" ht="12.75">
      <c r="A91" s="346"/>
      <c r="B91" s="7"/>
      <c r="D91" s="8"/>
    </row>
    <row r="92" spans="1:4" ht="12.75">
      <c r="A92" s="346"/>
      <c r="B92" s="7"/>
      <c r="D92" s="8"/>
    </row>
    <row r="93" spans="1:4" ht="12.75">
      <c r="A93" s="346"/>
      <c r="B93" s="7"/>
      <c r="D93" s="8"/>
    </row>
    <row r="94" spans="1:4" ht="12.75">
      <c r="A94" s="346"/>
      <c r="B94" s="7"/>
      <c r="D94" s="8"/>
    </row>
    <row r="95" spans="1:4" ht="12.75">
      <c r="A95" s="346"/>
      <c r="B95" s="7"/>
      <c r="D95" s="8"/>
    </row>
    <row r="96" spans="1:4" ht="12.75">
      <c r="A96" s="346"/>
      <c r="B96" s="7"/>
      <c r="D96" s="8"/>
    </row>
    <row r="97" spans="1:4" ht="12.75">
      <c r="A97" s="346"/>
      <c r="B97" s="7"/>
      <c r="D97" s="8"/>
    </row>
    <row r="98" spans="1:4" ht="12.75">
      <c r="A98" s="346"/>
      <c r="B98" s="7"/>
      <c r="D98" s="8"/>
    </row>
    <row r="99" spans="1:4" ht="12.75">
      <c r="A99" s="346"/>
      <c r="B99" s="7"/>
      <c r="D99" s="8"/>
    </row>
    <row r="100" spans="1:4" ht="12.75">
      <c r="A100" s="346"/>
      <c r="B100" s="7"/>
      <c r="D100" s="8"/>
    </row>
    <row r="101" spans="1:4" ht="12.75">
      <c r="A101" s="346"/>
      <c r="B101" s="7"/>
      <c r="D101" s="8"/>
    </row>
    <row r="102" spans="1:4" ht="12.75">
      <c r="A102" s="346"/>
      <c r="B102" s="7"/>
      <c r="D102" s="8"/>
    </row>
    <row r="103" spans="1:4" ht="12.75">
      <c r="A103" s="346"/>
      <c r="B103" s="7"/>
      <c r="D103" s="8"/>
    </row>
    <row r="104" spans="1:4" ht="12.75">
      <c r="A104" s="346"/>
      <c r="B104" s="7"/>
      <c r="D104" s="8"/>
    </row>
    <row r="105" spans="1:4" ht="12.75">
      <c r="A105" s="346"/>
      <c r="B105" s="7"/>
      <c r="D105" s="8"/>
    </row>
    <row r="106" spans="1:4" ht="12.75">
      <c r="A106" s="346"/>
      <c r="B106" s="7"/>
      <c r="D106" s="8"/>
    </row>
    <row r="107" spans="1:4" ht="12.75">
      <c r="A107" s="346"/>
      <c r="B107" s="7"/>
      <c r="D107" s="8"/>
    </row>
    <row r="108" spans="1:4" ht="12.75">
      <c r="A108" s="346"/>
      <c r="B108" s="7"/>
      <c r="D108" s="8"/>
    </row>
    <row r="109" spans="1:4" ht="12.75">
      <c r="A109" s="346"/>
      <c r="B109" s="7"/>
      <c r="D109" s="8"/>
    </row>
    <row r="110" spans="1:4" ht="12.75">
      <c r="A110" s="346"/>
      <c r="B110" s="7"/>
      <c r="D110" s="8"/>
    </row>
    <row r="111" spans="1:4" ht="12.75">
      <c r="A111" s="346"/>
      <c r="B111" s="7"/>
      <c r="D111" s="8"/>
    </row>
    <row r="112" spans="1:4" ht="12.75">
      <c r="A112" s="346"/>
      <c r="B112" s="7"/>
      <c r="D112" s="8"/>
    </row>
    <row r="113" spans="1:4" ht="12.75">
      <c r="A113" s="346"/>
      <c r="B113" s="7"/>
      <c r="D113" s="8"/>
    </row>
    <row r="114" spans="1:4" ht="12.75">
      <c r="A114" s="346"/>
      <c r="B114" s="7"/>
      <c r="D114" s="8"/>
    </row>
    <row r="115" spans="1:4" ht="12.75">
      <c r="A115" s="346"/>
      <c r="B115" s="7"/>
      <c r="D115" s="8"/>
    </row>
    <row r="116" spans="1:4" ht="12.75">
      <c r="A116" s="346"/>
      <c r="B116" s="7"/>
      <c r="D116" s="8"/>
    </row>
    <row r="117" spans="1:4" ht="12.75">
      <c r="A117" s="346"/>
      <c r="B117" s="7"/>
      <c r="D117" s="8"/>
    </row>
    <row r="118" spans="1:4" ht="12.75">
      <c r="A118" s="346"/>
      <c r="B118" s="7"/>
      <c r="D118" s="8"/>
    </row>
    <row r="119" spans="1:4" ht="12.75">
      <c r="A119" s="346"/>
      <c r="B119" s="7"/>
      <c r="D119" s="8"/>
    </row>
    <row r="120" spans="1:4" ht="12.75">
      <c r="A120" s="346"/>
      <c r="B120" s="7"/>
      <c r="D120" s="8"/>
    </row>
    <row r="121" spans="1:4" ht="12.75">
      <c r="A121" s="346"/>
      <c r="B121" s="7"/>
      <c r="D121" s="8"/>
    </row>
    <row r="122" spans="1:4" ht="12.75">
      <c r="A122" s="346"/>
      <c r="B122" s="7"/>
      <c r="D122" s="8"/>
    </row>
    <row r="123" spans="1:4" ht="12.75">
      <c r="A123" s="346"/>
      <c r="B123" s="7"/>
      <c r="D123" s="8"/>
    </row>
    <row r="124" spans="1:4" ht="12.75">
      <c r="A124" s="346"/>
      <c r="B124" s="7"/>
      <c r="D124" s="8"/>
    </row>
    <row r="125" spans="1:4" ht="12.75">
      <c r="A125" s="346"/>
      <c r="B125" s="7"/>
      <c r="D125" s="8"/>
    </row>
    <row r="126" spans="1:4" ht="12.75">
      <c r="A126" s="346"/>
      <c r="B126" s="7"/>
      <c r="D126" s="8"/>
    </row>
    <row r="127" spans="1:4" ht="12.75">
      <c r="A127" s="346"/>
      <c r="B127" s="7"/>
      <c r="D127" s="8"/>
    </row>
    <row r="128" spans="1:4" ht="12.75">
      <c r="A128" s="346"/>
      <c r="B128" s="7"/>
      <c r="D128" s="8"/>
    </row>
    <row r="129" spans="1:4" ht="12.75">
      <c r="A129" s="346"/>
      <c r="B129" s="7"/>
      <c r="D129" s="8"/>
    </row>
    <row r="130" spans="1:4" ht="12.75">
      <c r="A130" s="346"/>
      <c r="B130" s="7"/>
      <c r="D130" s="8"/>
    </row>
    <row r="131" spans="1:4" ht="12.75">
      <c r="A131" s="346"/>
      <c r="B131" s="7"/>
      <c r="D131" s="8"/>
    </row>
    <row r="132" spans="1:4" ht="12.75">
      <c r="A132" s="346"/>
      <c r="B132" s="7"/>
      <c r="D132" s="8"/>
    </row>
    <row r="133" spans="1:4" ht="12.75">
      <c r="A133" s="346"/>
      <c r="B133" s="7"/>
      <c r="D133" s="8"/>
    </row>
    <row r="134" spans="1:4" ht="12.75">
      <c r="A134" s="346"/>
      <c r="B134" s="7"/>
      <c r="D134" s="8"/>
    </row>
    <row r="135" spans="1:4" ht="12.75">
      <c r="A135" s="346"/>
      <c r="B135" s="7"/>
      <c r="D135" s="8"/>
    </row>
    <row r="136" spans="1:4" ht="12.75">
      <c r="A136" s="346"/>
      <c r="B136" s="7"/>
      <c r="D136" s="8"/>
    </row>
    <row r="137" spans="1:4" ht="12.75">
      <c r="A137" s="346"/>
      <c r="B137" s="7"/>
      <c r="D137" s="8"/>
    </row>
    <row r="138" spans="1:4" ht="12.75">
      <c r="A138" s="346"/>
      <c r="B138" s="7"/>
      <c r="D138" s="8"/>
    </row>
    <row r="139" spans="1:4" ht="12.75">
      <c r="A139" s="346"/>
      <c r="B139" s="7"/>
      <c r="D139" s="8"/>
    </row>
    <row r="140" spans="1:4" ht="12.75">
      <c r="A140" s="346"/>
      <c r="B140" s="7"/>
      <c r="D140" s="8"/>
    </row>
    <row r="141" spans="1:4" ht="12.75">
      <c r="A141" s="346"/>
      <c r="B141" s="7"/>
      <c r="D141" s="8"/>
    </row>
    <row r="142" spans="1:4" ht="12.75">
      <c r="A142" s="346"/>
      <c r="B142" s="7"/>
      <c r="D142" s="8"/>
    </row>
    <row r="143" spans="1:4" ht="12.75">
      <c r="A143" s="346"/>
      <c r="B143" s="7"/>
      <c r="D143" s="8"/>
    </row>
    <row r="144" spans="1:4" ht="12.75">
      <c r="A144" s="346"/>
      <c r="B144" s="7"/>
      <c r="D144" s="8"/>
    </row>
    <row r="145" spans="1:4" ht="12.75">
      <c r="A145" s="346"/>
      <c r="B145" s="7"/>
      <c r="D145" s="8"/>
    </row>
    <row r="146" spans="1:4" ht="12.75">
      <c r="A146" s="346"/>
      <c r="B146" s="7"/>
      <c r="D146" s="8"/>
    </row>
    <row r="147" spans="1:4" ht="12.75">
      <c r="A147" s="346"/>
      <c r="B147" s="7"/>
      <c r="D147" s="8"/>
    </row>
    <row r="148" spans="1:4" ht="12.75">
      <c r="A148" s="346"/>
      <c r="B148" s="7"/>
      <c r="D148" s="8"/>
    </row>
    <row r="149" spans="1:4" ht="12.75">
      <c r="A149" s="346"/>
      <c r="B149" s="7"/>
      <c r="D149" s="8"/>
    </row>
    <row r="150" spans="1:4" ht="12.75">
      <c r="A150" s="346"/>
      <c r="B150" s="7"/>
      <c r="D150" s="8"/>
    </row>
    <row r="151" spans="1:4" ht="12.75">
      <c r="A151" s="346"/>
      <c r="B151" s="7"/>
      <c r="D151" s="8"/>
    </row>
    <row r="152" spans="1:4" ht="12.75">
      <c r="A152" s="346"/>
      <c r="B152" s="7"/>
      <c r="D152" s="8"/>
    </row>
    <row r="153" spans="1:4" ht="12.75">
      <c r="A153" s="346"/>
      <c r="B153" s="7"/>
      <c r="D153" s="8"/>
    </row>
    <row r="154" spans="1:4" ht="12.75">
      <c r="A154" s="346"/>
      <c r="B154" s="7"/>
      <c r="D154" s="8"/>
    </row>
    <row r="155" spans="1:4" ht="12.75">
      <c r="A155" s="346"/>
      <c r="B155" s="7"/>
      <c r="D155" s="8"/>
    </row>
    <row r="156" spans="1:4" ht="12.75">
      <c r="A156" s="346"/>
      <c r="B156" s="7"/>
      <c r="D156" s="8"/>
    </row>
    <row r="157" spans="1:4" ht="12.75">
      <c r="A157" s="346"/>
      <c r="B157" s="7"/>
      <c r="D157" s="8"/>
    </row>
    <row r="158" spans="1:4" ht="12.75">
      <c r="A158" s="346"/>
      <c r="B158" s="7"/>
      <c r="D158" s="8"/>
    </row>
    <row r="159" spans="1:4" ht="12.75">
      <c r="A159" s="346"/>
      <c r="B159" s="7"/>
      <c r="D159" s="8"/>
    </row>
    <row r="160" spans="1:4" ht="12.75">
      <c r="A160" s="346"/>
      <c r="B160" s="7"/>
      <c r="D160" s="8"/>
    </row>
    <row r="161" spans="1:4" ht="12.75">
      <c r="A161" s="346"/>
      <c r="B161" s="7"/>
      <c r="D161" s="8"/>
    </row>
    <row r="162" spans="1:4" ht="12.75">
      <c r="A162" s="346"/>
      <c r="B162" s="7"/>
      <c r="D162" s="8"/>
    </row>
    <row r="163" spans="1:4" ht="12.75">
      <c r="A163" s="346"/>
      <c r="B163" s="7"/>
      <c r="D163" s="8"/>
    </row>
    <row r="164" spans="1:4" ht="12.75">
      <c r="A164" s="346"/>
      <c r="B164" s="7"/>
      <c r="D164" s="8"/>
    </row>
    <row r="165" spans="1:4" ht="12.75">
      <c r="A165" s="346"/>
      <c r="B165" s="7"/>
      <c r="D165" s="8"/>
    </row>
    <row r="166" spans="1:4" ht="12.75">
      <c r="A166" s="346"/>
      <c r="B166" s="7"/>
      <c r="D166" s="8"/>
    </row>
    <row r="167" spans="1:4" ht="12.75">
      <c r="A167" s="346"/>
      <c r="B167" s="7"/>
      <c r="D167" s="8"/>
    </row>
    <row r="168" spans="1:4" ht="12.75">
      <c r="A168" s="346"/>
      <c r="B168" s="7"/>
      <c r="D168" s="8"/>
    </row>
    <row r="169" spans="1:4" ht="12.75">
      <c r="A169" s="346"/>
      <c r="B169" s="7"/>
      <c r="D169" s="8"/>
    </row>
    <row r="170" spans="1:4" ht="12.75">
      <c r="A170" s="346"/>
      <c r="B170" s="7"/>
      <c r="D170" s="8"/>
    </row>
    <row r="171" spans="1:4" ht="12.75">
      <c r="A171" s="346"/>
      <c r="B171" s="7"/>
      <c r="D171" s="8"/>
    </row>
    <row r="172" spans="1:4" ht="12.75">
      <c r="A172" s="346"/>
      <c r="B172" s="7"/>
      <c r="D172" s="8"/>
    </row>
    <row r="173" spans="1:4" ht="12.75">
      <c r="A173" s="346"/>
      <c r="B173" s="7"/>
      <c r="D173" s="8"/>
    </row>
    <row r="174" spans="1:4" ht="12.75">
      <c r="A174" s="346"/>
      <c r="B174" s="7"/>
      <c r="D174" s="8"/>
    </row>
    <row r="175" spans="1:4" ht="12.75">
      <c r="A175" s="346"/>
      <c r="B175" s="7"/>
      <c r="D175" s="8"/>
    </row>
    <row r="176" spans="1:4" ht="12.75">
      <c r="A176" s="346"/>
      <c r="B176" s="7"/>
      <c r="D176" s="8"/>
    </row>
    <row r="177" spans="1:4" ht="12.75">
      <c r="A177" s="346"/>
      <c r="B177" s="7"/>
      <c r="D177" s="8"/>
    </row>
    <row r="178" spans="1:4" ht="12.75">
      <c r="A178" s="346"/>
      <c r="B178" s="7"/>
      <c r="D178" s="8"/>
    </row>
    <row r="179" spans="1:4" ht="12.75">
      <c r="A179" s="346"/>
      <c r="B179" s="7"/>
      <c r="D179" s="8"/>
    </row>
    <row r="180" spans="1:4" ht="12.75">
      <c r="A180" s="346"/>
      <c r="B180" s="7"/>
      <c r="D180" s="8"/>
    </row>
    <row r="181" spans="1:4" ht="12.75">
      <c r="A181" s="346"/>
      <c r="B181" s="7"/>
      <c r="D181" s="8"/>
    </row>
    <row r="182" spans="1:4" ht="12.75">
      <c r="A182" s="346"/>
      <c r="B182" s="7"/>
      <c r="D182" s="8"/>
    </row>
    <row r="183" spans="1:4" ht="12.75">
      <c r="A183" s="346"/>
      <c r="B183" s="7"/>
      <c r="D183" s="8"/>
    </row>
    <row r="184" spans="1:4" ht="12.75">
      <c r="A184" s="346"/>
      <c r="B184" s="7"/>
      <c r="D184" s="8"/>
    </row>
    <row r="185" spans="1:4" ht="12.75">
      <c r="A185" s="346"/>
      <c r="B185" s="7"/>
      <c r="D185" s="8"/>
    </row>
    <row r="186" spans="1:4" ht="12.75">
      <c r="A186" s="346"/>
      <c r="B186" s="7"/>
      <c r="D186" s="8"/>
    </row>
    <row r="187" spans="1:4" ht="12.75">
      <c r="A187" s="346"/>
      <c r="B187" s="7"/>
      <c r="D187" s="8"/>
    </row>
    <row r="188" spans="1:4" ht="12.75">
      <c r="A188" s="346"/>
      <c r="B188" s="7"/>
      <c r="D188" s="8"/>
    </row>
    <row r="189" spans="1:4" ht="12.75">
      <c r="A189" s="346"/>
      <c r="B189" s="7"/>
      <c r="D189" s="8"/>
    </row>
    <row r="190" spans="1:4" ht="12.75">
      <c r="A190" s="346"/>
      <c r="B190" s="7"/>
      <c r="D190" s="8"/>
    </row>
    <row r="191" spans="1:4" ht="12.75">
      <c r="A191" s="346"/>
      <c r="B191" s="7"/>
      <c r="D191" s="8"/>
    </row>
    <row r="192" spans="1:4" ht="12.75">
      <c r="A192" s="346"/>
      <c r="B192" s="7"/>
      <c r="D192" s="8"/>
    </row>
    <row r="193" spans="1:4" ht="12.75">
      <c r="A193" s="346"/>
      <c r="B193" s="7"/>
      <c r="D193" s="8"/>
    </row>
    <row r="194" spans="1:4" ht="12.75">
      <c r="A194" s="346"/>
      <c r="B194" s="7"/>
      <c r="D194" s="8"/>
    </row>
    <row r="195" spans="1:4" ht="12.75">
      <c r="A195" s="346"/>
      <c r="B195" s="7"/>
      <c r="D195" s="8"/>
    </row>
    <row r="196" spans="1:4" ht="12.75">
      <c r="A196" s="346"/>
      <c r="B196" s="7"/>
      <c r="D196" s="8"/>
    </row>
    <row r="197" spans="1:4" ht="12.75">
      <c r="A197" s="346"/>
      <c r="B197" s="7"/>
      <c r="D197" s="8"/>
    </row>
    <row r="198" spans="1:4" ht="12.75">
      <c r="A198" s="346"/>
      <c r="B198" s="7"/>
      <c r="D198" s="8"/>
    </row>
    <row r="199" spans="1:4" ht="12.75">
      <c r="A199" s="346"/>
      <c r="B199" s="7"/>
      <c r="D199" s="8"/>
    </row>
    <row r="200" spans="1:4" ht="12.75">
      <c r="A200" s="346"/>
      <c r="B200" s="7"/>
      <c r="D200" s="8"/>
    </row>
    <row r="201" spans="1:4" ht="12.75">
      <c r="A201" s="346"/>
      <c r="B201" s="7"/>
      <c r="D201" s="8"/>
    </row>
    <row r="202" spans="1:4" ht="12.75">
      <c r="A202" s="346"/>
      <c r="B202" s="7"/>
      <c r="D202" s="8"/>
    </row>
    <row r="203" spans="1:4" ht="12.75">
      <c r="A203" s="346"/>
      <c r="B203" s="7"/>
      <c r="D203" s="8"/>
    </row>
    <row r="204" spans="1:4" ht="12.75">
      <c r="A204" s="346"/>
      <c r="B204" s="7"/>
      <c r="D204" s="8"/>
    </row>
    <row r="205" spans="1:4" ht="12.75">
      <c r="A205" s="346"/>
      <c r="B205" s="7"/>
      <c r="D205" s="8"/>
    </row>
    <row r="206" spans="1:4" ht="12.75">
      <c r="A206" s="346"/>
      <c r="B206" s="7"/>
      <c r="D206" s="8"/>
    </row>
    <row r="207" spans="1:4" ht="12.75">
      <c r="A207" s="346"/>
      <c r="B207" s="7"/>
      <c r="D207" s="8"/>
    </row>
    <row r="208" spans="1:4" ht="12.75">
      <c r="A208" s="346"/>
      <c r="B208" s="7"/>
      <c r="D208" s="8"/>
    </row>
    <row r="209" spans="1:4" ht="12.75">
      <c r="A209" s="346"/>
      <c r="B209" s="7"/>
      <c r="D209" s="8"/>
    </row>
    <row r="210" spans="1:4" ht="12.75">
      <c r="A210" s="346"/>
      <c r="B210" s="7"/>
      <c r="D210" s="8"/>
    </row>
    <row r="211" spans="1:4" ht="12.75">
      <c r="A211" s="346"/>
      <c r="B211" s="7"/>
      <c r="D211" s="8"/>
    </row>
    <row r="212" spans="1:4" ht="12.75">
      <c r="A212" s="346"/>
      <c r="B212" s="7"/>
      <c r="D212" s="8"/>
    </row>
    <row r="213" spans="1:4" ht="12.75">
      <c r="A213" s="346"/>
      <c r="B213" s="7"/>
      <c r="D213" s="8"/>
    </row>
    <row r="214" spans="1:4" ht="12.75">
      <c r="A214" s="346"/>
      <c r="B214" s="7"/>
      <c r="D214" s="8"/>
    </row>
    <row r="215" spans="1:4" ht="12.75">
      <c r="A215" s="346"/>
      <c r="B215" s="7"/>
      <c r="D215" s="8"/>
    </row>
    <row r="216" spans="1:4" ht="12.75">
      <c r="A216" s="346"/>
      <c r="B216" s="7"/>
      <c r="D216" s="8"/>
    </row>
    <row r="217" spans="1:4" ht="12.75">
      <c r="A217" s="346"/>
      <c r="B217" s="7"/>
      <c r="D217" s="8"/>
    </row>
    <row r="218" spans="1:4" ht="12.75">
      <c r="A218" s="346"/>
      <c r="B218" s="7"/>
      <c r="D218" s="8"/>
    </row>
    <row r="219" spans="1:4" ht="12.75">
      <c r="A219" s="346"/>
      <c r="B219" s="7"/>
      <c r="D219" s="8"/>
    </row>
    <row r="220" spans="1:4" ht="12.75">
      <c r="A220" s="346"/>
      <c r="B220" s="7"/>
      <c r="D220" s="8"/>
    </row>
    <row r="221" spans="1:4" ht="12.75">
      <c r="A221" s="346"/>
      <c r="B221" s="7"/>
      <c r="D221" s="8"/>
    </row>
    <row r="222" spans="1:4" ht="12.75">
      <c r="A222" s="346"/>
      <c r="B222" s="7"/>
      <c r="D222" s="8"/>
    </row>
    <row r="223" spans="1:4" ht="12.75">
      <c r="A223" s="346"/>
      <c r="B223" s="7"/>
      <c r="D223" s="8"/>
    </row>
    <row r="224" spans="1:4" ht="12.75">
      <c r="A224" s="346"/>
      <c r="B224" s="7"/>
      <c r="D224" s="8"/>
    </row>
    <row r="225" spans="1:4" ht="12.75">
      <c r="A225" s="346"/>
      <c r="B225" s="7"/>
      <c r="D225" s="8"/>
    </row>
    <row r="226" spans="1:4" ht="12.75">
      <c r="A226" s="346"/>
      <c r="B226" s="7"/>
      <c r="D226" s="8"/>
    </row>
    <row r="227" spans="1:4" ht="12.75">
      <c r="A227" s="346"/>
      <c r="B227" s="7"/>
      <c r="D227" s="8"/>
    </row>
    <row r="228" spans="1:4" ht="12.75">
      <c r="A228" s="346"/>
      <c r="B228" s="7"/>
      <c r="D228" s="8"/>
    </row>
    <row r="229" spans="1:4" ht="12.75">
      <c r="A229" s="346"/>
      <c r="B229" s="7"/>
      <c r="D229" s="8"/>
    </row>
    <row r="230" spans="1:4" ht="12.75">
      <c r="A230" s="346"/>
      <c r="B230" s="7"/>
      <c r="D230" s="8"/>
    </row>
    <row r="231" spans="1:4" ht="12.75">
      <c r="A231" s="346"/>
      <c r="B231" s="7"/>
      <c r="D231" s="8"/>
    </row>
    <row r="232" spans="1:4" ht="12.75">
      <c r="A232" s="346"/>
      <c r="B232" s="7"/>
      <c r="D232" s="8"/>
    </row>
    <row r="233" spans="1:4" ht="12.75">
      <c r="A233" s="346"/>
      <c r="B233" s="7"/>
      <c r="D233" s="8"/>
    </row>
    <row r="234" spans="1:4" ht="12.75">
      <c r="A234" s="346"/>
      <c r="B234" s="7"/>
      <c r="D234" s="8"/>
    </row>
    <row r="235" spans="1:4" ht="12.75">
      <c r="A235" s="346"/>
      <c r="B235" s="7"/>
      <c r="D235" s="8"/>
    </row>
    <row r="236" spans="1:4" ht="12.75">
      <c r="A236" s="346"/>
      <c r="B236" s="7"/>
      <c r="D236" s="8"/>
    </row>
    <row r="237" spans="1:4" ht="12.75">
      <c r="A237" s="346"/>
      <c r="B237" s="7"/>
      <c r="D237" s="8"/>
    </row>
    <row r="238" spans="1:4" ht="12.75">
      <c r="A238" s="346"/>
      <c r="B238" s="7"/>
      <c r="D238" s="8"/>
    </row>
    <row r="239" spans="1:4" ht="12.75">
      <c r="A239" s="346"/>
      <c r="B239" s="7"/>
      <c r="D239" s="8"/>
    </row>
    <row r="240" spans="1:4" ht="12.75">
      <c r="A240" s="346"/>
      <c r="B240" s="7"/>
      <c r="D240" s="8"/>
    </row>
    <row r="241" spans="1:4" ht="12.75">
      <c r="A241" s="346"/>
      <c r="B241" s="7"/>
      <c r="D241" s="8"/>
    </row>
    <row r="242" spans="1:4" ht="12.75">
      <c r="A242" s="346"/>
      <c r="B242" s="7"/>
      <c r="D242" s="8"/>
    </row>
    <row r="243" spans="1:4" ht="12.75">
      <c r="A243" s="346"/>
      <c r="B243" s="7"/>
      <c r="D243" s="8"/>
    </row>
    <row r="244" spans="1:4" ht="12.75">
      <c r="A244" s="346"/>
      <c r="B244" s="7"/>
      <c r="D244" s="8"/>
    </row>
    <row r="245" spans="1:4" ht="12.75">
      <c r="A245" s="346"/>
      <c r="B245" s="7"/>
      <c r="D245" s="8"/>
    </row>
    <row r="246" spans="1:4" ht="12.75">
      <c r="A246" s="346"/>
      <c r="B246" s="7"/>
      <c r="D246" s="8"/>
    </row>
    <row r="247" spans="1:4" ht="12.75">
      <c r="A247" s="346"/>
      <c r="B247" s="7"/>
      <c r="D247" s="8"/>
    </row>
    <row r="248" spans="1:4" ht="12.75">
      <c r="A248" s="346"/>
      <c r="B248" s="7"/>
      <c r="D248" s="8"/>
    </row>
    <row r="249" spans="1:4" ht="12.75">
      <c r="A249" s="346"/>
      <c r="B249" s="7"/>
      <c r="D249" s="8"/>
    </row>
    <row r="250" spans="1:4" ht="12.75">
      <c r="A250" s="346"/>
      <c r="B250" s="7"/>
      <c r="D250" s="8"/>
    </row>
    <row r="251" spans="1:4" ht="12.75">
      <c r="A251" s="346"/>
      <c r="B251" s="7"/>
      <c r="D251" s="8"/>
    </row>
    <row r="252" spans="1:4" ht="12.75">
      <c r="A252" s="346"/>
      <c r="B252" s="7"/>
      <c r="D252" s="8"/>
    </row>
    <row r="253" spans="1:4" ht="12.75">
      <c r="A253" s="346"/>
      <c r="B253" s="7"/>
      <c r="D253" s="8"/>
    </row>
    <row r="254" spans="1:4" ht="12.75">
      <c r="A254" s="346"/>
      <c r="B254" s="7"/>
      <c r="D254" s="8"/>
    </row>
    <row r="255" spans="1:4" ht="12.75">
      <c r="A255" s="346"/>
      <c r="B255" s="7"/>
      <c r="D255" s="8"/>
    </row>
    <row r="256" spans="1:4" ht="12.75">
      <c r="A256" s="346"/>
      <c r="B256" s="7"/>
      <c r="D256" s="8"/>
    </row>
    <row r="257" spans="1:4" ht="12.75">
      <c r="A257" s="346"/>
      <c r="B257" s="7"/>
      <c r="D257" s="8"/>
    </row>
    <row r="258" spans="1:4" ht="12.75">
      <c r="A258" s="346"/>
      <c r="B258" s="7"/>
      <c r="D258" s="8"/>
    </row>
    <row r="259" spans="1:4" ht="12.75">
      <c r="A259" s="346"/>
      <c r="B259" s="7"/>
      <c r="D259" s="8"/>
    </row>
    <row r="260" spans="1:4" ht="12.75">
      <c r="A260" s="346"/>
      <c r="B260" s="7"/>
      <c r="D260" s="8"/>
    </row>
    <row r="261" spans="1:4" ht="12.75">
      <c r="A261" s="346"/>
      <c r="B261" s="7"/>
      <c r="D261" s="8"/>
    </row>
    <row r="262" spans="1:4" ht="12.75">
      <c r="A262" s="346"/>
      <c r="B262" s="7"/>
      <c r="D262" s="8"/>
    </row>
    <row r="263" spans="1:4" ht="12.75">
      <c r="A263" s="346"/>
      <c r="B263" s="7"/>
      <c r="D263" s="8"/>
    </row>
    <row r="264" spans="1:4" ht="12.75">
      <c r="A264" s="346"/>
      <c r="B264" s="7"/>
      <c r="D264" s="8"/>
    </row>
    <row r="265" spans="1:4" ht="12.75">
      <c r="A265" s="346"/>
      <c r="B265" s="7"/>
      <c r="D265" s="8"/>
    </row>
    <row r="266" spans="1:4" ht="12.75">
      <c r="A266" s="346"/>
      <c r="B266" s="7"/>
      <c r="D266" s="8"/>
    </row>
    <row r="267" spans="1:4" ht="12.75">
      <c r="A267" s="346"/>
      <c r="B267" s="7"/>
      <c r="D267" s="8"/>
    </row>
    <row r="268" spans="1:4" ht="12.75">
      <c r="A268" s="346"/>
      <c r="B268" s="7"/>
      <c r="D268" s="8"/>
    </row>
    <row r="269" spans="1:4" ht="12.75">
      <c r="A269" s="346"/>
      <c r="B269" s="7"/>
      <c r="D269" s="8"/>
    </row>
    <row r="270" spans="1:4" ht="12.75">
      <c r="A270" s="346"/>
      <c r="B270" s="7"/>
      <c r="D270" s="8"/>
    </row>
    <row r="271" spans="1:4" ht="12.75">
      <c r="A271" s="346"/>
      <c r="B271" s="7"/>
      <c r="D271" s="8"/>
    </row>
    <row r="272" spans="1:4" ht="12.75">
      <c r="A272" s="346"/>
      <c r="B272" s="7"/>
      <c r="D272" s="8"/>
    </row>
    <row r="273" spans="1:4" ht="12.75">
      <c r="A273" s="346"/>
      <c r="B273" s="7"/>
      <c r="D273" s="8"/>
    </row>
    <row r="274" spans="1:4" ht="12.75">
      <c r="A274" s="346"/>
      <c r="B274" s="7"/>
      <c r="D274" s="8"/>
    </row>
    <row r="275" spans="1:4" ht="12.75">
      <c r="A275" s="346"/>
      <c r="B275" s="7"/>
      <c r="D275" s="8"/>
    </row>
    <row r="276" spans="1:4" ht="12.75">
      <c r="A276" s="346"/>
      <c r="B276" s="7"/>
      <c r="D276" s="8"/>
    </row>
    <row r="277" spans="1:4" ht="12.75">
      <c r="A277" s="346"/>
      <c r="B277" s="7"/>
      <c r="D277" s="8"/>
    </row>
    <row r="278" spans="1:4" ht="12.75">
      <c r="A278" s="346"/>
      <c r="B278" s="7"/>
      <c r="D278" s="8"/>
    </row>
    <row r="279" spans="1:4" ht="12.75">
      <c r="A279" s="346"/>
      <c r="B279" s="7"/>
      <c r="D279" s="8"/>
    </row>
    <row r="280" spans="1:4" ht="12.75">
      <c r="A280" s="346"/>
      <c r="B280" s="7"/>
      <c r="D280" s="8"/>
    </row>
    <row r="281" spans="1:4" ht="12.75">
      <c r="A281" s="346"/>
      <c r="B281" s="7"/>
      <c r="D281" s="8"/>
    </row>
    <row r="282" spans="1:4" ht="12.75">
      <c r="A282" s="346"/>
      <c r="B282" s="7"/>
      <c r="D282" s="8"/>
    </row>
    <row r="283" spans="1:4" ht="12.75">
      <c r="A283" s="346"/>
      <c r="B283" s="7"/>
      <c r="D283" s="8"/>
    </row>
    <row r="284" spans="1:4" ht="12.75">
      <c r="A284" s="346"/>
      <c r="B284" s="7"/>
      <c r="D284" s="8"/>
    </row>
    <row r="285" spans="1:4" ht="12.75">
      <c r="A285" s="346"/>
      <c r="B285" s="7"/>
      <c r="D285" s="8"/>
    </row>
    <row r="286" spans="1:4" ht="12.75">
      <c r="A286" s="346"/>
      <c r="B286" s="7"/>
      <c r="D286" s="8"/>
    </row>
    <row r="287" spans="1:4" ht="12.75">
      <c r="A287" s="346"/>
      <c r="B287" s="7"/>
      <c r="D287" s="8"/>
    </row>
    <row r="288" spans="1:4" ht="12.75">
      <c r="A288" s="346"/>
      <c r="B288" s="7"/>
      <c r="D288" s="8"/>
    </row>
    <row r="289" spans="1:4" ht="12.75">
      <c r="A289" s="346"/>
      <c r="B289" s="7"/>
      <c r="D289" s="8"/>
    </row>
    <row r="290" spans="1:4" ht="12.75">
      <c r="A290" s="346"/>
      <c r="B290" s="7"/>
      <c r="D290" s="8"/>
    </row>
    <row r="291" spans="1:4" ht="12.75">
      <c r="A291" s="346"/>
      <c r="B291" s="7"/>
      <c r="D291" s="8"/>
    </row>
    <row r="292" spans="1:4" ht="12.75">
      <c r="A292" s="346"/>
      <c r="B292" s="7"/>
      <c r="D292" s="8"/>
    </row>
    <row r="293" spans="1:4" ht="12.75">
      <c r="A293" s="346"/>
      <c r="B293" s="7"/>
      <c r="D293" s="8"/>
    </row>
    <row r="294" spans="1:4" ht="12.75">
      <c r="A294" s="346"/>
      <c r="B294" s="7"/>
      <c r="D294" s="8"/>
    </row>
    <row r="295" spans="1:4" ht="12.75">
      <c r="A295" s="346"/>
      <c r="B295" s="7"/>
      <c r="D295" s="8"/>
    </row>
    <row r="296" spans="1:4" ht="12.75">
      <c r="A296" s="346"/>
      <c r="B296" s="7"/>
      <c r="D296" s="8"/>
    </row>
    <row r="297" spans="1:4" ht="12.75">
      <c r="A297" s="346"/>
      <c r="B297" s="7"/>
      <c r="D297" s="8"/>
    </row>
    <row r="298" spans="1:4" ht="12.75">
      <c r="A298" s="346"/>
      <c r="B298" s="7"/>
      <c r="D298" s="8"/>
    </row>
    <row r="299" spans="1:4" ht="12.75">
      <c r="A299" s="346"/>
      <c r="B299" s="7"/>
      <c r="D299" s="8"/>
    </row>
    <row r="300" spans="1:4" ht="12.75">
      <c r="A300" s="346"/>
      <c r="B300" s="7"/>
      <c r="D300" s="8"/>
    </row>
    <row r="301" spans="1:4" ht="12.75">
      <c r="A301" s="346"/>
      <c r="B301" s="7"/>
      <c r="D301" s="8"/>
    </row>
    <row r="302" spans="1:4" ht="12.75">
      <c r="A302" s="346"/>
      <c r="B302" s="7"/>
      <c r="D302" s="8"/>
    </row>
    <row r="303" spans="1:4" ht="12.75">
      <c r="A303" s="346"/>
      <c r="B303" s="7"/>
      <c r="D303" s="8"/>
    </row>
    <row r="304" spans="1:4" ht="12.75">
      <c r="A304" s="346"/>
      <c r="B304" s="7"/>
      <c r="D304" s="8"/>
    </row>
    <row r="305" spans="1:4" ht="12.75">
      <c r="A305" s="346"/>
      <c r="B305" s="7"/>
      <c r="D305" s="8"/>
    </row>
    <row r="306" spans="1:4" ht="12.75">
      <c r="A306" s="346"/>
      <c r="B306" s="7"/>
      <c r="D306" s="8"/>
    </row>
    <row r="307" spans="1:4" ht="12.75">
      <c r="A307" s="346"/>
      <c r="B307" s="7"/>
      <c r="D307" s="8"/>
    </row>
    <row r="308" spans="1:4" ht="12.75">
      <c r="A308" s="346"/>
      <c r="B308" s="7"/>
      <c r="D308" s="8"/>
    </row>
    <row r="309" spans="1:4" ht="12.75">
      <c r="A309" s="346"/>
      <c r="B309" s="7"/>
      <c r="D309" s="8"/>
    </row>
    <row r="310" spans="1:4" ht="12.75">
      <c r="A310" s="346"/>
      <c r="B310" s="7"/>
      <c r="D310" s="8"/>
    </row>
    <row r="311" spans="1:4" ht="12.75">
      <c r="A311" s="346"/>
      <c r="B311" s="7"/>
      <c r="D311" s="8"/>
    </row>
    <row r="312" spans="1:4" ht="12.75">
      <c r="A312" s="346"/>
      <c r="B312" s="7"/>
      <c r="D312" s="8"/>
    </row>
    <row r="313" spans="1:4" ht="12.75">
      <c r="A313" s="346"/>
      <c r="B313" s="7"/>
      <c r="D313" s="8"/>
    </row>
    <row r="314" spans="1:4" ht="12.75">
      <c r="A314" s="346"/>
      <c r="B314" s="7"/>
      <c r="D314" s="8"/>
    </row>
    <row r="315" spans="1:4" ht="12.75">
      <c r="A315" s="346"/>
      <c r="B315" s="7"/>
      <c r="D315" s="8"/>
    </row>
    <row r="316" spans="1:4" ht="12.75">
      <c r="A316" s="346"/>
      <c r="B316" s="7"/>
      <c r="D316" s="8"/>
    </row>
    <row r="317" spans="1:4" ht="12.75">
      <c r="A317" s="346"/>
      <c r="B317" s="7"/>
      <c r="D317" s="8"/>
    </row>
    <row r="318" spans="1:4" ht="12.75">
      <c r="A318" s="346"/>
      <c r="B318" s="7"/>
      <c r="D318" s="8"/>
    </row>
    <row r="319" spans="1:4" ht="12.75">
      <c r="A319" s="346"/>
      <c r="B319" s="7"/>
      <c r="D319" s="8"/>
    </row>
    <row r="320" spans="1:4" ht="12.75">
      <c r="A320" s="346"/>
      <c r="B320" s="7"/>
      <c r="D320" s="8"/>
    </row>
    <row r="321" spans="1:4" ht="12.75">
      <c r="A321" s="346"/>
      <c r="B321" s="7"/>
      <c r="D321" s="8"/>
    </row>
    <row r="322" spans="1:4" ht="12.75">
      <c r="A322" s="346"/>
      <c r="B322" s="7"/>
      <c r="D322" s="8"/>
    </row>
    <row r="323" spans="1:4" ht="12.75">
      <c r="A323" s="346"/>
      <c r="B323" s="7"/>
      <c r="D323" s="8"/>
    </row>
    <row r="324" spans="1:4" ht="12.75">
      <c r="A324" s="346"/>
      <c r="B324" s="7"/>
      <c r="D324" s="8"/>
    </row>
    <row r="325" spans="1:4" ht="12.75">
      <c r="A325" s="346"/>
      <c r="B325" s="7"/>
      <c r="D325" s="8"/>
    </row>
    <row r="326" spans="1:4" ht="12.75">
      <c r="A326" s="346"/>
      <c r="B326" s="7"/>
      <c r="D326" s="8"/>
    </row>
    <row r="327" spans="1:4" ht="12.75">
      <c r="A327" s="346"/>
      <c r="B327" s="7"/>
      <c r="D327" s="8"/>
    </row>
    <row r="328" spans="1:4" ht="12.75">
      <c r="A328" s="346"/>
      <c r="B328" s="7"/>
      <c r="D328" s="8"/>
    </row>
    <row r="329" spans="1:4" ht="12.75">
      <c r="A329" s="346"/>
      <c r="B329" s="7"/>
      <c r="D329" s="8"/>
    </row>
    <row r="330" spans="1:4" ht="12.75">
      <c r="A330" s="346"/>
      <c r="B330" s="7"/>
      <c r="D330" s="8"/>
    </row>
    <row r="331" spans="1:4" ht="12.75">
      <c r="A331" s="346"/>
      <c r="B331" s="7"/>
      <c r="D331" s="8"/>
    </row>
    <row r="332" spans="1:4" ht="12.75">
      <c r="A332" s="346"/>
      <c r="B332" s="7"/>
      <c r="D332" s="8"/>
    </row>
    <row r="333" spans="1:4" ht="12.75">
      <c r="A333" s="346"/>
      <c r="B333" s="7"/>
      <c r="D333" s="8"/>
    </row>
    <row r="334" spans="1:4" ht="12.75">
      <c r="A334" s="346"/>
      <c r="B334" s="7"/>
      <c r="D334" s="8"/>
    </row>
    <row r="335" spans="1:4" ht="12.75">
      <c r="A335" s="346"/>
      <c r="B335" s="7"/>
      <c r="D335" s="8"/>
    </row>
    <row r="336" spans="1:4" ht="12.75">
      <c r="A336" s="346"/>
      <c r="B336" s="7"/>
      <c r="D336" s="8"/>
    </row>
    <row r="337" spans="1:4" ht="12.75">
      <c r="A337" s="346"/>
      <c r="B337" s="7"/>
      <c r="D337" s="8"/>
    </row>
    <row r="338" spans="1:4" ht="12.75">
      <c r="A338" s="346"/>
      <c r="B338" s="7"/>
      <c r="D338" s="8"/>
    </row>
    <row r="339" spans="1:4" ht="12.75">
      <c r="A339" s="346"/>
      <c r="B339" s="7"/>
      <c r="D339" s="8"/>
    </row>
    <row r="340" spans="1:4" ht="12.75">
      <c r="A340" s="346"/>
      <c r="B340" s="7"/>
      <c r="D340" s="8"/>
    </row>
    <row r="341" spans="1:4" ht="12.75">
      <c r="A341" s="346"/>
      <c r="B341" s="7"/>
      <c r="D341" s="8"/>
    </row>
    <row r="342" spans="1:4" ht="12.75">
      <c r="A342" s="346"/>
      <c r="B342" s="7"/>
      <c r="D342" s="8"/>
    </row>
    <row r="343" spans="1:4" ht="12.75">
      <c r="A343" s="346"/>
      <c r="B343" s="7"/>
      <c r="D343" s="8"/>
    </row>
    <row r="344" spans="1:4" ht="12.75">
      <c r="A344" s="346"/>
      <c r="B344" s="7"/>
      <c r="D344" s="8"/>
    </row>
    <row r="345" spans="1:4" ht="12.75">
      <c r="A345" s="346"/>
      <c r="B345" s="7"/>
      <c r="D345" s="8"/>
    </row>
    <row r="346" spans="1:4" ht="12.75">
      <c r="A346" s="346"/>
      <c r="B346" s="7"/>
      <c r="D346" s="8"/>
    </row>
    <row r="347" spans="1:4" ht="12.75">
      <c r="A347" s="346"/>
      <c r="B347" s="7"/>
      <c r="D347" s="8"/>
    </row>
    <row r="348" spans="1:4" ht="12.75">
      <c r="A348" s="346"/>
      <c r="B348" s="7"/>
      <c r="D348" s="8"/>
    </row>
    <row r="349" spans="1:4" ht="12.75">
      <c r="A349" s="346"/>
      <c r="B349" s="7"/>
      <c r="D349" s="8"/>
    </row>
    <row r="350" spans="1:4" ht="12.75">
      <c r="A350" s="346"/>
      <c r="B350" s="7"/>
      <c r="D350" s="8"/>
    </row>
    <row r="351" spans="1:4" ht="12.75">
      <c r="A351" s="346"/>
      <c r="B351" s="7"/>
      <c r="D351" s="8"/>
    </row>
    <row r="352" spans="1:4" ht="12.75">
      <c r="A352" s="346"/>
      <c r="B352" s="7"/>
      <c r="D352" s="8"/>
    </row>
    <row r="353" spans="1:4" ht="12.75">
      <c r="A353" s="346"/>
      <c r="B353" s="7"/>
      <c r="D353" s="8"/>
    </row>
    <row r="354" spans="1:4" ht="12.75">
      <c r="A354" s="346"/>
      <c r="B354" s="7"/>
      <c r="D354" s="8"/>
    </row>
    <row r="355" spans="1:4" ht="12.75">
      <c r="A355" s="346"/>
      <c r="B355" s="7"/>
      <c r="D355" s="8"/>
    </row>
    <row r="356" spans="1:4" ht="12.75">
      <c r="A356" s="346"/>
      <c r="B356" s="7"/>
      <c r="D356" s="8"/>
    </row>
    <row r="357" spans="1:4" ht="12.75">
      <c r="A357" s="346"/>
      <c r="B357" s="7"/>
      <c r="D357" s="8"/>
    </row>
    <row r="358" spans="1:4" ht="12.75">
      <c r="A358" s="346"/>
      <c r="B358" s="7"/>
      <c r="D358" s="8"/>
    </row>
    <row r="359" spans="1:4" ht="12.75">
      <c r="A359" s="346"/>
      <c r="B359" s="7"/>
      <c r="D359" s="8"/>
    </row>
    <row r="360" spans="1:4" ht="12.75">
      <c r="A360" s="346"/>
      <c r="B360" s="7"/>
      <c r="D360" s="8"/>
    </row>
    <row r="361" spans="1:4" ht="12.75">
      <c r="A361" s="346"/>
      <c r="B361" s="7"/>
      <c r="D361" s="8"/>
    </row>
    <row r="362" spans="1:4" ht="12.75">
      <c r="A362" s="346"/>
      <c r="B362" s="7"/>
      <c r="D362" s="8"/>
    </row>
    <row r="363" spans="1:4" ht="12.75">
      <c r="A363" s="346"/>
      <c r="B363" s="7"/>
      <c r="D363" s="8"/>
    </row>
    <row r="364" spans="1:4" ht="12.75">
      <c r="A364" s="346"/>
      <c r="B364" s="7"/>
      <c r="D364" s="8"/>
    </row>
    <row r="365" spans="1:4" ht="12.75">
      <c r="A365" s="346"/>
      <c r="B365" s="7"/>
      <c r="D365" s="8"/>
    </row>
    <row r="366" spans="1:4" ht="12.75">
      <c r="A366" s="346"/>
      <c r="B366" s="7"/>
      <c r="D366" s="8"/>
    </row>
    <row r="367" spans="1:4" ht="12.75">
      <c r="A367" s="346"/>
      <c r="B367" s="7"/>
      <c r="D367" s="8"/>
    </row>
    <row r="368" spans="1:4" ht="12.75">
      <c r="A368" s="346"/>
      <c r="B368" s="7"/>
      <c r="D368" s="8"/>
    </row>
    <row r="369" spans="1:4" ht="12.75">
      <c r="A369" s="346"/>
      <c r="B369" s="7"/>
      <c r="D369" s="8"/>
    </row>
    <row r="370" spans="1:4" ht="12.75">
      <c r="A370" s="346"/>
      <c r="B370" s="7"/>
      <c r="D370" s="8"/>
    </row>
    <row r="371" spans="1:4" ht="12.75">
      <c r="A371" s="346"/>
      <c r="B371" s="7"/>
      <c r="D371" s="8"/>
    </row>
    <row r="372" spans="1:4" ht="12.75">
      <c r="A372" s="346"/>
      <c r="B372" s="7"/>
      <c r="D372" s="8"/>
    </row>
    <row r="373" spans="1:4" ht="12.75">
      <c r="A373" s="346"/>
      <c r="B373" s="7"/>
      <c r="D373" s="8"/>
    </row>
    <row r="374" spans="1:4" ht="12.75">
      <c r="A374" s="346"/>
      <c r="B374" s="7"/>
      <c r="D374" s="8"/>
    </row>
    <row r="375" spans="1:4" ht="12.75">
      <c r="A375" s="346"/>
      <c r="B375" s="7"/>
      <c r="D375" s="8"/>
    </row>
    <row r="376" spans="1:4" ht="12.75">
      <c r="A376" s="346"/>
      <c r="B376" s="7"/>
      <c r="D376" s="8"/>
    </row>
    <row r="377" spans="1:4" ht="12.75">
      <c r="A377" s="346"/>
      <c r="B377" s="7"/>
      <c r="D377" s="8"/>
    </row>
    <row r="378" spans="1:4" ht="12.75">
      <c r="A378" s="346"/>
      <c r="B378" s="7"/>
      <c r="D378" s="8"/>
    </row>
    <row r="379" spans="1:4" ht="12.75">
      <c r="A379" s="346"/>
      <c r="B379" s="7"/>
      <c r="D379" s="8"/>
    </row>
    <row r="380" spans="1:4" ht="12.75">
      <c r="A380" s="346"/>
      <c r="B380" s="7"/>
      <c r="D380" s="8"/>
    </row>
    <row r="381" spans="1:4" ht="12.75">
      <c r="A381" s="346"/>
      <c r="B381" s="7"/>
      <c r="D381" s="8"/>
    </row>
    <row r="382" spans="1:4" ht="12.75">
      <c r="A382" s="346"/>
      <c r="B382" s="7"/>
      <c r="D382" s="8"/>
    </row>
    <row r="383" spans="1:4" ht="12.75">
      <c r="A383" s="346"/>
      <c r="B383" s="7"/>
      <c r="D383" s="8"/>
    </row>
    <row r="384" spans="1:4" ht="12.75">
      <c r="A384" s="346"/>
      <c r="B384" s="7"/>
      <c r="D384" s="8"/>
    </row>
    <row r="385" spans="1:4" ht="12.75">
      <c r="A385" s="346"/>
      <c r="B385" s="7"/>
      <c r="D385" s="8"/>
    </row>
    <row r="386" spans="1:4" ht="12.75">
      <c r="A386" s="346"/>
      <c r="B386" s="7"/>
      <c r="D386" s="8"/>
    </row>
    <row r="387" spans="1:4" ht="12.75">
      <c r="A387" s="346"/>
      <c r="B387" s="7"/>
      <c r="D387" s="8"/>
    </row>
    <row r="388" spans="1:4" ht="12.75">
      <c r="A388" s="346"/>
      <c r="B388" s="7"/>
      <c r="D388" s="8"/>
    </row>
    <row r="389" spans="1:4" ht="12.75">
      <c r="A389" s="346"/>
      <c r="B389" s="7"/>
      <c r="D389" s="8"/>
    </row>
    <row r="390" spans="1:4" ht="12.75">
      <c r="A390" s="346"/>
      <c r="B390" s="7"/>
      <c r="D390" s="8"/>
    </row>
    <row r="391" spans="1:4" ht="12.75">
      <c r="A391" s="346"/>
      <c r="B391" s="7"/>
      <c r="D391" s="8"/>
    </row>
    <row r="392" spans="1:4" ht="12.75">
      <c r="A392" s="346"/>
      <c r="B392" s="7"/>
      <c r="D392" s="8"/>
    </row>
    <row r="393" spans="1:4" ht="12.75">
      <c r="A393" s="346"/>
      <c r="B393" s="7"/>
      <c r="D393" s="8"/>
    </row>
    <row r="394" spans="1:4" ht="12.75">
      <c r="A394" s="346"/>
      <c r="B394" s="7"/>
      <c r="D394" s="8"/>
    </row>
    <row r="395" spans="1:4" ht="12.75">
      <c r="A395" s="346"/>
      <c r="B395" s="7"/>
      <c r="D395" s="8"/>
    </row>
    <row r="396" spans="1:4" ht="12.75">
      <c r="A396" s="346"/>
      <c r="B396" s="7"/>
      <c r="D396" s="8"/>
    </row>
    <row r="397" spans="1:4" ht="12.75">
      <c r="A397" s="346"/>
      <c r="B397" s="7"/>
      <c r="D397" s="8"/>
    </row>
    <row r="398" spans="1:4" ht="12.75">
      <c r="A398" s="346"/>
      <c r="B398" s="7"/>
      <c r="D398" s="8"/>
    </row>
    <row r="399" spans="1:4" ht="12.75">
      <c r="A399" s="346"/>
      <c r="B399" s="7"/>
      <c r="D399" s="8"/>
    </row>
    <row r="400" spans="1:4" ht="12.75">
      <c r="A400" s="346"/>
      <c r="B400" s="7"/>
      <c r="D400" s="8"/>
    </row>
    <row r="401" spans="1:4" ht="12.75">
      <c r="A401" s="346"/>
      <c r="B401" s="7"/>
      <c r="D401" s="8"/>
    </row>
    <row r="402" spans="1:4" ht="12.75">
      <c r="A402" s="346"/>
      <c r="B402" s="7"/>
      <c r="D402" s="8"/>
    </row>
    <row r="403" spans="1:4" ht="12.75">
      <c r="A403" s="346"/>
      <c r="B403" s="7"/>
      <c r="D403" s="8"/>
    </row>
    <row r="404" spans="1:4" ht="12.75">
      <c r="A404" s="346"/>
      <c r="B404" s="7"/>
      <c r="D404" s="8"/>
    </row>
    <row r="405" spans="1:4" ht="12.75">
      <c r="A405" s="346"/>
      <c r="B405" s="7"/>
      <c r="D405" s="8"/>
    </row>
    <row r="406" spans="1:4" ht="12.75">
      <c r="A406" s="346"/>
      <c r="B406" s="7"/>
      <c r="D406" s="8"/>
    </row>
    <row r="407" spans="1:4" ht="12.75">
      <c r="A407" s="346"/>
      <c r="B407" s="7"/>
      <c r="D407" s="8"/>
    </row>
    <row r="408" spans="1:4" ht="12.75">
      <c r="A408" s="346"/>
      <c r="B408" s="7"/>
      <c r="D408" s="8"/>
    </row>
    <row r="409" spans="1:4" ht="12.75">
      <c r="A409" s="346"/>
      <c r="B409" s="7"/>
      <c r="D409" s="8"/>
    </row>
    <row r="410" spans="1:4" ht="12.75">
      <c r="A410" s="346"/>
      <c r="B410" s="7"/>
      <c r="D410" s="8"/>
    </row>
    <row r="411" spans="1:4" ht="12.75">
      <c r="A411" s="346"/>
      <c r="B411" s="7"/>
      <c r="D411" s="8"/>
    </row>
    <row r="412" spans="1:4" ht="12.75">
      <c r="A412" s="346"/>
      <c r="B412" s="7"/>
      <c r="D412" s="8"/>
    </row>
    <row r="413" spans="1:4" ht="12.75">
      <c r="A413" s="346"/>
      <c r="B413" s="7"/>
      <c r="D413" s="8"/>
    </row>
    <row r="414" spans="1:4" ht="12.75">
      <c r="A414" s="346"/>
      <c r="B414" s="7"/>
      <c r="D414" s="8"/>
    </row>
    <row r="415" spans="1:4" ht="12.75">
      <c r="A415" s="346"/>
      <c r="B415" s="7"/>
      <c r="D415" s="8"/>
    </row>
    <row r="416" spans="1:4" ht="12.75">
      <c r="A416" s="346"/>
      <c r="B416" s="7"/>
      <c r="D416" s="8"/>
    </row>
    <row r="417" spans="1:4" ht="12.75">
      <c r="A417" s="346"/>
      <c r="B417" s="7"/>
      <c r="D417" s="8"/>
    </row>
    <row r="418" spans="1:4" ht="12.75">
      <c r="A418" s="346"/>
      <c r="B418" s="7"/>
      <c r="D418" s="8"/>
    </row>
    <row r="419" spans="1:4" ht="12.75">
      <c r="A419" s="346"/>
      <c r="B419" s="7"/>
      <c r="D419" s="8"/>
    </row>
    <row r="420" spans="1:4" ht="12.75">
      <c r="A420" s="346"/>
      <c r="B420" s="7"/>
      <c r="D420" s="8"/>
    </row>
    <row r="421" spans="1:4" ht="12.75">
      <c r="A421" s="346"/>
      <c r="B421" s="7"/>
      <c r="D421" s="8"/>
    </row>
    <row r="422" spans="1:4" ht="12.75">
      <c r="A422" s="346"/>
      <c r="B422" s="7"/>
      <c r="D422" s="8"/>
    </row>
    <row r="423" spans="1:4" ht="12.75">
      <c r="A423" s="346"/>
      <c r="B423" s="7"/>
      <c r="D423" s="8"/>
    </row>
    <row r="424" spans="1:4" ht="12.75">
      <c r="A424" s="346"/>
      <c r="B424" s="7"/>
      <c r="D424" s="8"/>
    </row>
    <row r="425" spans="1:4" ht="12.75">
      <c r="A425" s="346"/>
      <c r="B425" s="7"/>
      <c r="D425" s="8"/>
    </row>
    <row r="426" spans="1:4" ht="12.75">
      <c r="A426" s="346"/>
      <c r="B426" s="7"/>
      <c r="D426" s="8"/>
    </row>
    <row r="427" spans="1:4" ht="12.75">
      <c r="A427" s="346"/>
      <c r="B427" s="7"/>
      <c r="D427" s="8"/>
    </row>
    <row r="428" spans="1:4" ht="12.75">
      <c r="A428" s="346"/>
      <c r="B428" s="7"/>
      <c r="D428" s="8"/>
    </row>
    <row r="429" spans="1:4" ht="12.75">
      <c r="A429" s="346"/>
      <c r="B429" s="7"/>
      <c r="D429" s="8"/>
    </row>
    <row r="430" spans="1:4" ht="12.75">
      <c r="A430" s="346"/>
      <c r="B430" s="7"/>
      <c r="D430" s="8"/>
    </row>
    <row r="431" spans="1:4" ht="12.75">
      <c r="A431" s="346"/>
      <c r="B431" s="7"/>
      <c r="D431" s="8"/>
    </row>
    <row r="432" spans="1:4" ht="12.75">
      <c r="A432" s="346"/>
      <c r="B432" s="7"/>
      <c r="D432" s="8"/>
    </row>
    <row r="433" spans="1:4" ht="12.75">
      <c r="A433" s="346"/>
      <c r="B433" s="7"/>
      <c r="D433" s="8"/>
    </row>
    <row r="434" spans="1:4" ht="12.75">
      <c r="A434" s="346"/>
      <c r="B434" s="7"/>
      <c r="D434" s="8"/>
    </row>
    <row r="435" spans="1:4" ht="12.75">
      <c r="A435" s="346"/>
      <c r="B435" s="7"/>
      <c r="D435" s="8"/>
    </row>
    <row r="436" spans="1:4" ht="12.75">
      <c r="A436" s="346"/>
      <c r="B436" s="7"/>
      <c r="D436" s="8"/>
    </row>
    <row r="437" spans="1:4" ht="12.75">
      <c r="A437" s="346"/>
      <c r="B437" s="7"/>
      <c r="D437" s="8"/>
    </row>
    <row r="438" spans="1:4" ht="12.75">
      <c r="A438" s="346"/>
      <c r="B438" s="7"/>
      <c r="D438" s="8"/>
    </row>
    <row r="439" spans="1:4" ht="12.75">
      <c r="A439" s="346"/>
      <c r="B439" s="7"/>
      <c r="D439" s="8"/>
    </row>
    <row r="440" spans="1:4" ht="12.75">
      <c r="A440" s="346"/>
      <c r="B440" s="7"/>
      <c r="D440" s="8"/>
    </row>
    <row r="441" spans="1:4" ht="12.75">
      <c r="A441" s="346"/>
      <c r="B441" s="7"/>
      <c r="D441" s="8"/>
    </row>
    <row r="442" spans="1:4" ht="12.75">
      <c r="A442" s="346"/>
      <c r="B442" s="7"/>
      <c r="D442" s="8"/>
    </row>
    <row r="443" spans="1:4" ht="12.75">
      <c r="A443" s="346"/>
      <c r="B443" s="7"/>
      <c r="D443" s="8"/>
    </row>
    <row r="444" spans="1:4" ht="12.75">
      <c r="A444" s="346"/>
      <c r="B444" s="7"/>
      <c r="D444" s="8"/>
    </row>
    <row r="445" spans="1:4" ht="12.75">
      <c r="A445" s="346"/>
      <c r="B445" s="7"/>
      <c r="D445" s="8"/>
    </row>
    <row r="446" spans="1:4" ht="12.75">
      <c r="A446" s="346"/>
      <c r="B446" s="7"/>
      <c r="D446" s="8"/>
    </row>
    <row r="447" spans="1:4" ht="12.75">
      <c r="A447" s="346"/>
      <c r="B447" s="7"/>
      <c r="D447" s="8"/>
    </row>
    <row r="448" spans="1:4" ht="12.75">
      <c r="A448" s="346"/>
      <c r="B448" s="7"/>
      <c r="D448" s="8"/>
    </row>
    <row r="449" spans="1:4" ht="12.75">
      <c r="A449" s="346"/>
      <c r="B449" s="7"/>
      <c r="D449" s="8"/>
    </row>
    <row r="450" spans="1:4" ht="12.75">
      <c r="A450" s="346"/>
      <c r="B450" s="7"/>
      <c r="D450" s="8"/>
    </row>
    <row r="451" spans="1:4" ht="12.75">
      <c r="A451" s="346"/>
      <c r="B451" s="7"/>
      <c r="D451" s="8"/>
    </row>
    <row r="452" spans="1:4" ht="12.75">
      <c r="A452" s="346"/>
      <c r="B452" s="7"/>
      <c r="D452" s="8"/>
    </row>
    <row r="453" spans="1:4" ht="12.75">
      <c r="A453" s="346"/>
      <c r="B453" s="7"/>
      <c r="D453" s="8"/>
    </row>
    <row r="454" spans="1:4" ht="12.75">
      <c r="A454" s="346"/>
      <c r="B454" s="7"/>
      <c r="D454" s="8"/>
    </row>
    <row r="455" spans="1:4" ht="12.75">
      <c r="A455" s="346"/>
      <c r="B455" s="7"/>
      <c r="D455" s="8"/>
    </row>
    <row r="456" spans="1:4" ht="12.75">
      <c r="A456" s="346"/>
      <c r="B456" s="7"/>
      <c r="D456" s="8"/>
    </row>
    <row r="457" spans="1:4" ht="12.75">
      <c r="A457" s="346"/>
      <c r="B457" s="7"/>
      <c r="D457" s="8"/>
    </row>
  </sheetData>
  <sheetProtection/>
  <mergeCells count="2">
    <mergeCell ref="A2:C2"/>
    <mergeCell ref="A3:C3"/>
  </mergeCells>
  <printOptions horizontalCentered="1"/>
  <pageMargins left="0.4724409448818898" right="0.2362204724409449" top="0.8807291666666667" bottom="0.8267716535433072" header="0.5118110236220472" footer="0.5118110236220472"/>
  <pageSetup horizontalDpi="600" verticalDpi="600" orientation="portrait" paperSize="9" scale="79" r:id="rId1"/>
  <headerFooter alignWithMargins="0">
    <oddHeader>&amp;L 9. melléklet a 18/2014.(IX.1.) önkormányzati rendelethez
"9. melléklet az 1/2014.(I.31.) önkormányzati rendelethez"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G61"/>
  <sheetViews>
    <sheetView view="pageLayout" zoomScaleSheetLayoutView="100" workbookViewId="0" topLeftCell="A1">
      <selection activeCell="A4" sqref="A4:E4"/>
    </sheetView>
  </sheetViews>
  <sheetFormatPr defaultColWidth="9.00390625" defaultRowHeight="12.75"/>
  <cols>
    <col min="1" max="1" width="64.25390625" style="292" customWidth="1"/>
    <col min="2" max="2" width="10.75390625" style="292" customWidth="1"/>
    <col min="3" max="5" width="10.25390625" style="292" customWidth="1"/>
    <col min="6" max="6" width="11.75390625" style="292" customWidth="1"/>
    <col min="7" max="16384" width="9.125" style="292" customWidth="1"/>
  </cols>
  <sheetData>
    <row r="3" spans="1:5" ht="14.25" customHeight="1">
      <c r="A3" s="1078" t="s">
        <v>151</v>
      </c>
      <c r="B3" s="1078"/>
      <c r="C3" s="1078"/>
      <c r="D3" s="942"/>
      <c r="E3" s="942"/>
    </row>
    <row r="4" spans="1:5" ht="14.25" customHeight="1">
      <c r="A4" s="1078" t="s">
        <v>121</v>
      </c>
      <c r="B4" s="1078"/>
      <c r="C4" s="1078"/>
      <c r="D4" s="942"/>
      <c r="E4" s="942"/>
    </row>
    <row r="5" ht="14.25" customHeight="1" thickBot="1">
      <c r="A5" s="293"/>
    </row>
    <row r="6" spans="1:7" ht="51">
      <c r="A6" s="294" t="s">
        <v>122</v>
      </c>
      <c r="B6" s="295" t="s">
        <v>123</v>
      </c>
      <c r="C6" s="642" t="s">
        <v>124</v>
      </c>
      <c r="D6" s="295" t="s">
        <v>765</v>
      </c>
      <c r="E6" s="642" t="s">
        <v>766</v>
      </c>
      <c r="F6" s="295" t="s">
        <v>944</v>
      </c>
      <c r="G6" s="296" t="s">
        <v>766</v>
      </c>
    </row>
    <row r="7" spans="1:7" ht="14.25" customHeight="1">
      <c r="A7" s="297" t="s">
        <v>127</v>
      </c>
      <c r="B7" s="298">
        <v>2500</v>
      </c>
      <c r="C7" s="298"/>
      <c r="D7" s="644">
        <v>2500</v>
      </c>
      <c r="E7" s="644"/>
      <c r="F7" s="644">
        <v>2500</v>
      </c>
      <c r="G7" s="449"/>
    </row>
    <row r="8" spans="1:7" ht="14.25" customHeight="1">
      <c r="A8" s="297" t="s">
        <v>149</v>
      </c>
      <c r="B8" s="298">
        <v>25000</v>
      </c>
      <c r="C8" s="298"/>
      <c r="D8" s="644">
        <v>25000</v>
      </c>
      <c r="E8" s="644"/>
      <c r="F8" s="644">
        <v>24980</v>
      </c>
      <c r="G8" s="449"/>
    </row>
    <row r="9" spans="1:7" ht="14.25" customHeight="1">
      <c r="A9" s="297" t="s">
        <v>128</v>
      </c>
      <c r="B9" s="298">
        <v>150</v>
      </c>
      <c r="C9" s="298"/>
      <c r="D9" s="644">
        <v>150</v>
      </c>
      <c r="E9" s="644"/>
      <c r="F9" s="644">
        <v>300</v>
      </c>
      <c r="G9" s="449"/>
    </row>
    <row r="10" spans="1:7" ht="14.25" customHeight="1">
      <c r="A10" s="297" t="s">
        <v>129</v>
      </c>
      <c r="B10" s="298">
        <v>29000</v>
      </c>
      <c r="C10" s="298"/>
      <c r="D10" s="644">
        <v>29000</v>
      </c>
      <c r="E10" s="644"/>
      <c r="F10" s="644">
        <v>29000</v>
      </c>
      <c r="G10" s="449"/>
    </row>
    <row r="11" spans="1:7" ht="14.25" customHeight="1">
      <c r="A11" s="297" t="s">
        <v>814</v>
      </c>
      <c r="B11" s="298"/>
      <c r="C11" s="298"/>
      <c r="D11" s="644"/>
      <c r="E11" s="644"/>
      <c r="F11" s="644">
        <v>20</v>
      </c>
      <c r="G11" s="449"/>
    </row>
    <row r="12" spans="1:7" ht="14.25" customHeight="1">
      <c r="A12" s="299" t="s">
        <v>125</v>
      </c>
      <c r="B12" s="298"/>
      <c r="C12" s="298">
        <v>48000</v>
      </c>
      <c r="D12" s="311"/>
      <c r="E12" s="644">
        <v>48000</v>
      </c>
      <c r="F12" s="644"/>
      <c r="G12" s="449">
        <v>48000</v>
      </c>
    </row>
    <row r="13" spans="1:7" ht="14.25" customHeight="1">
      <c r="A13" s="297" t="s">
        <v>150</v>
      </c>
      <c r="B13" s="298"/>
      <c r="C13" s="298">
        <v>18000</v>
      </c>
      <c r="D13" s="311"/>
      <c r="E13" s="644">
        <v>18000</v>
      </c>
      <c r="F13" s="644"/>
      <c r="G13" s="449">
        <v>18000</v>
      </c>
    </row>
    <row r="14" spans="1:7" ht="14.25" customHeight="1">
      <c r="A14" s="297" t="s">
        <v>139</v>
      </c>
      <c r="B14" s="298"/>
      <c r="C14" s="298">
        <v>3600</v>
      </c>
      <c r="D14" s="311"/>
      <c r="E14" s="644">
        <v>3600</v>
      </c>
      <c r="F14" s="644"/>
      <c r="G14" s="449">
        <v>3600</v>
      </c>
    </row>
    <row r="15" spans="1:7" ht="14.25" customHeight="1">
      <c r="A15" s="297" t="s">
        <v>126</v>
      </c>
      <c r="B15" s="298"/>
      <c r="C15" s="298">
        <v>18000</v>
      </c>
      <c r="D15" s="311"/>
      <c r="E15" s="644">
        <v>18000</v>
      </c>
      <c r="F15" s="644"/>
      <c r="G15" s="449">
        <v>18000</v>
      </c>
    </row>
    <row r="16" spans="1:7" ht="14.25" customHeight="1">
      <c r="A16" s="297" t="s">
        <v>140</v>
      </c>
      <c r="B16" s="298"/>
      <c r="C16" s="298">
        <v>4950</v>
      </c>
      <c r="D16" s="311"/>
      <c r="E16" s="644">
        <v>4950</v>
      </c>
      <c r="F16" s="644"/>
      <c r="G16" s="449">
        <v>4950</v>
      </c>
    </row>
    <row r="17" spans="1:7" ht="14.25" customHeight="1">
      <c r="A17" s="297" t="s">
        <v>130</v>
      </c>
      <c r="B17" s="298"/>
      <c r="C17" s="298">
        <v>300</v>
      </c>
      <c r="D17" s="311"/>
      <c r="E17" s="644">
        <v>300</v>
      </c>
      <c r="F17" s="644"/>
      <c r="G17" s="449">
        <v>300</v>
      </c>
    </row>
    <row r="18" spans="1:7" s="62" customFormat="1" ht="14.25" customHeight="1">
      <c r="A18" s="300" t="s">
        <v>131</v>
      </c>
      <c r="B18" s="301">
        <f aca="true" t="shared" si="0" ref="B18:G18">SUM(B7:B17)</f>
        <v>56650</v>
      </c>
      <c r="C18" s="301">
        <f t="shared" si="0"/>
        <v>92850</v>
      </c>
      <c r="D18" s="301">
        <f t="shared" si="0"/>
        <v>56650</v>
      </c>
      <c r="E18" s="301">
        <f t="shared" si="0"/>
        <v>92850</v>
      </c>
      <c r="F18" s="301">
        <f t="shared" si="0"/>
        <v>56800</v>
      </c>
      <c r="G18" s="302">
        <f t="shared" si="0"/>
        <v>92850</v>
      </c>
    </row>
    <row r="19" spans="1:7" ht="14.25" customHeight="1">
      <c r="A19" s="303"/>
      <c r="B19" s="304"/>
      <c r="C19" s="298"/>
      <c r="D19" s="311"/>
      <c r="E19" s="311"/>
      <c r="F19" s="644"/>
      <c r="G19" s="449"/>
    </row>
    <row r="20" spans="1:7" ht="14.25" customHeight="1">
      <c r="A20" s="297" t="s">
        <v>132</v>
      </c>
      <c r="B20" s="298">
        <v>2500</v>
      </c>
      <c r="C20" s="298"/>
      <c r="D20" s="644">
        <v>2500</v>
      </c>
      <c r="E20" s="644"/>
      <c r="F20" s="644">
        <v>3900</v>
      </c>
      <c r="G20" s="449"/>
    </row>
    <row r="21" spans="1:7" ht="14.25" customHeight="1">
      <c r="A21" s="297" t="s">
        <v>133</v>
      </c>
      <c r="B21" s="298">
        <v>2500</v>
      </c>
      <c r="C21" s="298"/>
      <c r="D21" s="644">
        <v>2500</v>
      </c>
      <c r="E21" s="644"/>
      <c r="F21" s="644">
        <v>2500</v>
      </c>
      <c r="G21" s="449"/>
    </row>
    <row r="22" spans="1:7" ht="14.25" customHeight="1">
      <c r="A22" s="297" t="s">
        <v>134</v>
      </c>
      <c r="B22" s="298">
        <v>2500</v>
      </c>
      <c r="C22" s="298"/>
      <c r="D22" s="644">
        <v>2500</v>
      </c>
      <c r="E22" s="644"/>
      <c r="F22" s="644">
        <v>2500</v>
      </c>
      <c r="G22" s="449"/>
    </row>
    <row r="23" spans="1:7" ht="14.25" customHeight="1">
      <c r="A23" s="297" t="s">
        <v>135</v>
      </c>
      <c r="B23" s="298"/>
      <c r="C23" s="298"/>
      <c r="D23" s="644"/>
      <c r="E23" s="644"/>
      <c r="F23" s="644"/>
      <c r="G23" s="449"/>
    </row>
    <row r="24" spans="1:7" s="62" customFormat="1" ht="14.25" customHeight="1">
      <c r="A24" s="300" t="s">
        <v>137</v>
      </c>
      <c r="B24" s="301">
        <f aca="true" t="shared" si="1" ref="B24:G24">SUM(B20+B21+B22+B23)</f>
        <v>7500</v>
      </c>
      <c r="C24" s="301">
        <f t="shared" si="1"/>
        <v>0</v>
      </c>
      <c r="D24" s="301">
        <f t="shared" si="1"/>
        <v>7500</v>
      </c>
      <c r="E24" s="301">
        <f t="shared" si="1"/>
        <v>0</v>
      </c>
      <c r="F24" s="301">
        <f t="shared" si="1"/>
        <v>8900</v>
      </c>
      <c r="G24" s="302">
        <f t="shared" si="1"/>
        <v>0</v>
      </c>
    </row>
    <row r="25" spans="1:7" ht="14.25" customHeight="1">
      <c r="A25" s="297"/>
      <c r="B25" s="298"/>
      <c r="C25" s="298"/>
      <c r="D25" s="311"/>
      <c r="E25" s="311"/>
      <c r="F25" s="644"/>
      <c r="G25" s="449"/>
    </row>
    <row r="26" spans="1:7" s="62" customFormat="1" ht="14.25" customHeight="1" thickBot="1">
      <c r="A26" s="305" t="s">
        <v>138</v>
      </c>
      <c r="B26" s="306">
        <f aca="true" t="shared" si="2" ref="B26:G26">SUM(B18+B24)</f>
        <v>64150</v>
      </c>
      <c r="C26" s="306">
        <f t="shared" si="2"/>
        <v>92850</v>
      </c>
      <c r="D26" s="306">
        <f t="shared" si="2"/>
        <v>64150</v>
      </c>
      <c r="E26" s="306">
        <f t="shared" si="2"/>
        <v>92850</v>
      </c>
      <c r="F26" s="306">
        <f t="shared" si="2"/>
        <v>65700</v>
      </c>
      <c r="G26" s="307">
        <f t="shared" si="2"/>
        <v>92850</v>
      </c>
    </row>
    <row r="27" ht="14.25" customHeight="1"/>
    <row r="28" ht="14.25" customHeight="1"/>
    <row r="29" ht="14.25" customHeight="1"/>
    <row r="30" spans="1:5" ht="14.25" customHeight="1">
      <c r="A30" s="1078" t="s">
        <v>152</v>
      </c>
      <c r="B30" s="1078"/>
      <c r="C30" s="1078"/>
      <c r="D30" s="942"/>
      <c r="E30" s="942"/>
    </row>
    <row r="31" spans="1:5" ht="14.25" customHeight="1">
      <c r="A31" s="1078" t="s">
        <v>121</v>
      </c>
      <c r="B31" s="1078"/>
      <c r="C31" s="1078"/>
      <c r="D31" s="942"/>
      <c r="E31" s="942"/>
    </row>
    <row r="32" ht="14.25" customHeight="1" thickBot="1">
      <c r="A32" s="293"/>
    </row>
    <row r="33" spans="1:7" ht="51">
      <c r="A33" s="294" t="s">
        <v>122</v>
      </c>
      <c r="B33" s="295" t="s">
        <v>123</v>
      </c>
      <c r="C33" s="642" t="s">
        <v>124</v>
      </c>
      <c r="D33" s="295" t="s">
        <v>765</v>
      </c>
      <c r="E33" s="642" t="s">
        <v>766</v>
      </c>
      <c r="F33" s="295" t="s">
        <v>944</v>
      </c>
      <c r="G33" s="296" t="s">
        <v>766</v>
      </c>
    </row>
    <row r="34" spans="1:7" ht="14.25" customHeight="1">
      <c r="A34" s="308" t="s">
        <v>141</v>
      </c>
      <c r="B34" s="309"/>
      <c r="C34" s="643"/>
      <c r="D34" s="311"/>
      <c r="E34" s="311"/>
      <c r="F34" s="311"/>
      <c r="G34" s="312"/>
    </row>
    <row r="35" spans="1:7" ht="14.25" customHeight="1">
      <c r="A35" s="299" t="s">
        <v>125</v>
      </c>
      <c r="B35" s="310">
        <v>60000</v>
      </c>
      <c r="C35" s="298"/>
      <c r="D35" s="310">
        <v>60000</v>
      </c>
      <c r="E35" s="311"/>
      <c r="F35" s="310">
        <v>60000</v>
      </c>
      <c r="G35" s="312"/>
    </row>
    <row r="36" spans="1:7" ht="14.25" customHeight="1">
      <c r="A36" s="297" t="s">
        <v>150</v>
      </c>
      <c r="B36" s="298">
        <v>20000</v>
      </c>
      <c r="C36" s="298"/>
      <c r="D36" s="298">
        <v>20000</v>
      </c>
      <c r="E36" s="311"/>
      <c r="F36" s="298">
        <v>20000</v>
      </c>
      <c r="G36" s="312"/>
    </row>
    <row r="37" spans="1:7" ht="14.25" customHeight="1">
      <c r="A37" s="297" t="s">
        <v>139</v>
      </c>
      <c r="B37" s="298">
        <v>4000</v>
      </c>
      <c r="C37" s="298"/>
      <c r="D37" s="298">
        <v>4000</v>
      </c>
      <c r="E37" s="311"/>
      <c r="F37" s="298">
        <v>4000</v>
      </c>
      <c r="G37" s="312"/>
    </row>
    <row r="38" spans="1:7" ht="14.25" customHeight="1">
      <c r="A38" s="297" t="s">
        <v>126</v>
      </c>
      <c r="B38" s="298">
        <v>20000</v>
      </c>
      <c r="C38" s="298"/>
      <c r="D38" s="298">
        <v>20000</v>
      </c>
      <c r="E38" s="311"/>
      <c r="F38" s="298">
        <v>20000</v>
      </c>
      <c r="G38" s="312"/>
    </row>
    <row r="39" spans="1:7" ht="14.25" customHeight="1">
      <c r="A39" s="297" t="s">
        <v>140</v>
      </c>
      <c r="B39" s="298">
        <v>5500</v>
      </c>
      <c r="C39" s="298"/>
      <c r="D39" s="298">
        <v>5500</v>
      </c>
      <c r="E39" s="311"/>
      <c r="F39" s="298">
        <v>5500</v>
      </c>
      <c r="G39" s="312"/>
    </row>
    <row r="40" spans="1:7" ht="14.25" customHeight="1">
      <c r="A40" s="297" t="s">
        <v>130</v>
      </c>
      <c r="B40" s="298">
        <v>300</v>
      </c>
      <c r="C40" s="298"/>
      <c r="D40" s="298">
        <v>300</v>
      </c>
      <c r="E40" s="311"/>
      <c r="F40" s="298">
        <v>300</v>
      </c>
      <c r="G40" s="312"/>
    </row>
    <row r="41" spans="1:7" s="62" customFormat="1" ht="14.25" customHeight="1">
      <c r="A41" s="300" t="s">
        <v>142</v>
      </c>
      <c r="B41" s="301">
        <f aca="true" t="shared" si="3" ref="B41:G41">SUM(B35:B40)</f>
        <v>109800</v>
      </c>
      <c r="C41" s="301">
        <f t="shared" si="3"/>
        <v>0</v>
      </c>
      <c r="D41" s="301">
        <f t="shared" si="3"/>
        <v>109800</v>
      </c>
      <c r="E41" s="301">
        <f t="shared" si="3"/>
        <v>0</v>
      </c>
      <c r="F41" s="301">
        <f t="shared" si="3"/>
        <v>109800</v>
      </c>
      <c r="G41" s="302">
        <f t="shared" si="3"/>
        <v>0</v>
      </c>
    </row>
    <row r="42" spans="1:7" ht="14.25" customHeight="1">
      <c r="A42" s="297"/>
      <c r="B42" s="298"/>
      <c r="C42" s="298"/>
      <c r="D42" s="311"/>
      <c r="E42" s="311"/>
      <c r="F42" s="311"/>
      <c r="G42" s="312"/>
    </row>
    <row r="43" spans="1:7" s="62" customFormat="1" ht="14.25" customHeight="1">
      <c r="A43" s="300" t="s">
        <v>145</v>
      </c>
      <c r="B43" s="301"/>
      <c r="C43" s="301"/>
      <c r="D43" s="313"/>
      <c r="E43" s="313"/>
      <c r="F43" s="313"/>
      <c r="G43" s="314"/>
    </row>
    <row r="44" spans="1:7" ht="14.25" customHeight="1">
      <c r="A44" s="297" t="s">
        <v>150</v>
      </c>
      <c r="B44" s="298">
        <v>524</v>
      </c>
      <c r="C44" s="298"/>
      <c r="D44" s="298">
        <v>524</v>
      </c>
      <c r="E44" s="311"/>
      <c r="F44" s="298">
        <v>524</v>
      </c>
      <c r="G44" s="312"/>
    </row>
    <row r="45" spans="1:7" ht="14.25" customHeight="1">
      <c r="A45" s="297" t="s">
        <v>126</v>
      </c>
      <c r="B45" s="298">
        <v>1160</v>
      </c>
      <c r="C45" s="298"/>
      <c r="D45" s="298">
        <v>1160</v>
      </c>
      <c r="E45" s="311"/>
      <c r="F45" s="298">
        <v>1160</v>
      </c>
      <c r="G45" s="312"/>
    </row>
    <row r="46" spans="1:7" ht="14.25" customHeight="1">
      <c r="A46" s="297" t="s">
        <v>125</v>
      </c>
      <c r="B46" s="298">
        <v>5900</v>
      </c>
      <c r="C46" s="298"/>
      <c r="D46" s="298">
        <v>5900</v>
      </c>
      <c r="E46" s="311"/>
      <c r="F46" s="298">
        <v>5900</v>
      </c>
      <c r="G46" s="312"/>
    </row>
    <row r="47" spans="1:7" s="62" customFormat="1" ht="14.25" customHeight="1">
      <c r="A47" s="300" t="s">
        <v>146</v>
      </c>
      <c r="B47" s="301">
        <f aca="true" t="shared" si="4" ref="B47:G47">SUM(B44:B46)</f>
        <v>7584</v>
      </c>
      <c r="C47" s="301">
        <f t="shared" si="4"/>
        <v>0</v>
      </c>
      <c r="D47" s="301">
        <f t="shared" si="4"/>
        <v>7584</v>
      </c>
      <c r="E47" s="301">
        <f t="shared" si="4"/>
        <v>0</v>
      </c>
      <c r="F47" s="301">
        <f t="shared" si="4"/>
        <v>7584</v>
      </c>
      <c r="G47" s="302">
        <f t="shared" si="4"/>
        <v>0</v>
      </c>
    </row>
    <row r="48" spans="1:7" ht="14.25" customHeight="1">
      <c r="A48" s="297"/>
      <c r="B48" s="298"/>
      <c r="C48" s="298"/>
      <c r="D48" s="311"/>
      <c r="E48" s="311"/>
      <c r="F48" s="311"/>
      <c r="G48" s="312"/>
    </row>
    <row r="49" spans="1:7" s="62" customFormat="1" ht="14.25" customHeight="1">
      <c r="A49" s="300" t="s">
        <v>143</v>
      </c>
      <c r="B49" s="301"/>
      <c r="C49" s="301"/>
      <c r="D49" s="313"/>
      <c r="E49" s="313"/>
      <c r="F49" s="313"/>
      <c r="G49" s="314"/>
    </row>
    <row r="50" spans="1:7" ht="14.25" customHeight="1">
      <c r="A50" s="297" t="s">
        <v>150</v>
      </c>
      <c r="B50" s="298">
        <v>205</v>
      </c>
      <c r="C50" s="298"/>
      <c r="D50" s="298">
        <v>205</v>
      </c>
      <c r="E50" s="311"/>
      <c r="F50" s="298">
        <v>205</v>
      </c>
      <c r="G50" s="312"/>
    </row>
    <row r="51" spans="1:7" ht="14.25" customHeight="1">
      <c r="A51" s="297" t="s">
        <v>126</v>
      </c>
      <c r="B51" s="298">
        <v>446</v>
      </c>
      <c r="C51" s="298"/>
      <c r="D51" s="298">
        <v>446</v>
      </c>
      <c r="E51" s="311"/>
      <c r="F51" s="298">
        <v>446</v>
      </c>
      <c r="G51" s="312"/>
    </row>
    <row r="52" spans="1:7" ht="14.25" customHeight="1">
      <c r="A52" s="297" t="s">
        <v>125</v>
      </c>
      <c r="B52" s="298">
        <v>1920</v>
      </c>
      <c r="C52" s="298"/>
      <c r="D52" s="298">
        <v>1920</v>
      </c>
      <c r="E52" s="311"/>
      <c r="F52" s="298">
        <v>1920</v>
      </c>
      <c r="G52" s="312"/>
    </row>
    <row r="53" spans="1:7" s="62" customFormat="1" ht="14.25" customHeight="1">
      <c r="A53" s="300" t="s">
        <v>144</v>
      </c>
      <c r="B53" s="301">
        <f aca="true" t="shared" si="5" ref="B53:G53">SUM(B50:B52)</f>
        <v>2571</v>
      </c>
      <c r="C53" s="301">
        <f t="shared" si="5"/>
        <v>0</v>
      </c>
      <c r="D53" s="301">
        <f t="shared" si="5"/>
        <v>2571</v>
      </c>
      <c r="E53" s="301">
        <f t="shared" si="5"/>
        <v>0</v>
      </c>
      <c r="F53" s="301">
        <f t="shared" si="5"/>
        <v>2571</v>
      </c>
      <c r="G53" s="302">
        <f t="shared" si="5"/>
        <v>0</v>
      </c>
    </row>
    <row r="54" spans="1:7" ht="14.25" customHeight="1">
      <c r="A54" s="297"/>
      <c r="B54" s="298"/>
      <c r="C54" s="298"/>
      <c r="D54" s="311"/>
      <c r="E54" s="311"/>
      <c r="F54" s="311"/>
      <c r="G54" s="312"/>
    </row>
    <row r="55" spans="1:7" s="62" customFormat="1" ht="14.25" customHeight="1">
      <c r="A55" s="300" t="s">
        <v>147</v>
      </c>
      <c r="B55" s="301"/>
      <c r="C55" s="301"/>
      <c r="D55" s="313"/>
      <c r="E55" s="313"/>
      <c r="F55" s="313"/>
      <c r="G55" s="314"/>
    </row>
    <row r="56" spans="1:7" ht="14.25" customHeight="1">
      <c r="A56" s="297" t="s">
        <v>150</v>
      </c>
      <c r="B56" s="298"/>
      <c r="C56" s="298"/>
      <c r="D56" s="311"/>
      <c r="E56" s="311"/>
      <c r="F56" s="311"/>
      <c r="G56" s="312"/>
    </row>
    <row r="57" spans="1:7" ht="14.25" customHeight="1">
      <c r="A57" s="297" t="s">
        <v>126</v>
      </c>
      <c r="B57" s="298"/>
      <c r="C57" s="298"/>
      <c r="D57" s="311"/>
      <c r="E57" s="311"/>
      <c r="F57" s="311"/>
      <c r="G57" s="312"/>
    </row>
    <row r="58" spans="1:7" ht="14.25" customHeight="1">
      <c r="A58" s="297" t="s">
        <v>125</v>
      </c>
      <c r="B58" s="298"/>
      <c r="C58" s="298"/>
      <c r="D58" s="311"/>
      <c r="E58" s="311"/>
      <c r="F58" s="311"/>
      <c r="G58" s="312"/>
    </row>
    <row r="59" spans="1:7" s="62" customFormat="1" ht="14.25" customHeight="1">
      <c r="A59" s="300" t="s">
        <v>148</v>
      </c>
      <c r="B59" s="301">
        <f aca="true" t="shared" si="6" ref="B59:G59">SUM(B56:B58)</f>
        <v>0</v>
      </c>
      <c r="C59" s="301">
        <f t="shared" si="6"/>
        <v>0</v>
      </c>
      <c r="D59" s="301">
        <f t="shared" si="6"/>
        <v>0</v>
      </c>
      <c r="E59" s="301">
        <f t="shared" si="6"/>
        <v>0</v>
      </c>
      <c r="F59" s="301">
        <f t="shared" si="6"/>
        <v>0</v>
      </c>
      <c r="G59" s="302">
        <f t="shared" si="6"/>
        <v>0</v>
      </c>
    </row>
    <row r="60" spans="1:7" ht="14.25" customHeight="1">
      <c r="A60" s="297"/>
      <c r="B60" s="298"/>
      <c r="C60" s="298"/>
      <c r="D60" s="311"/>
      <c r="E60" s="311"/>
      <c r="F60" s="311"/>
      <c r="G60" s="312"/>
    </row>
    <row r="61" spans="1:7" ht="14.25" customHeight="1" thickBot="1">
      <c r="A61" s="305" t="s">
        <v>131</v>
      </c>
      <c r="B61" s="306">
        <f aca="true" t="shared" si="7" ref="B61:G61">SUM(B41,B47,B53,B59)</f>
        <v>119955</v>
      </c>
      <c r="C61" s="306">
        <f t="shared" si="7"/>
        <v>0</v>
      </c>
      <c r="D61" s="306">
        <f t="shared" si="7"/>
        <v>119955</v>
      </c>
      <c r="E61" s="306">
        <f t="shared" si="7"/>
        <v>0</v>
      </c>
      <c r="F61" s="306">
        <f t="shared" si="7"/>
        <v>119955</v>
      </c>
      <c r="G61" s="307">
        <f t="shared" si="7"/>
        <v>0</v>
      </c>
    </row>
  </sheetData>
  <sheetProtection/>
  <mergeCells count="4">
    <mergeCell ref="A30:E30"/>
    <mergeCell ref="A3:E3"/>
    <mergeCell ref="A4:E4"/>
    <mergeCell ref="A31:E31"/>
  </mergeCells>
  <printOptions horizontalCentered="1"/>
  <pageMargins left="0.7874015748031497" right="0.7874015748031497" top="0.7086614173228347" bottom="0.8661417322834646" header="0.35433070866141736" footer="0.1968503937007874"/>
  <pageSetup horizontalDpi="600" verticalDpi="600" orientation="portrait" paperSize="9" scale="67" r:id="rId1"/>
  <headerFooter alignWithMargins="0">
    <oddHeader>&amp;L 10.melléklet a 18/2014.(IX.1.) önkormányzati rendelethez
"10. melléklet az 1/2014.(I.31.) önkormányzati rendelethez"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6"/>
  <sheetViews>
    <sheetView view="pageLayout" zoomScaleSheetLayoutView="100" workbookViewId="0" topLeftCell="A1">
      <selection activeCell="A3" sqref="A3:D3"/>
    </sheetView>
  </sheetViews>
  <sheetFormatPr defaultColWidth="9.00390625" defaultRowHeight="12.75"/>
  <cols>
    <col min="1" max="1" width="82.00390625" style="16" customWidth="1"/>
    <col min="2" max="2" width="12.25390625" style="8" customWidth="1"/>
    <col min="3" max="3" width="12.25390625" style="7" customWidth="1"/>
    <col min="4" max="4" width="12.00390625" style="346" customWidth="1"/>
    <col min="5" max="16384" width="9.125" style="7" customWidth="1"/>
  </cols>
  <sheetData>
    <row r="1" spans="1:4" ht="13.5" customHeight="1">
      <c r="A1" s="1081"/>
      <c r="B1" s="942"/>
      <c r="C1" s="942"/>
      <c r="D1" s="942"/>
    </row>
    <row r="2" spans="1:4" ht="32.25" customHeight="1">
      <c r="A2" s="1079" t="s">
        <v>807</v>
      </c>
      <c r="B2" s="1079"/>
      <c r="C2" s="1076"/>
      <c r="D2" s="942"/>
    </row>
    <row r="3" spans="1:4" ht="12.75">
      <c r="A3" s="1080" t="s">
        <v>174</v>
      </c>
      <c r="B3" s="1080"/>
      <c r="C3" s="1076"/>
      <c r="D3" s="942"/>
    </row>
    <row r="4" spans="1:2" ht="13.5" thickBot="1">
      <c r="A4" s="347"/>
      <c r="B4" s="348"/>
    </row>
    <row r="5" spans="1:4" ht="12.75">
      <c r="A5" s="14" t="s">
        <v>122</v>
      </c>
      <c r="B5" s="289" t="s">
        <v>163</v>
      </c>
      <c r="C5" s="640" t="s">
        <v>765</v>
      </c>
      <c r="D5" s="649" t="s">
        <v>944</v>
      </c>
    </row>
    <row r="6" spans="1:4" ht="12.75">
      <c r="A6" s="4"/>
      <c r="B6" s="290"/>
      <c r="C6" s="641"/>
      <c r="D6" s="646"/>
    </row>
    <row r="7" spans="1:4" ht="12.75">
      <c r="A7" s="11" t="s">
        <v>227</v>
      </c>
      <c r="B7" s="291"/>
      <c r="C7" s="290"/>
      <c r="D7" s="646"/>
    </row>
    <row r="8" spans="1:4" ht="12.75">
      <c r="A8" s="4"/>
      <c r="B8" s="290"/>
      <c r="C8" s="290"/>
      <c r="D8" s="646"/>
    </row>
    <row r="9" spans="1:4" s="287" customFormat="1" ht="12.75">
      <c r="A9" s="11" t="s">
        <v>248</v>
      </c>
      <c r="B9" s="291">
        <f>SUM(B10:B13)</f>
        <v>326358</v>
      </c>
      <c r="C9" s="291">
        <f>SUM(C10:C13)</f>
        <v>336335</v>
      </c>
      <c r="D9" s="6">
        <f>SUM(D10:D13)</f>
        <v>341980</v>
      </c>
    </row>
    <row r="10" spans="1:4" ht="12.75">
      <c r="A10" s="4" t="s">
        <v>270</v>
      </c>
      <c r="B10" s="290">
        <f>321458-1500</f>
        <v>319958</v>
      </c>
      <c r="C10" s="290">
        <v>329935</v>
      </c>
      <c r="D10" s="646">
        <v>336080</v>
      </c>
    </row>
    <row r="11" spans="1:4" ht="12.75">
      <c r="A11" s="4" t="s">
        <v>233</v>
      </c>
      <c r="B11" s="290">
        <v>2400</v>
      </c>
      <c r="C11" s="290">
        <v>2400</v>
      </c>
      <c r="D11" s="646">
        <v>2400</v>
      </c>
    </row>
    <row r="12" spans="1:4" ht="12.75">
      <c r="A12" s="4" t="s">
        <v>459</v>
      </c>
      <c r="B12" s="290">
        <v>4000</v>
      </c>
      <c r="C12" s="290">
        <v>4000</v>
      </c>
      <c r="D12" s="646">
        <v>3500</v>
      </c>
    </row>
    <row r="13" spans="1:4" ht="12.75">
      <c r="A13" s="4"/>
      <c r="B13" s="290"/>
      <c r="C13" s="290"/>
      <c r="D13" s="646"/>
    </row>
    <row r="14" spans="1:4" s="287" customFormat="1" ht="12.75">
      <c r="A14" s="11" t="s">
        <v>250</v>
      </c>
      <c r="B14" s="291">
        <f>SUM(B15:B63)</f>
        <v>508056</v>
      </c>
      <c r="C14" s="291">
        <f>SUM(C15:C63)</f>
        <v>521213</v>
      </c>
      <c r="D14" s="6">
        <f>SUM(D15:D63)</f>
        <v>527291</v>
      </c>
    </row>
    <row r="15" spans="1:4" ht="12.75">
      <c r="A15" s="4" t="s">
        <v>262</v>
      </c>
      <c r="B15" s="290">
        <v>15000</v>
      </c>
      <c r="C15" s="290">
        <v>15000</v>
      </c>
      <c r="D15" s="646">
        <v>15000</v>
      </c>
    </row>
    <row r="16" spans="1:4" ht="12.75">
      <c r="A16" s="4" t="s">
        <v>263</v>
      </c>
      <c r="B16" s="290">
        <v>7000</v>
      </c>
      <c r="C16" s="290">
        <v>7000</v>
      </c>
      <c r="D16" s="646">
        <v>7000</v>
      </c>
    </row>
    <row r="17" spans="1:4" ht="12.75">
      <c r="A17" s="4" t="s">
        <v>458</v>
      </c>
      <c r="B17" s="290">
        <v>137382</v>
      </c>
      <c r="C17" s="290">
        <v>137382</v>
      </c>
      <c r="D17" s="646">
        <v>137382</v>
      </c>
    </row>
    <row r="18" spans="1:4" ht="12.75">
      <c r="A18" s="4" t="s">
        <v>189</v>
      </c>
      <c r="B18" s="290">
        <f>-5525+87240</f>
        <v>81715</v>
      </c>
      <c r="C18" s="290">
        <v>81715</v>
      </c>
      <c r="D18" s="646">
        <v>85702</v>
      </c>
    </row>
    <row r="19" spans="1:4" ht="25.5">
      <c r="A19" s="4" t="s">
        <v>190</v>
      </c>
      <c r="B19" s="290">
        <v>5525</v>
      </c>
      <c r="C19" s="290">
        <v>5525</v>
      </c>
      <c r="D19" s="646">
        <v>5525</v>
      </c>
    </row>
    <row r="20" spans="1:4" ht="12.75">
      <c r="A20" s="4" t="s">
        <v>444</v>
      </c>
      <c r="B20" s="290">
        <v>40734</v>
      </c>
      <c r="C20" s="290">
        <v>40734</v>
      </c>
      <c r="D20" s="646">
        <v>40734</v>
      </c>
    </row>
    <row r="21" spans="1:4" ht="12.75">
      <c r="A21" s="4" t="s">
        <v>446</v>
      </c>
      <c r="B21" s="290">
        <v>63300</v>
      </c>
      <c r="C21" s="290">
        <v>63300</v>
      </c>
      <c r="D21" s="646">
        <v>63700</v>
      </c>
    </row>
    <row r="22" spans="1:4" ht="12.75">
      <c r="A22" s="4" t="s">
        <v>456</v>
      </c>
      <c r="B22" s="290">
        <v>66000</v>
      </c>
      <c r="C22" s="290">
        <v>66000</v>
      </c>
      <c r="D22" s="646">
        <v>66000</v>
      </c>
    </row>
    <row r="23" spans="1:4" ht="12.75">
      <c r="A23" s="4" t="s">
        <v>265</v>
      </c>
      <c r="B23" s="290">
        <v>3000</v>
      </c>
      <c r="C23" s="290">
        <v>2700</v>
      </c>
      <c r="D23" s="646">
        <v>2000</v>
      </c>
    </row>
    <row r="24" spans="1:4" ht="12.75">
      <c r="A24" s="4" t="s">
        <v>273</v>
      </c>
      <c r="B24" s="290">
        <v>5000</v>
      </c>
      <c r="C24" s="290">
        <v>5000</v>
      </c>
      <c r="D24" s="646">
        <v>4800</v>
      </c>
    </row>
    <row r="25" spans="1:4" ht="12.75">
      <c r="A25" s="4" t="s">
        <v>454</v>
      </c>
      <c r="B25" s="290">
        <v>4000</v>
      </c>
      <c r="C25" s="290">
        <v>4000</v>
      </c>
      <c r="D25" s="646">
        <v>3600</v>
      </c>
    </row>
    <row r="26" spans="1:4" ht="12.75">
      <c r="A26" s="4" t="s">
        <v>264</v>
      </c>
      <c r="B26" s="290">
        <v>340</v>
      </c>
      <c r="C26" s="290">
        <v>340</v>
      </c>
      <c r="D26" s="646">
        <v>340</v>
      </c>
    </row>
    <row r="27" spans="1:4" ht="12.75">
      <c r="A27" s="4" t="s">
        <v>266</v>
      </c>
      <c r="B27" s="290">
        <v>1000</v>
      </c>
      <c r="C27" s="290">
        <v>1000</v>
      </c>
      <c r="D27" s="646">
        <v>1000</v>
      </c>
    </row>
    <row r="28" spans="1:4" ht="12.75">
      <c r="A28" s="4" t="s">
        <v>267</v>
      </c>
      <c r="B28" s="290">
        <v>900</v>
      </c>
      <c r="C28" s="290">
        <v>900</v>
      </c>
      <c r="D28" s="646">
        <v>900</v>
      </c>
    </row>
    <row r="29" spans="1:4" ht="12.75">
      <c r="A29" s="4" t="s">
        <v>268</v>
      </c>
      <c r="B29" s="290">
        <v>5630</v>
      </c>
      <c r="C29" s="290">
        <v>5630</v>
      </c>
      <c r="D29" s="646">
        <v>5630</v>
      </c>
    </row>
    <row r="30" spans="1:4" ht="12.75">
      <c r="A30" s="4" t="s">
        <v>269</v>
      </c>
      <c r="B30" s="290">
        <v>6000</v>
      </c>
      <c r="C30" s="290">
        <v>6000</v>
      </c>
      <c r="D30" s="646">
        <v>6000</v>
      </c>
    </row>
    <row r="31" spans="1:4" ht="12.75">
      <c r="A31" s="4" t="s">
        <v>271</v>
      </c>
      <c r="B31" s="290">
        <v>5500</v>
      </c>
      <c r="C31" s="290">
        <v>5500</v>
      </c>
      <c r="D31" s="646">
        <v>5500</v>
      </c>
    </row>
    <row r="32" spans="1:4" ht="12.75">
      <c r="A32" s="4" t="s">
        <v>272</v>
      </c>
      <c r="B32" s="290">
        <v>1000</v>
      </c>
      <c r="C32" s="290">
        <v>1000</v>
      </c>
      <c r="D32" s="646">
        <v>1000</v>
      </c>
    </row>
    <row r="33" spans="1:4" ht="12.75">
      <c r="A33" s="4" t="s">
        <v>274</v>
      </c>
      <c r="B33" s="290">
        <v>300</v>
      </c>
      <c r="C33" s="290">
        <v>300</v>
      </c>
      <c r="D33" s="646">
        <v>300</v>
      </c>
    </row>
    <row r="34" spans="1:4" ht="12.75">
      <c r="A34" s="4" t="s">
        <v>275</v>
      </c>
      <c r="B34" s="290">
        <v>200</v>
      </c>
      <c r="C34" s="290">
        <v>200</v>
      </c>
      <c r="D34" s="646">
        <v>200</v>
      </c>
    </row>
    <row r="35" spans="1:4" ht="12.75">
      <c r="A35" s="4" t="s">
        <v>276</v>
      </c>
      <c r="B35" s="290">
        <v>500</v>
      </c>
      <c r="C35" s="290">
        <v>1000</v>
      </c>
      <c r="D35" s="646">
        <v>1000</v>
      </c>
    </row>
    <row r="36" spans="1:4" ht="12.75">
      <c r="A36" s="4" t="s">
        <v>437</v>
      </c>
      <c r="B36" s="290">
        <v>1000</v>
      </c>
      <c r="C36" s="290">
        <v>1000</v>
      </c>
      <c r="D36" s="646">
        <v>1000</v>
      </c>
    </row>
    <row r="37" spans="1:4" ht="12.75">
      <c r="A37" s="4" t="s">
        <v>796</v>
      </c>
      <c r="B37" s="290">
        <v>300</v>
      </c>
      <c r="C37" s="290">
        <v>1300</v>
      </c>
      <c r="D37" s="646">
        <v>1300</v>
      </c>
    </row>
    <row r="38" spans="1:4" ht="12.75">
      <c r="A38" s="4" t="s">
        <v>438</v>
      </c>
      <c r="B38" s="290">
        <v>300</v>
      </c>
      <c r="C38" s="290">
        <v>300</v>
      </c>
      <c r="D38" s="646">
        <v>300</v>
      </c>
    </row>
    <row r="39" spans="1:4" ht="12.75">
      <c r="A39" s="4" t="s">
        <v>234</v>
      </c>
      <c r="B39" s="290">
        <v>500</v>
      </c>
      <c r="C39" s="290">
        <v>500</v>
      </c>
      <c r="D39" s="646">
        <v>500</v>
      </c>
    </row>
    <row r="40" spans="1:4" ht="12.75">
      <c r="A40" s="4" t="s">
        <v>439</v>
      </c>
      <c r="B40" s="290">
        <v>2100</v>
      </c>
      <c r="C40" s="290">
        <v>2100</v>
      </c>
      <c r="D40" s="646">
        <v>2100</v>
      </c>
    </row>
    <row r="41" spans="1:4" ht="12.75">
      <c r="A41" s="4" t="s">
        <v>441</v>
      </c>
      <c r="B41" s="290">
        <f>500+180</f>
        <v>680</v>
      </c>
      <c r="C41" s="290">
        <v>680</v>
      </c>
      <c r="D41" s="646">
        <v>680</v>
      </c>
    </row>
    <row r="42" spans="1:4" ht="12.75">
      <c r="A42" s="4" t="s">
        <v>443</v>
      </c>
      <c r="B42" s="290">
        <v>4000</v>
      </c>
      <c r="C42" s="290">
        <v>4000</v>
      </c>
      <c r="D42" s="646">
        <v>4000</v>
      </c>
    </row>
    <row r="43" spans="1:4" ht="12.75">
      <c r="A43" s="4" t="s">
        <v>445</v>
      </c>
      <c r="B43" s="290">
        <v>200</v>
      </c>
      <c r="C43" s="290">
        <v>200</v>
      </c>
      <c r="D43" s="646">
        <v>200</v>
      </c>
    </row>
    <row r="44" spans="1:4" ht="12.75">
      <c r="A44" s="4" t="s">
        <v>451</v>
      </c>
      <c r="B44" s="290">
        <v>4500</v>
      </c>
      <c r="C44" s="290">
        <v>4500</v>
      </c>
      <c r="D44" s="646">
        <v>4500</v>
      </c>
    </row>
    <row r="45" spans="1:4" ht="12.75">
      <c r="A45" s="4" t="s">
        <v>452</v>
      </c>
      <c r="B45" s="290">
        <v>17700</v>
      </c>
      <c r="C45" s="290">
        <v>17700</v>
      </c>
      <c r="D45" s="646">
        <v>25478</v>
      </c>
    </row>
    <row r="46" spans="1:4" ht="12.75">
      <c r="A46" s="4" t="s">
        <v>455</v>
      </c>
      <c r="B46" s="290">
        <v>3000</v>
      </c>
      <c r="C46" s="290">
        <v>3000</v>
      </c>
      <c r="D46" s="646">
        <v>3000</v>
      </c>
    </row>
    <row r="47" spans="1:4" ht="12.75">
      <c r="A47" s="4" t="s">
        <v>28</v>
      </c>
      <c r="B47" s="290">
        <v>2000</v>
      </c>
      <c r="C47" s="290">
        <v>2000</v>
      </c>
      <c r="D47" s="646">
        <v>2000</v>
      </c>
    </row>
    <row r="48" spans="1:4" ht="12.75">
      <c r="A48" s="4" t="s">
        <v>29</v>
      </c>
      <c r="B48" s="290">
        <v>1000</v>
      </c>
      <c r="C48" s="290">
        <v>1000</v>
      </c>
      <c r="D48" s="646">
        <v>1000</v>
      </c>
    </row>
    <row r="49" spans="1:4" ht="12.75">
      <c r="A49" s="4" t="s">
        <v>30</v>
      </c>
      <c r="B49" s="290">
        <v>1500</v>
      </c>
      <c r="C49" s="290">
        <v>1500</v>
      </c>
      <c r="D49" s="646">
        <v>1500</v>
      </c>
    </row>
    <row r="50" spans="1:4" ht="12.75">
      <c r="A50" s="4" t="s">
        <v>31</v>
      </c>
      <c r="B50" s="290">
        <v>2500</v>
      </c>
      <c r="C50" s="290">
        <v>2500</v>
      </c>
      <c r="D50" s="646">
        <v>2500</v>
      </c>
    </row>
    <row r="51" spans="1:4" ht="12.75">
      <c r="A51" s="4" t="s">
        <v>187</v>
      </c>
      <c r="B51" s="290">
        <v>1750</v>
      </c>
      <c r="C51" s="290">
        <v>1750</v>
      </c>
      <c r="D51" s="646">
        <v>1750</v>
      </c>
    </row>
    <row r="52" spans="1:4" ht="12.75">
      <c r="A52" s="4" t="s">
        <v>457</v>
      </c>
      <c r="B52" s="290">
        <v>15000</v>
      </c>
      <c r="C52" s="290">
        <v>15000</v>
      </c>
      <c r="D52" s="646">
        <v>15000</v>
      </c>
    </row>
    <row r="53" spans="1:4" ht="12.75">
      <c r="A53" s="4" t="s">
        <v>797</v>
      </c>
      <c r="B53" s="290"/>
      <c r="C53" s="290">
        <v>150</v>
      </c>
      <c r="D53" s="646">
        <v>150</v>
      </c>
    </row>
    <row r="54" spans="1:4" ht="12.75">
      <c r="A54" s="4" t="s">
        <v>798</v>
      </c>
      <c r="B54" s="290"/>
      <c r="C54" s="290">
        <v>11507</v>
      </c>
      <c r="D54" s="646">
        <v>0</v>
      </c>
    </row>
    <row r="55" spans="1:4" ht="12.75">
      <c r="A55" s="4" t="s">
        <v>948</v>
      </c>
      <c r="B55" s="290"/>
      <c r="C55" s="290"/>
      <c r="D55" s="646">
        <v>5639</v>
      </c>
    </row>
    <row r="56" spans="1:4" ht="12.75">
      <c r="A56" s="4" t="s">
        <v>154</v>
      </c>
      <c r="B56" s="290"/>
      <c r="C56" s="290"/>
      <c r="D56" s="646"/>
    </row>
    <row r="57" spans="1:4" ht="12.75">
      <c r="A57" s="4" t="s">
        <v>799</v>
      </c>
      <c r="B57" s="290"/>
      <c r="C57" s="290">
        <v>300</v>
      </c>
      <c r="D57" s="646">
        <v>300</v>
      </c>
    </row>
    <row r="58" spans="1:4" ht="12.75">
      <c r="A58" s="4" t="s">
        <v>815</v>
      </c>
      <c r="B58" s="290"/>
      <c r="C58" s="290"/>
      <c r="D58" s="646">
        <v>75</v>
      </c>
    </row>
    <row r="59" spans="1:4" ht="12.75">
      <c r="A59" s="4" t="s">
        <v>816</v>
      </c>
      <c r="B59" s="290"/>
      <c r="C59" s="290"/>
      <c r="D59" s="646">
        <v>400</v>
      </c>
    </row>
    <row r="60" spans="1:4" ht="12.75">
      <c r="A60" s="4" t="s">
        <v>817</v>
      </c>
      <c r="B60" s="290"/>
      <c r="C60" s="290"/>
      <c r="D60" s="646">
        <v>400</v>
      </c>
    </row>
    <row r="61" spans="1:4" ht="12.75">
      <c r="A61" s="4" t="s">
        <v>818</v>
      </c>
      <c r="B61" s="290"/>
      <c r="C61" s="290"/>
      <c r="D61" s="646">
        <v>56</v>
      </c>
    </row>
    <row r="62" spans="1:4" ht="12.75">
      <c r="A62" s="4" t="s">
        <v>819</v>
      </c>
      <c r="B62" s="290"/>
      <c r="C62" s="290"/>
      <c r="D62" s="646">
        <v>150</v>
      </c>
    </row>
    <row r="63" spans="1:4" ht="12.75">
      <c r="A63" s="4"/>
      <c r="B63" s="290"/>
      <c r="C63" s="290"/>
      <c r="D63" s="646"/>
    </row>
    <row r="64" spans="1:4" s="475" customFormat="1" ht="13.5">
      <c r="A64" s="18" t="s">
        <v>251</v>
      </c>
      <c r="B64" s="315">
        <f>SUM(B9,B14)</f>
        <v>834414</v>
      </c>
      <c r="C64" s="315">
        <f>SUM(C9,C14)</f>
        <v>857548</v>
      </c>
      <c r="D64" s="19">
        <f>SUM(D9,D14)</f>
        <v>869271</v>
      </c>
    </row>
    <row r="65" spans="1:4" ht="12.75">
      <c r="A65" s="4"/>
      <c r="B65" s="290"/>
      <c r="C65" s="290"/>
      <c r="D65" s="646"/>
    </row>
    <row r="66" spans="1:4" ht="12.75">
      <c r="A66" s="11" t="s">
        <v>247</v>
      </c>
      <c r="B66" s="291">
        <f>SUM(B67:B67)</f>
        <v>0</v>
      </c>
      <c r="C66" s="290"/>
      <c r="D66" s="646"/>
    </row>
    <row r="67" spans="1:4" ht="12.75">
      <c r="A67" s="4"/>
      <c r="B67" s="290"/>
      <c r="C67" s="290"/>
      <c r="D67" s="646"/>
    </row>
    <row r="68" spans="1:4" s="287" customFormat="1" ht="12.75">
      <c r="A68" s="11" t="s">
        <v>249</v>
      </c>
      <c r="B68" s="291">
        <f>SUM(B69:B70)</f>
        <v>6000</v>
      </c>
      <c r="C68" s="291">
        <f>SUM(C69:C70)</f>
        <v>6000</v>
      </c>
      <c r="D68" s="6">
        <f>SUM(D69:D70)</f>
        <v>6000</v>
      </c>
    </row>
    <row r="69" spans="1:4" ht="12.75">
      <c r="A69" s="4" t="s">
        <v>440</v>
      </c>
      <c r="B69" s="290">
        <v>2000</v>
      </c>
      <c r="C69" s="290">
        <v>2000</v>
      </c>
      <c r="D69" s="646">
        <v>2000</v>
      </c>
    </row>
    <row r="70" spans="1:4" ht="12.75">
      <c r="A70" s="4" t="s">
        <v>188</v>
      </c>
      <c r="B70" s="290">
        <v>4000</v>
      </c>
      <c r="C70" s="290">
        <v>4000</v>
      </c>
      <c r="D70" s="646">
        <v>4000</v>
      </c>
    </row>
    <row r="71" spans="1:4" ht="12.75">
      <c r="A71" s="4"/>
      <c r="B71" s="290"/>
      <c r="C71" s="290"/>
      <c r="D71" s="646"/>
    </row>
    <row r="72" spans="1:4" s="475" customFormat="1" ht="13.5">
      <c r="A72" s="18" t="s">
        <v>252</v>
      </c>
      <c r="B72" s="315">
        <f>SUM(B68,B66)</f>
        <v>6000</v>
      </c>
      <c r="C72" s="315">
        <f>SUM(C68,C66)</f>
        <v>6000</v>
      </c>
      <c r="D72" s="19">
        <f>SUM(D68,D66)</f>
        <v>6000</v>
      </c>
    </row>
    <row r="73" spans="1:4" ht="12.75">
      <c r="A73" s="4"/>
      <c r="B73" s="290"/>
      <c r="C73" s="290"/>
      <c r="D73" s="646"/>
    </row>
    <row r="74" spans="1:4" s="288" customFormat="1" ht="12.75">
      <c r="A74" s="22" t="s">
        <v>253</v>
      </c>
      <c r="B74" s="316">
        <f>SUM(B64,B72)</f>
        <v>840414</v>
      </c>
      <c r="C74" s="316">
        <f>SUM(C64,C72)</f>
        <v>863548</v>
      </c>
      <c r="D74" s="23">
        <f>SUM(D64,D72)</f>
        <v>875271</v>
      </c>
    </row>
    <row r="75" spans="1:4" s="288" customFormat="1" ht="13.5" thickBot="1">
      <c r="A75" s="15"/>
      <c r="B75" s="650"/>
      <c r="C75" s="650"/>
      <c r="D75" s="651"/>
    </row>
    <row r="76" spans="1:4" s="287" customFormat="1" ht="12.75">
      <c r="A76" s="14" t="s">
        <v>254</v>
      </c>
      <c r="B76" s="652">
        <f>SUM(B77:B79)</f>
        <v>14462</v>
      </c>
      <c r="C76" s="652">
        <f>SUM(C77:C79)</f>
        <v>14462</v>
      </c>
      <c r="D76" s="653">
        <f>SUM(D77:D79)</f>
        <v>16091</v>
      </c>
    </row>
    <row r="77" spans="1:4" ht="12.75">
      <c r="A77" s="4" t="s">
        <v>482</v>
      </c>
      <c r="B77" s="290">
        <v>14462</v>
      </c>
      <c r="C77" s="290">
        <v>14462</v>
      </c>
      <c r="D77" s="646">
        <v>14462</v>
      </c>
    </row>
    <row r="78" spans="1:4" ht="12.75">
      <c r="A78" s="4" t="s">
        <v>820</v>
      </c>
      <c r="B78" s="290"/>
      <c r="C78" s="290"/>
      <c r="D78" s="646">
        <v>1629</v>
      </c>
    </row>
    <row r="79" spans="1:4" ht="12.75">
      <c r="A79" s="4"/>
      <c r="B79" s="290"/>
      <c r="C79" s="290"/>
      <c r="D79" s="646"/>
    </row>
    <row r="80" spans="1:4" s="287" customFormat="1" ht="12" customHeight="1">
      <c r="A80" s="11" t="s">
        <v>255</v>
      </c>
      <c r="B80" s="291">
        <f>SUM(B81:B89)</f>
        <v>59299</v>
      </c>
      <c r="C80" s="291">
        <f>SUM(C81:C89)</f>
        <v>83300</v>
      </c>
      <c r="D80" s="6">
        <f>SUM(D81:D89)</f>
        <v>60800</v>
      </c>
    </row>
    <row r="81" spans="1:4" ht="12.75">
      <c r="A81" s="4" t="s">
        <v>575</v>
      </c>
      <c r="B81" s="290">
        <v>12552</v>
      </c>
      <c r="C81" s="290">
        <v>12552</v>
      </c>
      <c r="D81" s="646">
        <v>12552</v>
      </c>
    </row>
    <row r="82" spans="1:4" ht="12.75">
      <c r="A82" s="4" t="s">
        <v>447</v>
      </c>
      <c r="B82" s="290">
        <v>26500</v>
      </c>
      <c r="C82" s="290">
        <v>26500</v>
      </c>
      <c r="D82" s="646">
        <v>26500</v>
      </c>
    </row>
    <row r="83" spans="1:4" ht="12.75">
      <c r="A83" s="4" t="s">
        <v>235</v>
      </c>
      <c r="B83" s="290">
        <v>12000</v>
      </c>
      <c r="C83" s="290">
        <v>12000</v>
      </c>
      <c r="D83" s="646">
        <v>12000</v>
      </c>
    </row>
    <row r="84" spans="1:4" ht="25.5">
      <c r="A84" s="4" t="s">
        <v>453</v>
      </c>
      <c r="B84" s="290">
        <v>1000</v>
      </c>
      <c r="C84" s="290">
        <v>1000</v>
      </c>
      <c r="D84" s="646">
        <v>1000</v>
      </c>
    </row>
    <row r="85" spans="1:4" ht="12.75">
      <c r="A85" s="4" t="s">
        <v>822</v>
      </c>
      <c r="B85" s="290">
        <f>13247-6000</f>
        <v>7247</v>
      </c>
      <c r="C85" s="290">
        <v>7247</v>
      </c>
      <c r="D85" s="646">
        <v>7247</v>
      </c>
    </row>
    <row r="86" spans="1:4" ht="12.75">
      <c r="A86" s="4" t="s">
        <v>800</v>
      </c>
      <c r="B86" s="290"/>
      <c r="C86" s="290">
        <v>1</v>
      </c>
      <c r="D86" s="646">
        <v>1</v>
      </c>
    </row>
    <row r="87" spans="1:4" ht="12.75">
      <c r="A87" s="4" t="s">
        <v>801</v>
      </c>
      <c r="B87" s="290"/>
      <c r="C87" s="290">
        <v>24000</v>
      </c>
      <c r="D87" s="646">
        <v>0</v>
      </c>
    </row>
    <row r="88" spans="1:4" ht="12.75">
      <c r="A88" s="4" t="s">
        <v>821</v>
      </c>
      <c r="B88" s="290"/>
      <c r="C88" s="290"/>
      <c r="D88" s="646">
        <v>1500</v>
      </c>
    </row>
    <row r="89" spans="1:4" ht="12.75">
      <c r="A89" s="4"/>
      <c r="B89" s="290"/>
      <c r="C89" s="290"/>
      <c r="D89" s="646"/>
    </row>
    <row r="90" spans="1:4" s="475" customFormat="1" ht="13.5">
      <c r="A90" s="18" t="s">
        <v>256</v>
      </c>
      <c r="B90" s="315">
        <f>SUM(B76,B80)</f>
        <v>73761</v>
      </c>
      <c r="C90" s="315">
        <f>SUM(C76,C80)</f>
        <v>97762</v>
      </c>
      <c r="D90" s="19">
        <f>SUM(D76,D80)</f>
        <v>76891</v>
      </c>
    </row>
    <row r="91" spans="1:4" s="475" customFormat="1" ht="13.5">
      <c r="A91" s="18"/>
      <c r="B91" s="315"/>
      <c r="C91" s="315"/>
      <c r="D91" s="648"/>
    </row>
    <row r="92" spans="1:4" ht="12.75">
      <c r="A92" s="4"/>
      <c r="B92" s="290"/>
      <c r="C92" s="290"/>
      <c r="D92" s="646"/>
    </row>
    <row r="93" spans="1:4" s="287" customFormat="1" ht="12.75">
      <c r="A93" s="11" t="s">
        <v>503</v>
      </c>
      <c r="B93" s="291">
        <f>SUM(B94)</f>
        <v>808</v>
      </c>
      <c r="C93" s="291">
        <f>SUM(C94)</f>
        <v>808</v>
      </c>
      <c r="D93" s="6">
        <f>SUM(D94)</f>
        <v>808</v>
      </c>
    </row>
    <row r="94" spans="1:4" ht="12.75">
      <c r="A94" s="4" t="s">
        <v>504</v>
      </c>
      <c r="B94" s="290">
        <v>808</v>
      </c>
      <c r="C94" s="290">
        <v>808</v>
      </c>
      <c r="D94" s="646">
        <v>808</v>
      </c>
    </row>
    <row r="95" spans="1:4" ht="12.75">
      <c r="A95" s="4"/>
      <c r="B95" s="290"/>
      <c r="C95" s="290"/>
      <c r="D95" s="646"/>
    </row>
    <row r="96" spans="1:4" s="287" customFormat="1" ht="12.75">
      <c r="A96" s="11" t="s">
        <v>257</v>
      </c>
      <c r="B96" s="291">
        <f>SUM(B97:B97)</f>
        <v>0</v>
      </c>
      <c r="C96" s="291"/>
      <c r="D96" s="647"/>
    </row>
    <row r="97" spans="1:4" ht="12.75">
      <c r="A97" s="4"/>
      <c r="B97" s="290"/>
      <c r="C97" s="290"/>
      <c r="D97" s="646"/>
    </row>
    <row r="98" spans="1:4" s="287" customFormat="1" ht="12.75">
      <c r="A98" s="11" t="s">
        <v>258</v>
      </c>
      <c r="B98" s="291">
        <f>SUM(B99:B99)</f>
        <v>3500</v>
      </c>
      <c r="C98" s="291">
        <f>SUM(C99:C99)</f>
        <v>3500</v>
      </c>
      <c r="D98" s="6">
        <f>SUM(D99:D99)</f>
        <v>3350</v>
      </c>
    </row>
    <row r="99" spans="1:4" ht="12.75">
      <c r="A99" s="4" t="s">
        <v>277</v>
      </c>
      <c r="B99" s="290">
        <v>3500</v>
      </c>
      <c r="C99" s="290">
        <v>3500</v>
      </c>
      <c r="D99" s="646">
        <v>3350</v>
      </c>
    </row>
    <row r="100" spans="1:4" ht="12.75">
      <c r="A100" s="4"/>
      <c r="B100" s="290"/>
      <c r="C100" s="290"/>
      <c r="D100" s="646"/>
    </row>
    <row r="101" spans="1:4" s="475" customFormat="1" ht="13.5">
      <c r="A101" s="18" t="s">
        <v>259</v>
      </c>
      <c r="B101" s="315">
        <f>SUM(B96,B98,B93)</f>
        <v>4308</v>
      </c>
      <c r="C101" s="315">
        <f>SUM(C96,C98,C93)</f>
        <v>4308</v>
      </c>
      <c r="D101" s="19">
        <f>SUM(D96,D98,D93)</f>
        <v>4158</v>
      </c>
    </row>
    <row r="102" spans="1:4" ht="12.75">
      <c r="A102" s="4"/>
      <c r="B102" s="290"/>
      <c r="C102" s="290"/>
      <c r="D102" s="646"/>
    </row>
    <row r="103" spans="1:4" s="287" customFormat="1" ht="12.75">
      <c r="A103" s="4"/>
      <c r="B103" s="291"/>
      <c r="C103" s="290"/>
      <c r="D103" s="647"/>
    </row>
    <row r="104" spans="1:4" s="288" customFormat="1" ht="12.75">
      <c r="A104" s="22" t="s">
        <v>260</v>
      </c>
      <c r="B104" s="316">
        <f>SUM(B90,B101)</f>
        <v>78069</v>
      </c>
      <c r="C104" s="316">
        <f>SUM(C90,C101)</f>
        <v>102070</v>
      </c>
      <c r="D104" s="23">
        <f>SUM(D90,D101)</f>
        <v>81049</v>
      </c>
    </row>
    <row r="105" spans="1:4" s="287" customFormat="1" ht="12.75">
      <c r="A105" s="11"/>
      <c r="B105" s="291"/>
      <c r="C105" s="290"/>
      <c r="D105" s="647"/>
    </row>
    <row r="106" spans="1:4" ht="12.75">
      <c r="A106" s="4"/>
      <c r="B106" s="290"/>
      <c r="C106" s="290"/>
      <c r="D106" s="646"/>
    </row>
    <row r="107" spans="1:4" s="287" customFormat="1" ht="33.75" customHeight="1" thickBot="1">
      <c r="A107" s="65" t="s">
        <v>483</v>
      </c>
      <c r="B107" s="317">
        <f>SUM(B74,B104)</f>
        <v>918483</v>
      </c>
      <c r="C107" s="317">
        <f>SUM(C74,C104)</f>
        <v>965618</v>
      </c>
      <c r="D107" s="66">
        <f>SUM(D74,D104)</f>
        <v>956320</v>
      </c>
    </row>
    <row r="108" spans="1:4" s="477" customFormat="1" ht="36.75" customHeight="1" thickBot="1">
      <c r="A108" s="654"/>
      <c r="B108" s="655"/>
      <c r="C108" s="319"/>
      <c r="D108" s="476"/>
    </row>
    <row r="109" spans="1:4" ht="15.75" customHeight="1">
      <c r="A109" s="14" t="s">
        <v>261</v>
      </c>
      <c r="B109" s="656" t="s">
        <v>163</v>
      </c>
      <c r="C109" s="656" t="s">
        <v>765</v>
      </c>
      <c r="D109" s="318" t="s">
        <v>944</v>
      </c>
    </row>
    <row r="110" spans="1:4" ht="12.75">
      <c r="A110" s="4"/>
      <c r="B110" s="657"/>
      <c r="C110" s="657"/>
      <c r="D110" s="646"/>
    </row>
    <row r="111" spans="1:4" ht="12.75">
      <c r="A111" s="4"/>
      <c r="B111" s="657"/>
      <c r="C111" s="658"/>
      <c r="D111" s="646"/>
    </row>
    <row r="112" spans="1:4" ht="12.75">
      <c r="A112" s="11" t="s">
        <v>258</v>
      </c>
      <c r="B112" s="659">
        <f>SUM(B113:B114)</f>
        <v>1000</v>
      </c>
      <c r="C112" s="659">
        <f>SUM(C113:C114)</f>
        <v>1000</v>
      </c>
      <c r="D112" s="6">
        <f>SUM(D113:D114)</f>
        <v>1000</v>
      </c>
    </row>
    <row r="113" spans="1:4" ht="12.75">
      <c r="A113" s="4" t="s">
        <v>460</v>
      </c>
      <c r="B113" s="657">
        <v>1000</v>
      </c>
      <c r="C113" s="658">
        <v>1000</v>
      </c>
      <c r="D113" s="646">
        <v>1000</v>
      </c>
    </row>
    <row r="114" spans="1:4" ht="12.75">
      <c r="A114" s="4"/>
      <c r="B114" s="657"/>
      <c r="C114" s="658"/>
      <c r="D114" s="646"/>
    </row>
    <row r="115" spans="1:4" ht="12.75">
      <c r="A115" s="4"/>
      <c r="B115" s="657"/>
      <c r="C115" s="658"/>
      <c r="D115" s="646"/>
    </row>
    <row r="116" spans="1:4" ht="30.75" customHeight="1" thickBot="1">
      <c r="A116" s="65" t="s">
        <v>484</v>
      </c>
      <c r="B116" s="660">
        <f>SUM(B112)</f>
        <v>1000</v>
      </c>
      <c r="C116" s="660">
        <f>SUM(C112)</f>
        <v>1000</v>
      </c>
      <c r="D116" s="66">
        <f>SUM(D112)</f>
        <v>1000</v>
      </c>
    </row>
  </sheetData>
  <sheetProtection/>
  <mergeCells count="3">
    <mergeCell ref="A2:D2"/>
    <mergeCell ref="A3:D3"/>
    <mergeCell ref="A1:D1"/>
  </mergeCells>
  <printOptions horizontalCentered="1"/>
  <pageMargins left="0.4724409448818898" right="0.2362204724409449" top="0.9583333333333334" bottom="0.4330708661417323" header="0.5118110236220472" footer="0.3937007874015748"/>
  <pageSetup horizontalDpi="600" verticalDpi="600" orientation="portrait" paperSize="9" scale="74" r:id="rId1"/>
  <headerFooter alignWithMargins="0">
    <oddHeader>&amp;L 11. melléklet a 18/2014.(IX.1.) önkormányzati rendelethez
"11. melléklet az 1/2014.(I.31.) önkormányzati rendelethez"</oddHeader>
  </headerFooter>
  <rowBreaks count="1" manualBreakCount="1">
    <brk id="75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1"/>
  <sheetViews>
    <sheetView view="pageLayout" zoomScaleSheetLayoutView="100" workbookViewId="0" topLeftCell="A1">
      <selection activeCell="A2" sqref="A2:D2"/>
    </sheetView>
  </sheetViews>
  <sheetFormatPr defaultColWidth="9.00390625" defaultRowHeight="12.75"/>
  <cols>
    <col min="1" max="1" width="82.00390625" style="13" customWidth="1"/>
    <col min="2" max="2" width="12.25390625" style="3" customWidth="1"/>
    <col min="3" max="3" width="12.25390625" style="7" customWidth="1"/>
    <col min="4" max="4" width="12.625" style="346" customWidth="1"/>
    <col min="5" max="5" width="9.125" style="3" customWidth="1"/>
    <col min="6" max="16384" width="9.125" style="2" customWidth="1"/>
  </cols>
  <sheetData>
    <row r="1" spans="1:2" ht="12.75">
      <c r="A1" s="17"/>
      <c r="B1" s="9"/>
    </row>
    <row r="2" spans="1:4" ht="32.25" customHeight="1">
      <c r="A2" s="1082" t="s">
        <v>407</v>
      </c>
      <c r="B2" s="1082"/>
      <c r="C2" s="942"/>
      <c r="D2" s="942"/>
    </row>
    <row r="3" spans="1:4" ht="15.75">
      <c r="A3" s="1083" t="s">
        <v>174</v>
      </c>
      <c r="B3" s="1083"/>
      <c r="C3" s="942"/>
      <c r="D3" s="942"/>
    </row>
    <row r="4" spans="1:2" ht="13.5" thickBot="1">
      <c r="A4" s="666"/>
      <c r="B4" s="667"/>
    </row>
    <row r="5" spans="1:4" ht="12.75">
      <c r="A5" s="14" t="s">
        <v>122</v>
      </c>
      <c r="B5" s="661" t="s">
        <v>163</v>
      </c>
      <c r="C5" s="662" t="s">
        <v>765</v>
      </c>
      <c r="D5" s="318" t="s">
        <v>944</v>
      </c>
    </row>
    <row r="6" spans="1:4" ht="12.75">
      <c r="A6" s="4"/>
      <c r="B6" s="657"/>
      <c r="C6" s="658"/>
      <c r="D6" s="646"/>
    </row>
    <row r="7" spans="1:4" ht="12.75">
      <c r="A7" s="11" t="s">
        <v>227</v>
      </c>
      <c r="B7" s="659"/>
      <c r="C7" s="657"/>
      <c r="D7" s="646"/>
    </row>
    <row r="8" spans="1:4" ht="12.75">
      <c r="A8" s="4"/>
      <c r="B8" s="657"/>
      <c r="C8" s="657"/>
      <c r="D8" s="646"/>
    </row>
    <row r="9" spans="1:5" s="10" customFormat="1" ht="12.75">
      <c r="A9" s="11" t="s">
        <v>469</v>
      </c>
      <c r="B9" s="659">
        <f>SUM(B10:B25)</f>
        <v>143448</v>
      </c>
      <c r="C9" s="659">
        <f>SUM(C10:C25)</f>
        <v>192056</v>
      </c>
      <c r="D9" s="6">
        <f>SUM(D10:D25)</f>
        <v>198556</v>
      </c>
      <c r="E9" s="12"/>
    </row>
    <row r="10" spans="1:4" ht="12.75">
      <c r="A10" s="4" t="s">
        <v>485</v>
      </c>
      <c r="B10" s="657">
        <v>6000</v>
      </c>
      <c r="C10" s="657">
        <v>6000</v>
      </c>
      <c r="D10" s="646">
        <v>6000</v>
      </c>
    </row>
    <row r="11" spans="1:4" ht="12.75">
      <c r="A11" s="4" t="s">
        <v>686</v>
      </c>
      <c r="B11" s="657">
        <v>14560</v>
      </c>
      <c r="C11" s="657">
        <v>14560</v>
      </c>
      <c r="D11" s="646">
        <v>14560</v>
      </c>
    </row>
    <row r="12" spans="1:4" ht="12.75">
      <c r="A12" s="4" t="s">
        <v>473</v>
      </c>
      <c r="B12" s="657">
        <v>8000</v>
      </c>
      <c r="C12" s="657">
        <v>8000</v>
      </c>
      <c r="D12" s="646">
        <v>8000</v>
      </c>
    </row>
    <row r="13" spans="1:4" ht="12.75">
      <c r="A13" s="4" t="s">
        <v>476</v>
      </c>
      <c r="B13" s="657">
        <v>61650</v>
      </c>
      <c r="C13" s="657">
        <v>61650</v>
      </c>
      <c r="D13" s="646">
        <v>61650</v>
      </c>
    </row>
    <row r="14" spans="1:4" ht="12.75">
      <c r="A14" s="4" t="s">
        <v>477</v>
      </c>
      <c r="B14" s="657">
        <v>25548</v>
      </c>
      <c r="C14" s="657">
        <v>25548</v>
      </c>
      <c r="D14" s="646">
        <v>25548</v>
      </c>
    </row>
    <row r="15" spans="1:4" ht="25.5">
      <c r="A15" s="4" t="s">
        <v>490</v>
      </c>
      <c r="B15" s="657">
        <v>2000</v>
      </c>
      <c r="C15" s="657">
        <v>2000</v>
      </c>
      <c r="D15" s="646">
        <v>2000</v>
      </c>
    </row>
    <row r="16" spans="1:4" ht="12.75">
      <c r="A16" s="4" t="s">
        <v>489</v>
      </c>
      <c r="B16" s="657">
        <v>7500</v>
      </c>
      <c r="C16" s="657">
        <v>7500</v>
      </c>
      <c r="D16" s="646">
        <v>7500</v>
      </c>
    </row>
    <row r="17" spans="1:4" ht="12.75">
      <c r="A17" s="4" t="s">
        <v>491</v>
      </c>
      <c r="B17" s="657">
        <v>4000</v>
      </c>
      <c r="C17" s="657">
        <v>4000</v>
      </c>
      <c r="D17" s="646">
        <v>4000</v>
      </c>
    </row>
    <row r="18" spans="1:4" ht="12.75">
      <c r="A18" s="485" t="s">
        <v>795</v>
      </c>
      <c r="B18" s="657">
        <v>6572</v>
      </c>
      <c r="C18" s="657">
        <v>9178</v>
      </c>
      <c r="D18" s="646">
        <v>9178</v>
      </c>
    </row>
    <row r="19" spans="1:4" ht="12.75">
      <c r="A19" s="4" t="s">
        <v>498</v>
      </c>
      <c r="B19" s="657">
        <v>4600</v>
      </c>
      <c r="C19" s="657">
        <v>4600</v>
      </c>
      <c r="D19" s="646">
        <v>4600</v>
      </c>
    </row>
    <row r="20" spans="1:4" ht="12.75">
      <c r="A20" s="4" t="s">
        <v>486</v>
      </c>
      <c r="B20" s="657">
        <v>750</v>
      </c>
      <c r="C20" s="657">
        <v>750</v>
      </c>
      <c r="D20" s="646">
        <v>750</v>
      </c>
    </row>
    <row r="21" spans="1:4" ht="12.75">
      <c r="A21" s="4" t="s">
        <v>5</v>
      </c>
      <c r="B21" s="657">
        <v>2268</v>
      </c>
      <c r="C21" s="657">
        <v>2268</v>
      </c>
      <c r="D21" s="646">
        <v>2268</v>
      </c>
    </row>
    <row r="22" spans="1:4" ht="12.75">
      <c r="A22" s="4" t="s">
        <v>185</v>
      </c>
      <c r="B22" s="657"/>
      <c r="C22" s="657">
        <f>40000-9998</f>
        <v>30002</v>
      </c>
      <c r="D22" s="646">
        <v>30002</v>
      </c>
    </row>
    <row r="23" spans="1:4" ht="12.75">
      <c r="A23" s="4" t="s">
        <v>186</v>
      </c>
      <c r="B23" s="657"/>
      <c r="C23" s="657">
        <v>16000</v>
      </c>
      <c r="D23" s="646">
        <v>16000</v>
      </c>
    </row>
    <row r="24" spans="1:4" ht="12.75">
      <c r="A24" s="4" t="s">
        <v>810</v>
      </c>
      <c r="B24" s="657"/>
      <c r="C24" s="657"/>
      <c r="D24" s="646">
        <v>6500</v>
      </c>
    </row>
    <row r="25" spans="1:4" ht="12.75">
      <c r="A25" s="4"/>
      <c r="B25" s="657"/>
      <c r="C25" s="657"/>
      <c r="D25" s="646"/>
    </row>
    <row r="26" spans="1:5" s="10" customFormat="1" ht="12.75">
      <c r="A26" s="11" t="s">
        <v>470</v>
      </c>
      <c r="B26" s="659">
        <f>SUM(B27:B31)</f>
        <v>3840</v>
      </c>
      <c r="C26" s="659">
        <f>SUM(C27:C31)</f>
        <v>3840</v>
      </c>
      <c r="D26" s="6">
        <f>SUM(D27:D31)</f>
        <v>3779</v>
      </c>
      <c r="E26" s="12"/>
    </row>
    <row r="27" spans="1:4" ht="12.75">
      <c r="A27" s="4" t="s">
        <v>475</v>
      </c>
      <c r="B27" s="657">
        <v>2700</v>
      </c>
      <c r="C27" s="657">
        <v>2700</v>
      </c>
      <c r="D27" s="646">
        <v>2700</v>
      </c>
    </row>
    <row r="28" spans="1:4" ht="12.75">
      <c r="A28" s="4" t="s">
        <v>499</v>
      </c>
      <c r="B28" s="657">
        <v>140</v>
      </c>
      <c r="C28" s="657">
        <v>140</v>
      </c>
      <c r="D28" s="646">
        <v>140</v>
      </c>
    </row>
    <row r="29" spans="1:4" ht="12.75">
      <c r="A29" s="4" t="s">
        <v>500</v>
      </c>
      <c r="B29" s="657">
        <v>1000</v>
      </c>
      <c r="C29" s="657">
        <v>1000</v>
      </c>
      <c r="D29" s="646">
        <v>0</v>
      </c>
    </row>
    <row r="30" spans="1:4" ht="12.75">
      <c r="A30" s="4" t="s">
        <v>811</v>
      </c>
      <c r="B30" s="657"/>
      <c r="C30" s="657"/>
      <c r="D30" s="646">
        <v>100</v>
      </c>
    </row>
    <row r="31" spans="1:4" ht="25.5">
      <c r="A31" s="4" t="s">
        <v>823</v>
      </c>
      <c r="B31" s="657"/>
      <c r="C31" s="657"/>
      <c r="D31" s="646">
        <v>839</v>
      </c>
    </row>
    <row r="32" spans="1:4" ht="12.75">
      <c r="A32" s="4"/>
      <c r="B32" s="657"/>
      <c r="C32" s="657"/>
      <c r="D32" s="646"/>
    </row>
    <row r="33" spans="1:5" s="21" customFormat="1" ht="13.5">
      <c r="A33" s="18" t="s">
        <v>471</v>
      </c>
      <c r="B33" s="664">
        <f>SUM(B9,B26)</f>
        <v>147288</v>
      </c>
      <c r="C33" s="664">
        <f>SUM(C9,C26)</f>
        <v>195896</v>
      </c>
      <c r="D33" s="19">
        <f>SUM(D9,D26)</f>
        <v>202335</v>
      </c>
      <c r="E33" s="20"/>
    </row>
    <row r="34" spans="1:4" ht="12.75">
      <c r="A34" s="4"/>
      <c r="B34" s="657"/>
      <c r="C34" s="657"/>
      <c r="D34" s="646"/>
    </row>
    <row r="35" spans="1:4" ht="12.75">
      <c r="A35" s="11" t="s">
        <v>466</v>
      </c>
      <c r="B35" s="659">
        <f>SUM(B36:B36)</f>
        <v>0</v>
      </c>
      <c r="C35" s="659">
        <f>SUM(C36:C36)</f>
        <v>0</v>
      </c>
      <c r="D35" s="6">
        <f>SUM(D36:D36)</f>
        <v>0</v>
      </c>
    </row>
    <row r="36" spans="1:4" ht="12.75">
      <c r="A36" s="4"/>
      <c r="B36" s="657"/>
      <c r="C36" s="657"/>
      <c r="D36" s="646"/>
    </row>
    <row r="37" spans="1:5" s="10" customFormat="1" ht="12.75">
      <c r="A37" s="11" t="s">
        <v>461</v>
      </c>
      <c r="B37" s="659">
        <f>SUM(B38:B41)</f>
        <v>154763</v>
      </c>
      <c r="C37" s="659">
        <f>SUM(C38:C41)</f>
        <v>154763</v>
      </c>
      <c r="D37" s="6">
        <f>SUM(D38:D41)</f>
        <v>154763</v>
      </c>
      <c r="E37" s="12"/>
    </row>
    <row r="38" spans="1:5" s="10" customFormat="1" ht="12.75">
      <c r="A38" s="4" t="s">
        <v>349</v>
      </c>
      <c r="B38" s="657">
        <v>68489</v>
      </c>
      <c r="C38" s="657">
        <v>68489</v>
      </c>
      <c r="D38" s="646">
        <v>68489</v>
      </c>
      <c r="E38" s="12"/>
    </row>
    <row r="39" spans="1:5" s="10" customFormat="1" ht="12.75">
      <c r="A39" s="4" t="s">
        <v>494</v>
      </c>
      <c r="B39" s="657">
        <v>2000</v>
      </c>
      <c r="C39" s="657">
        <v>2000</v>
      </c>
      <c r="D39" s="646">
        <v>2000</v>
      </c>
      <c r="E39" s="12"/>
    </row>
    <row r="40" spans="1:5" s="10" customFormat="1" ht="12.75">
      <c r="A40" s="4" t="s">
        <v>236</v>
      </c>
      <c r="B40" s="657">
        <v>84274</v>
      </c>
      <c r="C40" s="657">
        <v>84274</v>
      </c>
      <c r="D40" s="646">
        <v>84274</v>
      </c>
      <c r="E40" s="12"/>
    </row>
    <row r="41" spans="1:4" ht="12.75">
      <c r="A41" s="4"/>
      <c r="B41" s="657"/>
      <c r="C41" s="657"/>
      <c r="D41" s="646"/>
    </row>
    <row r="42" spans="1:5" s="10" customFormat="1" ht="12.75">
      <c r="A42" s="11" t="s">
        <v>705</v>
      </c>
      <c r="B42" s="659">
        <f>SUM(B43)</f>
        <v>20090</v>
      </c>
      <c r="C42" s="659">
        <f>SUM(C43)</f>
        <v>20090</v>
      </c>
      <c r="D42" s="6">
        <f>SUM(D43)</f>
        <v>20090</v>
      </c>
      <c r="E42" s="12"/>
    </row>
    <row r="43" spans="1:4" ht="12.75">
      <c r="A43" s="4" t="s">
        <v>706</v>
      </c>
      <c r="B43" s="657">
        <v>20090</v>
      </c>
      <c r="C43" s="657">
        <v>20090</v>
      </c>
      <c r="D43" s="646">
        <v>20090</v>
      </c>
    </row>
    <row r="44" spans="1:4" ht="12.75">
      <c r="A44" s="4"/>
      <c r="B44" s="657"/>
      <c r="C44" s="657"/>
      <c r="D44" s="646"/>
    </row>
    <row r="45" spans="1:5" s="21" customFormat="1" ht="13.5">
      <c r="A45" s="18" t="s">
        <v>467</v>
      </c>
      <c r="B45" s="664">
        <f>SUM(B37,B35,B42)</f>
        <v>174853</v>
      </c>
      <c r="C45" s="664">
        <f>SUM(C37,C35,C42)</f>
        <v>174853</v>
      </c>
      <c r="D45" s="19">
        <f>SUM(D37,D35,D42)</f>
        <v>174853</v>
      </c>
      <c r="E45" s="20"/>
    </row>
    <row r="46" spans="1:4" ht="12.75">
      <c r="A46" s="4"/>
      <c r="B46" s="657"/>
      <c r="C46" s="657"/>
      <c r="D46" s="646"/>
    </row>
    <row r="47" spans="1:4" ht="12.75">
      <c r="A47" s="4"/>
      <c r="B47" s="657"/>
      <c r="C47" s="657"/>
      <c r="D47" s="646"/>
    </row>
    <row r="48" spans="1:5" s="10" customFormat="1" ht="12.75">
      <c r="A48" s="11" t="s">
        <v>468</v>
      </c>
      <c r="B48" s="659">
        <f>SUM(B49:B66)</f>
        <v>1690328</v>
      </c>
      <c r="C48" s="659">
        <f>SUM(C49:C66)</f>
        <v>1637404</v>
      </c>
      <c r="D48" s="6">
        <f>SUM(D49:D66)</f>
        <v>1637404</v>
      </c>
      <c r="E48" s="12"/>
    </row>
    <row r="49" spans="1:5" s="10" customFormat="1" ht="12.75">
      <c r="A49" s="4" t="s">
        <v>165</v>
      </c>
      <c r="B49" s="657">
        <v>183132</v>
      </c>
      <c r="C49" s="657">
        <v>183132</v>
      </c>
      <c r="D49" s="646">
        <v>183132</v>
      </c>
      <c r="E49" s="12"/>
    </row>
    <row r="50" spans="1:5" s="10" customFormat="1" ht="25.5" customHeight="1">
      <c r="A50" s="4" t="s">
        <v>505</v>
      </c>
      <c r="B50" s="657">
        <f>295252+48445</f>
        <v>343697</v>
      </c>
      <c r="C50" s="657">
        <f>295252+48445</f>
        <v>343697</v>
      </c>
      <c r="D50" s="646">
        <v>343697</v>
      </c>
      <c r="E50" s="12"/>
    </row>
    <row r="51" spans="1:5" s="10" customFormat="1" ht="12.75">
      <c r="A51" s="4" t="s">
        <v>169</v>
      </c>
      <c r="B51" s="657">
        <v>185000</v>
      </c>
      <c r="C51" s="657">
        <v>185000</v>
      </c>
      <c r="D51" s="646">
        <v>185000</v>
      </c>
      <c r="E51" s="12"/>
    </row>
    <row r="52" spans="1:5" s="10" customFormat="1" ht="12.75">
      <c r="A52" s="4" t="s">
        <v>222</v>
      </c>
      <c r="B52" s="657">
        <v>4000</v>
      </c>
      <c r="C52" s="657">
        <v>4000</v>
      </c>
      <c r="D52" s="646">
        <v>4000</v>
      </c>
      <c r="E52" s="12"/>
    </row>
    <row r="53" spans="1:5" s="10" customFormat="1" ht="12.75">
      <c r="A53" s="4" t="s">
        <v>507</v>
      </c>
      <c r="B53" s="657">
        <v>6922</v>
      </c>
      <c r="C53" s="657">
        <v>0</v>
      </c>
      <c r="D53" s="646">
        <v>0</v>
      </c>
      <c r="E53" s="12"/>
    </row>
    <row r="54" spans="1:5" s="10" customFormat="1" ht="25.5">
      <c r="A54" s="4" t="s">
        <v>181</v>
      </c>
      <c r="B54" s="657">
        <v>133565</v>
      </c>
      <c r="C54" s="657">
        <v>133565</v>
      </c>
      <c r="D54" s="646">
        <v>133565</v>
      </c>
      <c r="E54" s="12"/>
    </row>
    <row r="55" spans="1:5" s="10" customFormat="1" ht="12.75">
      <c r="A55" s="4" t="s">
        <v>168</v>
      </c>
      <c r="B55" s="657">
        <v>90625</v>
      </c>
      <c r="C55" s="657">
        <v>90625</v>
      </c>
      <c r="D55" s="646">
        <v>90625</v>
      </c>
      <c r="E55" s="12"/>
    </row>
    <row r="56" spans="1:5" s="10" customFormat="1" ht="25.5">
      <c r="A56" s="4" t="s">
        <v>182</v>
      </c>
      <c r="B56" s="657">
        <f>44600-12340</f>
        <v>32260</v>
      </c>
      <c r="C56" s="657">
        <f>44600-12340</f>
        <v>32260</v>
      </c>
      <c r="D56" s="646">
        <v>32260</v>
      </c>
      <c r="E56" s="12"/>
    </row>
    <row r="57" spans="1:5" s="10" customFormat="1" ht="25.5">
      <c r="A57" s="4" t="s">
        <v>184</v>
      </c>
      <c r="B57" s="657">
        <v>15000</v>
      </c>
      <c r="C57" s="657">
        <v>15000</v>
      </c>
      <c r="D57" s="646">
        <v>15000</v>
      </c>
      <c r="E57" s="12"/>
    </row>
    <row r="58" spans="1:5" s="10" customFormat="1" ht="12.75">
      <c r="A58" s="4" t="s">
        <v>183</v>
      </c>
      <c r="B58" s="657">
        <v>44957</v>
      </c>
      <c r="C58" s="657">
        <v>44957</v>
      </c>
      <c r="D58" s="646">
        <v>44957</v>
      </c>
      <c r="E58" s="12"/>
    </row>
    <row r="59" spans="1:5" s="10" customFormat="1" ht="25.5">
      <c r="A59" s="4" t="s">
        <v>167</v>
      </c>
      <c r="B59" s="657">
        <v>1174</v>
      </c>
      <c r="C59" s="657">
        <v>1174</v>
      </c>
      <c r="D59" s="646">
        <v>1174</v>
      </c>
      <c r="E59" s="12"/>
    </row>
    <row r="60" spans="1:5" s="10" customFormat="1" ht="12.75">
      <c r="A60" s="4" t="s">
        <v>173</v>
      </c>
      <c r="B60" s="657">
        <v>52290</v>
      </c>
      <c r="C60" s="657">
        <v>52290</v>
      </c>
      <c r="D60" s="646">
        <v>52290</v>
      </c>
      <c r="E60" s="12"/>
    </row>
    <row r="61" spans="1:5" s="10" customFormat="1" ht="12.75">
      <c r="A61" s="4" t="s">
        <v>185</v>
      </c>
      <c r="B61" s="657">
        <f>40000-9998</f>
        <v>30002</v>
      </c>
      <c r="C61" s="657"/>
      <c r="D61" s="646"/>
      <c r="E61" s="12"/>
    </row>
    <row r="62" spans="1:5" s="10" customFormat="1" ht="12.75">
      <c r="A62" s="4" t="s">
        <v>186</v>
      </c>
      <c r="B62" s="657">
        <v>16000</v>
      </c>
      <c r="C62" s="657"/>
      <c r="D62" s="646"/>
      <c r="E62" s="12"/>
    </row>
    <row r="63" spans="1:5" s="10" customFormat="1" ht="12.75">
      <c r="A63" s="4" t="s">
        <v>200</v>
      </c>
      <c r="B63" s="657">
        <v>192845</v>
      </c>
      <c r="C63" s="657">
        <v>192845</v>
      </c>
      <c r="D63" s="646">
        <v>192845</v>
      </c>
      <c r="E63" s="12"/>
    </row>
    <row r="64" spans="1:5" s="10" customFormat="1" ht="12.75">
      <c r="A64" s="4" t="s">
        <v>201</v>
      </c>
      <c r="B64" s="657">
        <v>190000</v>
      </c>
      <c r="C64" s="657">
        <v>190000</v>
      </c>
      <c r="D64" s="646">
        <v>190000</v>
      </c>
      <c r="E64" s="12"/>
    </row>
    <row r="65" spans="1:5" s="10" customFormat="1" ht="12.75">
      <c r="A65" s="4" t="s">
        <v>202</v>
      </c>
      <c r="B65" s="657">
        <v>25000</v>
      </c>
      <c r="C65" s="657">
        <v>25000</v>
      </c>
      <c r="D65" s="646">
        <v>25000</v>
      </c>
      <c r="E65" s="12"/>
    </row>
    <row r="66" spans="1:5" s="10" customFormat="1" ht="13.5" thickBot="1">
      <c r="A66" s="67" t="s">
        <v>217</v>
      </c>
      <c r="B66" s="668">
        <v>143859</v>
      </c>
      <c r="C66" s="668">
        <v>143859</v>
      </c>
      <c r="D66" s="767">
        <v>143859</v>
      </c>
      <c r="E66" s="12"/>
    </row>
    <row r="67" spans="1:4" ht="12.75">
      <c r="A67" s="148"/>
      <c r="B67" s="665"/>
      <c r="C67" s="665"/>
      <c r="D67" s="645"/>
    </row>
    <row r="68" spans="1:4" ht="12.75">
      <c r="A68" s="11" t="s">
        <v>4</v>
      </c>
      <c r="B68" s="659">
        <f>SUM(B69:B70)</f>
        <v>624234</v>
      </c>
      <c r="C68" s="659">
        <f>SUM(C69:C70)</f>
        <v>624234</v>
      </c>
      <c r="D68" s="6">
        <f>SUM(D69:D70)</f>
        <v>624234</v>
      </c>
    </row>
    <row r="69" spans="1:4" ht="12.75">
      <c r="A69" s="4" t="s">
        <v>179</v>
      </c>
      <c r="B69" s="657">
        <f>400000+222234</f>
        <v>622234</v>
      </c>
      <c r="C69" s="657">
        <v>622234</v>
      </c>
      <c r="D69" s="646">
        <v>622234</v>
      </c>
    </row>
    <row r="70" spans="1:5" s="10" customFormat="1" ht="12.75">
      <c r="A70" s="4" t="s">
        <v>180</v>
      </c>
      <c r="B70" s="657">
        <v>2000</v>
      </c>
      <c r="C70" s="657">
        <v>2000</v>
      </c>
      <c r="D70" s="646">
        <v>2000</v>
      </c>
      <c r="E70" s="12"/>
    </row>
    <row r="71" spans="1:4" ht="12.75">
      <c r="A71" s="4"/>
      <c r="B71" s="657"/>
      <c r="C71" s="657"/>
      <c r="D71" s="646"/>
    </row>
    <row r="72" spans="1:5" s="21" customFormat="1" ht="13.5">
      <c r="A72" s="18" t="s">
        <v>472</v>
      </c>
      <c r="B72" s="664">
        <f>SUM(B48+B68)</f>
        <v>2314562</v>
      </c>
      <c r="C72" s="664">
        <f>SUM(C48+C68)</f>
        <v>2261638</v>
      </c>
      <c r="D72" s="19">
        <f>SUM(D48+D68)</f>
        <v>2261638</v>
      </c>
      <c r="E72" s="20"/>
    </row>
    <row r="73" spans="1:5" s="21" customFormat="1" ht="13.5">
      <c r="A73" s="18"/>
      <c r="B73" s="664"/>
      <c r="C73" s="664"/>
      <c r="D73" s="648"/>
      <c r="E73" s="20"/>
    </row>
    <row r="74" spans="1:5" s="10" customFormat="1" ht="12.75" customHeight="1">
      <c r="A74" s="18" t="s">
        <v>465</v>
      </c>
      <c r="B74" s="664">
        <f>SUM(B75:B75)</f>
        <v>0</v>
      </c>
      <c r="C74" s="664">
        <f>SUM(C75:C75)</f>
        <v>0</v>
      </c>
      <c r="D74" s="647"/>
      <c r="E74" s="12"/>
    </row>
    <row r="75" spans="1:4" ht="12.75">
      <c r="A75" s="4"/>
      <c r="B75" s="657"/>
      <c r="C75" s="657"/>
      <c r="D75" s="646"/>
    </row>
    <row r="76" spans="1:5" s="10" customFormat="1" ht="12.75">
      <c r="A76" s="11" t="s">
        <v>463</v>
      </c>
      <c r="B76" s="659">
        <f>SUM(B77:B79)</f>
        <v>108523</v>
      </c>
      <c r="C76" s="659">
        <f>SUM(C77:C79)</f>
        <v>108523</v>
      </c>
      <c r="D76" s="6">
        <f>SUM(D77:D79)</f>
        <v>115529</v>
      </c>
      <c r="E76" s="12"/>
    </row>
    <row r="77" spans="1:4" ht="12.75">
      <c r="A77" s="4" t="s">
        <v>493</v>
      </c>
      <c r="B77" s="657">
        <v>106323</v>
      </c>
      <c r="C77" s="657">
        <v>106323</v>
      </c>
      <c r="D77" s="646">
        <v>106323</v>
      </c>
    </row>
    <row r="78" spans="1:4" ht="12.75">
      <c r="A78" s="4" t="s">
        <v>495</v>
      </c>
      <c r="B78" s="657">
        <v>2200</v>
      </c>
      <c r="C78" s="657">
        <v>2200</v>
      </c>
      <c r="D78" s="646">
        <v>2200</v>
      </c>
    </row>
    <row r="79" spans="1:4" ht="12.75">
      <c r="A79" s="4" t="s">
        <v>812</v>
      </c>
      <c r="B79" s="657"/>
      <c r="C79" s="657"/>
      <c r="D79" s="646">
        <v>7006</v>
      </c>
    </row>
    <row r="80" spans="1:4" ht="12.75">
      <c r="A80" s="4"/>
      <c r="B80" s="657"/>
      <c r="C80" s="657"/>
      <c r="D80" s="646"/>
    </row>
    <row r="81" spans="1:4" ht="13.5">
      <c r="A81" s="18" t="s">
        <v>462</v>
      </c>
      <c r="B81" s="664">
        <f>SUM(B82:B84)</f>
        <v>600</v>
      </c>
      <c r="C81" s="664">
        <f>SUM(C82:C84)</f>
        <v>600</v>
      </c>
      <c r="D81" s="19">
        <f>SUM(D82:D84)</f>
        <v>600</v>
      </c>
    </row>
    <row r="82" spans="1:4" ht="25.5">
      <c r="A82" s="4" t="s">
        <v>474</v>
      </c>
      <c r="B82" s="657">
        <v>600</v>
      </c>
      <c r="C82" s="657">
        <v>600</v>
      </c>
      <c r="D82" s="646">
        <v>600</v>
      </c>
    </row>
    <row r="83" spans="1:4" ht="12.75">
      <c r="A83" s="4" t="s">
        <v>812</v>
      </c>
      <c r="B83" s="657"/>
      <c r="C83" s="657"/>
      <c r="D83" s="646"/>
    </row>
    <row r="84" spans="1:4" ht="12.75">
      <c r="A84" s="4" t="s">
        <v>813</v>
      </c>
      <c r="B84" s="657"/>
      <c r="C84" s="657"/>
      <c r="D84" s="646"/>
    </row>
    <row r="85" spans="1:4" ht="12.75">
      <c r="A85" s="4"/>
      <c r="B85" s="657"/>
      <c r="C85" s="657"/>
      <c r="D85" s="646"/>
    </row>
    <row r="86" spans="1:5" s="21" customFormat="1" ht="13.5">
      <c r="A86" s="18" t="s">
        <v>464</v>
      </c>
      <c r="B86" s="664">
        <f>SUM(B76+B81)</f>
        <v>109123</v>
      </c>
      <c r="C86" s="664">
        <f>SUM(C76+C81)</f>
        <v>109123</v>
      </c>
      <c r="D86" s="19">
        <f>SUM(D76+D81)</f>
        <v>116129</v>
      </c>
      <c r="E86" s="20"/>
    </row>
    <row r="87" spans="1:5" s="21" customFormat="1" ht="13.5">
      <c r="A87" s="18"/>
      <c r="B87" s="664"/>
      <c r="C87" s="664"/>
      <c r="D87" s="648"/>
      <c r="E87" s="20"/>
    </row>
    <row r="88" spans="1:5" s="5" customFormat="1" ht="12.75">
      <c r="A88" s="4"/>
      <c r="B88" s="657"/>
      <c r="C88" s="657"/>
      <c r="D88" s="646"/>
      <c r="E88" s="26"/>
    </row>
    <row r="89" spans="1:5" s="10" customFormat="1" ht="26.25" thickBot="1">
      <c r="A89" s="65" t="s">
        <v>487</v>
      </c>
      <c r="B89" s="660">
        <f>SUM(B33+B45+B72+B74+B86)</f>
        <v>2745826</v>
      </c>
      <c r="C89" s="660">
        <f>SUM(C33+C45+C72+C74+C86)</f>
        <v>2741510</v>
      </c>
      <c r="D89" s="66">
        <f>SUM(D33+D45+D72+D74+D86)</f>
        <v>2754955</v>
      </c>
      <c r="E89" s="12"/>
    </row>
    <row r="90" spans="1:5" s="64" customFormat="1" ht="37.5" customHeight="1" thickBot="1">
      <c r="A90" s="178"/>
      <c r="B90" s="179"/>
      <c r="C90" s="319"/>
      <c r="D90" s="476"/>
      <c r="E90" s="63"/>
    </row>
    <row r="91" spans="1:4" ht="12.75">
      <c r="A91" s="14" t="s">
        <v>261</v>
      </c>
      <c r="B91" s="661" t="s">
        <v>163</v>
      </c>
      <c r="C91" s="662" t="s">
        <v>765</v>
      </c>
      <c r="D91" s="318" t="s">
        <v>947</v>
      </c>
    </row>
    <row r="92" spans="1:4" ht="12.75">
      <c r="A92" s="4"/>
      <c r="B92" s="657"/>
      <c r="C92" s="657"/>
      <c r="D92" s="646"/>
    </row>
    <row r="93" spans="1:5" s="25" customFormat="1" ht="12.75">
      <c r="A93" s="22" t="s">
        <v>141</v>
      </c>
      <c r="B93" s="663">
        <f>SUM(B94,B98)</f>
        <v>2950</v>
      </c>
      <c r="C93" s="663">
        <f>SUM(C94,C98)</f>
        <v>6567</v>
      </c>
      <c r="D93" s="23">
        <f>SUM(D94,D98)</f>
        <v>10396</v>
      </c>
      <c r="E93" s="24"/>
    </row>
    <row r="94" spans="1:4" ht="12.75">
      <c r="A94" s="11" t="s">
        <v>469</v>
      </c>
      <c r="B94" s="659">
        <f>SUM(B95:B96)</f>
        <v>1950</v>
      </c>
      <c r="C94" s="659">
        <f>SUM(C95:C96)</f>
        <v>5567</v>
      </c>
      <c r="D94" s="6">
        <f>SUM(D95:D96)</f>
        <v>9396</v>
      </c>
    </row>
    <row r="95" spans="1:4" ht="25.5">
      <c r="A95" s="4" t="s">
        <v>492</v>
      </c>
      <c r="B95" s="657">
        <v>1950</v>
      </c>
      <c r="C95" s="657">
        <v>1950</v>
      </c>
      <c r="D95" s="646">
        <v>1950</v>
      </c>
    </row>
    <row r="96" spans="1:4" ht="12.75">
      <c r="A96" s="4" t="s">
        <v>950</v>
      </c>
      <c r="B96" s="657"/>
      <c r="C96" s="657">
        <v>3617</v>
      </c>
      <c r="D96" s="646">
        <v>7446</v>
      </c>
    </row>
    <row r="97" spans="1:4" ht="12.75">
      <c r="A97" s="4"/>
      <c r="B97" s="657"/>
      <c r="C97" s="658"/>
      <c r="D97" s="646"/>
    </row>
    <row r="98" spans="1:4" ht="12.75">
      <c r="A98" s="11" t="s">
        <v>463</v>
      </c>
      <c r="B98" s="659">
        <f>SUM(B99:B101)</f>
        <v>1000</v>
      </c>
      <c r="C98" s="659">
        <f>SUM(C99:C101)</f>
        <v>1000</v>
      </c>
      <c r="D98" s="6">
        <f>SUM(D99:D101)</f>
        <v>1000</v>
      </c>
    </row>
    <row r="99" spans="1:4" ht="12.75">
      <c r="A99" s="4" t="s">
        <v>496</v>
      </c>
      <c r="B99" s="657">
        <v>800</v>
      </c>
      <c r="C99" s="658">
        <v>800</v>
      </c>
      <c r="D99" s="646">
        <v>800</v>
      </c>
    </row>
    <row r="100" spans="1:4" ht="12.75">
      <c r="A100" s="4" t="s">
        <v>497</v>
      </c>
      <c r="B100" s="657">
        <v>200</v>
      </c>
      <c r="C100" s="658">
        <v>200</v>
      </c>
      <c r="D100" s="646">
        <v>200</v>
      </c>
    </row>
    <row r="101" spans="1:4" ht="12.75">
      <c r="A101" s="4"/>
      <c r="B101" s="657"/>
      <c r="C101" s="658"/>
      <c r="D101" s="646"/>
    </row>
    <row r="102" spans="1:5" s="25" customFormat="1" ht="12.75">
      <c r="A102" s="22" t="s">
        <v>145</v>
      </c>
      <c r="B102" s="663">
        <f>SUM(B103)</f>
        <v>10410</v>
      </c>
      <c r="C102" s="663">
        <f>SUM(C103)</f>
        <v>10676</v>
      </c>
      <c r="D102" s="23">
        <f>SUM(D103)</f>
        <v>10943</v>
      </c>
      <c r="E102" s="24"/>
    </row>
    <row r="103" spans="1:4" ht="12.75">
      <c r="A103" s="11" t="s">
        <v>469</v>
      </c>
      <c r="B103" s="659">
        <f>SUM(B104:B105)</f>
        <v>10410</v>
      </c>
      <c r="C103" s="659">
        <f>SUM(C104:C105)</f>
        <v>10676</v>
      </c>
      <c r="D103" s="6">
        <f>SUM(D104:D105)</f>
        <v>10943</v>
      </c>
    </row>
    <row r="104" spans="1:4" ht="12.75">
      <c r="A104" s="4" t="s">
        <v>32</v>
      </c>
      <c r="B104" s="657">
        <f>6424+2826+1160</f>
        <v>10410</v>
      </c>
      <c r="C104" s="657">
        <v>10410</v>
      </c>
      <c r="D104" s="646">
        <v>10410</v>
      </c>
    </row>
    <row r="105" spans="1:4" ht="12.75">
      <c r="A105" s="4" t="s">
        <v>950</v>
      </c>
      <c r="B105" s="657"/>
      <c r="C105" s="657">
        <v>266</v>
      </c>
      <c r="D105" s="646">
        <v>533</v>
      </c>
    </row>
    <row r="106" spans="1:4" ht="12.75">
      <c r="A106" s="4"/>
      <c r="B106" s="657"/>
      <c r="C106" s="658"/>
      <c r="D106" s="646"/>
    </row>
    <row r="107" spans="1:4" ht="12.75">
      <c r="A107" s="22" t="s">
        <v>143</v>
      </c>
      <c r="B107" s="663">
        <f>SUM(B108)</f>
        <v>6990</v>
      </c>
      <c r="C107" s="663">
        <f>SUM(C108)</f>
        <v>7256</v>
      </c>
      <c r="D107" s="23">
        <f>SUM(D108)</f>
        <v>7522</v>
      </c>
    </row>
    <row r="108" spans="1:4" ht="12.75">
      <c r="A108" s="11" t="s">
        <v>469</v>
      </c>
      <c r="B108" s="659">
        <f>SUM(B109:B110)</f>
        <v>6990</v>
      </c>
      <c r="C108" s="659">
        <f>SUM(C109:C110)</f>
        <v>7256</v>
      </c>
      <c r="D108" s="6">
        <f>SUM(D109:D110)</f>
        <v>7522</v>
      </c>
    </row>
    <row r="109" spans="1:4" ht="12.75">
      <c r="A109" s="4" t="s">
        <v>80</v>
      </c>
      <c r="B109" s="657">
        <f>4419+446+2125</f>
        <v>6990</v>
      </c>
      <c r="C109" s="658">
        <v>6990</v>
      </c>
      <c r="D109" s="646">
        <v>6990</v>
      </c>
    </row>
    <row r="110" spans="1:4" ht="12.75">
      <c r="A110" s="4" t="s">
        <v>950</v>
      </c>
      <c r="B110" s="657"/>
      <c r="C110" s="658">
        <v>266</v>
      </c>
      <c r="D110" s="646">
        <v>532</v>
      </c>
    </row>
    <row r="111" spans="1:4" ht="12.75">
      <c r="A111" s="4"/>
      <c r="B111" s="657"/>
      <c r="C111" s="658"/>
      <c r="D111" s="646"/>
    </row>
    <row r="112" spans="1:5" s="25" customFormat="1" ht="12.75">
      <c r="A112" s="22" t="s">
        <v>147</v>
      </c>
      <c r="B112" s="663">
        <f>SUM(B113)</f>
        <v>1680</v>
      </c>
      <c r="C112" s="663">
        <f>SUM(C113)</f>
        <v>1864</v>
      </c>
      <c r="D112" s="23">
        <f>SUM(D113)</f>
        <v>2048</v>
      </c>
      <c r="E112" s="24"/>
    </row>
    <row r="113" spans="1:5" s="10" customFormat="1" ht="12.75">
      <c r="A113" s="11" t="s">
        <v>469</v>
      </c>
      <c r="B113" s="659">
        <f>SUM(B114:B115)</f>
        <v>1680</v>
      </c>
      <c r="C113" s="659">
        <f>SUM(C114:C115)</f>
        <v>1864</v>
      </c>
      <c r="D113" s="6">
        <f>SUM(D114:D115)</f>
        <v>2048</v>
      </c>
      <c r="E113" s="12"/>
    </row>
    <row r="114" spans="1:4" ht="12.75">
      <c r="A114" s="4" t="s">
        <v>81</v>
      </c>
      <c r="B114" s="657">
        <v>1680</v>
      </c>
      <c r="C114" s="658">
        <v>1680</v>
      </c>
      <c r="D114" s="646">
        <v>1680</v>
      </c>
    </row>
    <row r="115" spans="1:4" ht="12.75">
      <c r="A115" s="4" t="s">
        <v>950</v>
      </c>
      <c r="B115" s="657"/>
      <c r="C115" s="658">
        <v>184</v>
      </c>
      <c r="D115" s="646">
        <v>368</v>
      </c>
    </row>
    <row r="116" spans="1:4" ht="12.75">
      <c r="A116" s="4"/>
      <c r="B116" s="657"/>
      <c r="C116" s="658"/>
      <c r="D116" s="646"/>
    </row>
    <row r="117" spans="1:5" s="21" customFormat="1" ht="13.5">
      <c r="A117" s="18" t="s">
        <v>471</v>
      </c>
      <c r="B117" s="664">
        <f>SUM(B94,B103,B108,B113)</f>
        <v>21030</v>
      </c>
      <c r="C117" s="664">
        <f>SUM(C94,C103,C108,C113)</f>
        <v>25363</v>
      </c>
      <c r="D117" s="19">
        <f>SUM(D94,D103,D108,D113)</f>
        <v>29909</v>
      </c>
      <c r="E117" s="20"/>
    </row>
    <row r="118" spans="1:4" ht="12.75">
      <c r="A118" s="4"/>
      <c r="B118" s="657"/>
      <c r="C118" s="658"/>
      <c r="D118" s="646"/>
    </row>
    <row r="119" spans="1:5" s="21" customFormat="1" ht="13.5">
      <c r="A119" s="18" t="s">
        <v>472</v>
      </c>
      <c r="B119" s="664">
        <f>SUM(B98)</f>
        <v>1000</v>
      </c>
      <c r="C119" s="664">
        <f>SUM(C98)</f>
        <v>1000</v>
      </c>
      <c r="D119" s="19">
        <f>SUM(D98)</f>
        <v>1000</v>
      </c>
      <c r="E119" s="20"/>
    </row>
    <row r="120" spans="1:4" ht="12.75">
      <c r="A120" s="4"/>
      <c r="B120" s="659"/>
      <c r="C120" s="658"/>
      <c r="D120" s="646"/>
    </row>
    <row r="121" spans="1:4" ht="33.75" customHeight="1" thickBot="1">
      <c r="A121" s="65" t="s">
        <v>488</v>
      </c>
      <c r="B121" s="660">
        <f>SUM(B117,B119)</f>
        <v>22030</v>
      </c>
      <c r="C121" s="660">
        <f>SUM(C117,C119)</f>
        <v>26363</v>
      </c>
      <c r="D121" s="66">
        <f>SUM(D117,D119)</f>
        <v>30909</v>
      </c>
    </row>
  </sheetData>
  <sheetProtection/>
  <mergeCells count="2">
    <mergeCell ref="A2:D2"/>
    <mergeCell ref="A3:D3"/>
  </mergeCells>
  <printOptions horizontalCentered="1"/>
  <pageMargins left="0.4724409448818898" right="0.2362204724409449" top="0.9078125" bottom="0.7480314960629921" header="0.5118110236220472" footer="0.5118110236220472"/>
  <pageSetup horizontalDpi="600" verticalDpi="600" orientation="portrait" paperSize="9" scale="74" r:id="rId1"/>
  <headerFooter alignWithMargins="0">
    <oddHeader>&amp;L12. melléklet a 18/2014.(IX.1.) önkormányzati rendelethez
"12. melléklet az 1/2014.(I.31.) önkormányzati rendelethez"</oddHeader>
  </headerFooter>
  <rowBreaks count="1" manualBreakCount="1">
    <brk id="66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46"/>
  <sheetViews>
    <sheetView view="pageLayout" zoomScaleSheetLayoutView="112" workbookViewId="0" topLeftCell="A1">
      <selection activeCell="A9" sqref="A9"/>
    </sheetView>
  </sheetViews>
  <sheetFormatPr defaultColWidth="9.00390625" defaultRowHeight="12.75"/>
  <cols>
    <col min="1" max="1" width="46.875" style="46" customWidth="1"/>
    <col min="2" max="3" width="16.75390625" style="46" customWidth="1"/>
    <col min="4" max="4" width="17.00390625" style="46" customWidth="1"/>
    <col min="5" max="16384" width="9.125" style="46" customWidth="1"/>
  </cols>
  <sheetData>
    <row r="1" spans="1:4" ht="15" customHeight="1">
      <c r="A1" s="1088" t="s">
        <v>3</v>
      </c>
      <c r="B1" s="1088"/>
      <c r="C1" s="942"/>
      <c r="D1" s="942"/>
    </row>
    <row r="2" spans="1:2" ht="14.25" customHeight="1" thickBot="1">
      <c r="A2" s="47"/>
      <c r="B2" s="48"/>
    </row>
    <row r="3" spans="1:4" ht="22.5" customHeight="1">
      <c r="A3" s="1086" t="s">
        <v>6</v>
      </c>
      <c r="B3" s="320" t="s">
        <v>7</v>
      </c>
      <c r="C3" s="331" t="s">
        <v>7</v>
      </c>
      <c r="D3" s="329" t="s">
        <v>7</v>
      </c>
    </row>
    <row r="4" spans="1:4" ht="15" customHeight="1" thickBot="1">
      <c r="A4" s="1087"/>
      <c r="B4" s="321" t="s">
        <v>163</v>
      </c>
      <c r="C4" s="676" t="s">
        <v>765</v>
      </c>
      <c r="D4" s="335" t="s">
        <v>944</v>
      </c>
    </row>
    <row r="5" spans="1:4" ht="15" customHeight="1">
      <c r="A5" s="49" t="s">
        <v>9</v>
      </c>
      <c r="B5" s="376">
        <v>22</v>
      </c>
      <c r="C5" s="677">
        <v>22</v>
      </c>
      <c r="D5" s="677">
        <v>22</v>
      </c>
    </row>
    <row r="6" spans="1:4" ht="15" customHeight="1">
      <c r="A6" s="49" t="s">
        <v>10</v>
      </c>
      <c r="B6" s="376">
        <v>7</v>
      </c>
      <c r="C6" s="678">
        <v>7</v>
      </c>
      <c r="D6" s="678">
        <v>7</v>
      </c>
    </row>
    <row r="7" spans="1:4" ht="15" customHeight="1">
      <c r="A7" s="49" t="s">
        <v>11</v>
      </c>
      <c r="B7" s="376">
        <v>18.75</v>
      </c>
      <c r="C7" s="678">
        <v>18.75</v>
      </c>
      <c r="D7" s="678">
        <v>18.75</v>
      </c>
    </row>
    <row r="8" spans="1:4" ht="15" customHeight="1">
      <c r="A8" s="49" t="s">
        <v>12</v>
      </c>
      <c r="B8" s="376">
        <v>23</v>
      </c>
      <c r="C8" s="678">
        <v>23</v>
      </c>
      <c r="D8" s="678">
        <v>23</v>
      </c>
    </row>
    <row r="9" spans="1:4" ht="15" customHeight="1">
      <c r="A9" s="49" t="s">
        <v>13</v>
      </c>
      <c r="B9" s="376">
        <v>16.5</v>
      </c>
      <c r="C9" s="678">
        <v>16.5</v>
      </c>
      <c r="D9" s="678">
        <v>16.5</v>
      </c>
    </row>
    <row r="10" spans="1:4" ht="15" customHeight="1">
      <c r="A10" s="49" t="s">
        <v>14</v>
      </c>
      <c r="B10" s="376">
        <v>15</v>
      </c>
      <c r="C10" s="678">
        <v>15</v>
      </c>
      <c r="D10" s="678">
        <v>16</v>
      </c>
    </row>
    <row r="11" spans="1:4" ht="15" customHeight="1">
      <c r="A11" s="49" t="s">
        <v>15</v>
      </c>
      <c r="B11" s="376">
        <v>2.5</v>
      </c>
      <c r="C11" s="678">
        <v>3.5</v>
      </c>
      <c r="D11" s="678">
        <v>3.5</v>
      </c>
    </row>
    <row r="12" spans="1:4" ht="15" customHeight="1">
      <c r="A12" s="49" t="s">
        <v>16</v>
      </c>
      <c r="B12" s="376">
        <v>32</v>
      </c>
      <c r="C12" s="678">
        <v>32</v>
      </c>
      <c r="D12" s="678">
        <v>34</v>
      </c>
    </row>
    <row r="13" spans="1:4" ht="15.75" customHeight="1">
      <c r="A13" s="49" t="s">
        <v>17</v>
      </c>
      <c r="B13" s="376">
        <v>9.5</v>
      </c>
      <c r="C13" s="678">
        <v>9.5</v>
      </c>
      <c r="D13" s="678">
        <v>9.5</v>
      </c>
    </row>
    <row r="14" spans="1:4" ht="15" customHeight="1">
      <c r="A14" s="50" t="s">
        <v>25</v>
      </c>
      <c r="B14" s="377">
        <v>20</v>
      </c>
      <c r="C14" s="678">
        <v>20.5</v>
      </c>
      <c r="D14" s="678">
        <v>20.5</v>
      </c>
    </row>
    <row r="15" spans="1:4" ht="15" customHeight="1">
      <c r="A15" s="49" t="s">
        <v>18</v>
      </c>
      <c r="B15" s="376">
        <v>8</v>
      </c>
      <c r="C15" s="678">
        <v>8</v>
      </c>
      <c r="D15" s="678">
        <v>8</v>
      </c>
    </row>
    <row r="16" spans="1:4" ht="15" customHeight="1">
      <c r="A16" s="68" t="s">
        <v>578</v>
      </c>
      <c r="B16" s="378">
        <f>SUM(B5:B15)</f>
        <v>174.25</v>
      </c>
      <c r="C16" s="679">
        <f>SUM(C5:C15)</f>
        <v>175.75</v>
      </c>
      <c r="D16" s="669">
        <f>SUM(D5:D15)</f>
        <v>178.75</v>
      </c>
    </row>
    <row r="17" spans="1:4" ht="15" customHeight="1">
      <c r="A17" s="69" t="s">
        <v>19</v>
      </c>
      <c r="B17" s="379">
        <v>37</v>
      </c>
      <c r="C17" s="680">
        <v>37</v>
      </c>
      <c r="D17" s="670">
        <v>37</v>
      </c>
    </row>
    <row r="18" spans="1:4" ht="15" customHeight="1">
      <c r="A18" s="51" t="s">
        <v>20</v>
      </c>
      <c r="B18" s="380">
        <f>SUM(B16:B17)</f>
        <v>211.25</v>
      </c>
      <c r="C18" s="681">
        <f>SUM(C16:C17)</f>
        <v>212.75</v>
      </c>
      <c r="D18" s="671">
        <f>SUM(D16:D17)</f>
        <v>215.75</v>
      </c>
    </row>
    <row r="19" spans="1:4" ht="15" customHeight="1">
      <c r="A19" s="49"/>
      <c r="B19" s="322"/>
      <c r="C19" s="682"/>
      <c r="D19" s="672"/>
    </row>
    <row r="20" spans="1:4" ht="15" customHeight="1">
      <c r="A20" s="52" t="s">
        <v>170</v>
      </c>
      <c r="B20" s="322"/>
      <c r="C20" s="682"/>
      <c r="D20" s="672"/>
    </row>
    <row r="21" spans="1:4" ht="15" customHeight="1">
      <c r="A21" s="53" t="s">
        <v>21</v>
      </c>
      <c r="B21" s="324">
        <v>72</v>
      </c>
      <c r="C21" s="683">
        <v>72</v>
      </c>
      <c r="D21" s="673">
        <v>76</v>
      </c>
    </row>
    <row r="22" spans="1:4" ht="15" customHeight="1">
      <c r="A22" s="161" t="s">
        <v>428</v>
      </c>
      <c r="B22" s="323">
        <v>5</v>
      </c>
      <c r="C22" s="683">
        <v>5</v>
      </c>
      <c r="D22" s="673">
        <v>5</v>
      </c>
    </row>
    <row r="23" spans="1:4" ht="15" customHeight="1">
      <c r="A23" s="53" t="s">
        <v>427</v>
      </c>
      <c r="B23" s="323">
        <v>3</v>
      </c>
      <c r="C23" s="683">
        <v>3</v>
      </c>
      <c r="D23" s="673">
        <v>3</v>
      </c>
    </row>
    <row r="24" spans="1:4" ht="15" customHeight="1">
      <c r="A24" s="53" t="s">
        <v>22</v>
      </c>
      <c r="B24" s="323">
        <v>6</v>
      </c>
      <c r="C24" s="683">
        <v>6</v>
      </c>
      <c r="D24" s="673">
        <v>6</v>
      </c>
    </row>
    <row r="25" spans="1:4" ht="15" customHeight="1">
      <c r="A25" s="52" t="s">
        <v>429</v>
      </c>
      <c r="B25" s="325">
        <f>SUM(B21:B24)</f>
        <v>86</v>
      </c>
      <c r="C25" s="684">
        <f>SUM(C21:C24)</f>
        <v>86</v>
      </c>
      <c r="D25" s="674">
        <f>SUM(D21:D24)</f>
        <v>90</v>
      </c>
    </row>
    <row r="26" spans="1:4" ht="15" customHeight="1">
      <c r="A26" s="52"/>
      <c r="B26" s="326"/>
      <c r="C26" s="683"/>
      <c r="D26" s="673"/>
    </row>
    <row r="27" spans="1:4" ht="15" customHeight="1">
      <c r="A27" s="52" t="s">
        <v>430</v>
      </c>
      <c r="B27" s="327">
        <v>3</v>
      </c>
      <c r="C27" s="683">
        <v>3</v>
      </c>
      <c r="D27" s="673">
        <v>3</v>
      </c>
    </row>
    <row r="28" spans="1:4" ht="15" customHeight="1" thickBot="1">
      <c r="A28" s="54"/>
      <c r="B28" s="326"/>
      <c r="C28" s="682"/>
      <c r="D28" s="672"/>
    </row>
    <row r="29" spans="1:4" ht="15" customHeight="1" thickBot="1">
      <c r="A29" s="55" t="s">
        <v>525</v>
      </c>
      <c r="B29" s="328">
        <f>SUM(B18+B25+B27)</f>
        <v>300.25</v>
      </c>
      <c r="C29" s="685">
        <f>SUM(C18+C25+C27)</f>
        <v>301.75</v>
      </c>
      <c r="D29" s="675">
        <f>SUM(D18+D25+D27)</f>
        <v>308.75</v>
      </c>
    </row>
    <row r="30" spans="1:2" ht="18.75">
      <c r="A30" s="56"/>
      <c r="B30" s="57"/>
    </row>
    <row r="31" ht="15.75">
      <c r="A31" s="58"/>
    </row>
    <row r="32" spans="1:4" ht="12.75">
      <c r="A32" s="1089" t="s">
        <v>23</v>
      </c>
      <c r="B32" s="1089"/>
      <c r="C32" s="942"/>
      <c r="D32" s="942"/>
    </row>
    <row r="33" ht="13.5" thickBot="1"/>
    <row r="34" spans="1:4" ht="25.5">
      <c r="A34" s="1084" t="s">
        <v>122</v>
      </c>
      <c r="B34" s="331" t="s">
        <v>7</v>
      </c>
      <c r="C34" s="331" t="s">
        <v>7</v>
      </c>
      <c r="D34" s="329" t="s">
        <v>7</v>
      </c>
    </row>
    <row r="35" spans="1:4" ht="13.5" thickBot="1">
      <c r="A35" s="1085"/>
      <c r="B35" s="332" t="s">
        <v>163</v>
      </c>
      <c r="C35" s="687" t="s">
        <v>765</v>
      </c>
      <c r="D35" s="330" t="s">
        <v>944</v>
      </c>
    </row>
    <row r="36" spans="1:4" ht="13.5" thickBot="1">
      <c r="A36" s="90" t="s">
        <v>24</v>
      </c>
      <c r="B36" s="333">
        <v>78</v>
      </c>
      <c r="C36" s="688">
        <v>78</v>
      </c>
      <c r="D36" s="472">
        <v>78</v>
      </c>
    </row>
    <row r="37" spans="1:4" s="62" customFormat="1" ht="13.5" thickBot="1">
      <c r="A37" s="61" t="s">
        <v>221</v>
      </c>
      <c r="B37" s="334">
        <f>SUM(B36:B36)</f>
        <v>78</v>
      </c>
      <c r="C37" s="334">
        <f>SUM(C36:C36)</f>
        <v>78</v>
      </c>
      <c r="D37" s="450">
        <f>SUM(D36:D36)</f>
        <v>78</v>
      </c>
    </row>
    <row r="40" spans="1:4" ht="15.75" customHeight="1">
      <c r="A40" s="1078" t="s">
        <v>761</v>
      </c>
      <c r="B40" s="1078"/>
      <c r="C40" s="942"/>
      <c r="D40" s="942"/>
    </row>
    <row r="41" ht="13.5" thickBot="1"/>
    <row r="42" spans="1:4" ht="25.5">
      <c r="A42" s="1084" t="s">
        <v>122</v>
      </c>
      <c r="B42" s="331" t="s">
        <v>7</v>
      </c>
      <c r="C42" s="331" t="s">
        <v>7</v>
      </c>
      <c r="D42" s="329" t="s">
        <v>7</v>
      </c>
    </row>
    <row r="43" spans="1:4" ht="13.5" thickBot="1">
      <c r="A43" s="1085"/>
      <c r="B43" s="332" t="s">
        <v>163</v>
      </c>
      <c r="C43" s="676" t="s">
        <v>765</v>
      </c>
      <c r="D43" s="335" t="s">
        <v>944</v>
      </c>
    </row>
    <row r="44" spans="1:4" ht="12.75">
      <c r="A44" s="59" t="s">
        <v>574</v>
      </c>
      <c r="B44" s="333">
        <v>30</v>
      </c>
      <c r="C44" s="333">
        <v>30</v>
      </c>
      <c r="D44" s="473">
        <v>30</v>
      </c>
    </row>
    <row r="45" spans="1:4" ht="13.5" thickBot="1">
      <c r="A45" s="60" t="s">
        <v>762</v>
      </c>
      <c r="B45" s="336">
        <v>2</v>
      </c>
      <c r="C45" s="686">
        <v>2</v>
      </c>
      <c r="D45" s="474">
        <v>2</v>
      </c>
    </row>
    <row r="46" spans="1:4" ht="13.5" thickBot="1">
      <c r="A46" s="61" t="s">
        <v>221</v>
      </c>
      <c r="B46" s="334">
        <f>SUM(B44:B45)</f>
        <v>32</v>
      </c>
      <c r="C46" s="334">
        <f>SUM(C44:C45)</f>
        <v>32</v>
      </c>
      <c r="D46" s="450">
        <f>SUM(D44:D45)</f>
        <v>32</v>
      </c>
    </row>
  </sheetData>
  <sheetProtection/>
  <mergeCells count="6">
    <mergeCell ref="A42:A43"/>
    <mergeCell ref="A3:A4"/>
    <mergeCell ref="A34:A35"/>
    <mergeCell ref="A1:D1"/>
    <mergeCell ref="A32:D32"/>
    <mergeCell ref="A40:D4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&amp;L 13. melléklet a 18/2014.(IX.1.) önkormányzati rendelethez
"13. melléklet az 1/2014.(I.31.) önkormányzati rendelethez"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74"/>
  <sheetViews>
    <sheetView view="pageLayout" zoomScaleSheetLayoutView="100" workbookViewId="0" topLeftCell="B1">
      <selection activeCell="A3" sqref="A3:N3"/>
    </sheetView>
  </sheetViews>
  <sheetFormatPr defaultColWidth="11.625" defaultRowHeight="14.25" customHeight="1"/>
  <cols>
    <col min="1" max="1" width="5.125" style="43" customWidth="1"/>
    <col min="2" max="2" width="10.375" style="43" customWidth="1"/>
    <col min="3" max="3" width="16.625" style="43" customWidth="1"/>
    <col min="4" max="4" width="10.75390625" style="43" customWidth="1"/>
    <col min="5" max="5" width="12.375" style="43" customWidth="1"/>
    <col min="6" max="6" width="14.00390625" style="43" customWidth="1"/>
    <col min="7" max="7" width="12.25390625" style="43" customWidth="1"/>
    <col min="8" max="8" width="12.875" style="43" customWidth="1"/>
    <col min="9" max="9" width="14.625" style="43" customWidth="1"/>
    <col min="10" max="10" width="11.125" style="43" customWidth="1"/>
    <col min="11" max="11" width="12.375" style="43" customWidth="1"/>
    <col min="12" max="12" width="12.625" style="43" customWidth="1"/>
    <col min="13" max="13" width="12.00390625" style="451" customWidth="1"/>
  </cols>
  <sheetData>
    <row r="1" spans="1:13" ht="14.25" customHeight="1">
      <c r="A1" s="1114" t="s">
        <v>533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  <c r="M1" s="1114"/>
    </row>
    <row r="2" spans="1:12" ht="14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4" ht="14.25" customHeight="1">
      <c r="A3" s="1096" t="s">
        <v>534</v>
      </c>
      <c r="B3" s="1096"/>
      <c r="C3" s="1096"/>
      <c r="D3" s="1096"/>
      <c r="E3" s="1096"/>
      <c r="F3" s="1096"/>
      <c r="G3" s="1096"/>
      <c r="H3" s="1096"/>
      <c r="I3" s="1096"/>
      <c r="J3" s="1096"/>
      <c r="K3" s="1096"/>
      <c r="L3" s="1096"/>
      <c r="M3" s="1096"/>
      <c r="N3" s="942"/>
    </row>
    <row r="4" spans="1:14" ht="14.25" customHeight="1">
      <c r="A4" s="1096" t="s">
        <v>535</v>
      </c>
      <c r="B4" s="1096"/>
      <c r="C4" s="1096"/>
      <c r="D4" s="1096"/>
      <c r="E4" s="1096"/>
      <c r="F4" s="1096"/>
      <c r="G4" s="1096"/>
      <c r="H4" s="1096"/>
      <c r="I4" s="1096"/>
      <c r="J4" s="1096"/>
      <c r="K4" s="1096"/>
      <c r="L4" s="1096"/>
      <c r="M4" s="1096"/>
      <c r="N4" s="942"/>
    </row>
    <row r="5" spans="1:12" ht="17.2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1:14" ht="14.25" customHeight="1">
      <c r="A6" s="1092" t="s">
        <v>122</v>
      </c>
      <c r="B6" s="1093"/>
      <c r="C6" s="1100" t="s">
        <v>164</v>
      </c>
      <c r="D6" s="1101"/>
      <c r="E6" s="1101"/>
      <c r="F6" s="1101"/>
      <c r="G6" s="1101"/>
      <c r="H6" s="1101"/>
      <c r="I6" s="1101"/>
      <c r="J6" s="1102"/>
      <c r="K6" s="1103"/>
      <c r="L6" s="1093" t="s">
        <v>782</v>
      </c>
      <c r="M6" s="1115" t="s">
        <v>783</v>
      </c>
      <c r="N6" s="1097" t="s">
        <v>944</v>
      </c>
    </row>
    <row r="7" spans="1:14" ht="14.25" customHeight="1">
      <c r="A7" s="1094"/>
      <c r="B7" s="1090"/>
      <c r="C7" s="1090" t="s">
        <v>784</v>
      </c>
      <c r="D7" s="1090" t="s">
        <v>785</v>
      </c>
      <c r="E7" s="1107" t="s">
        <v>944</v>
      </c>
      <c r="F7" s="1104" t="s">
        <v>549</v>
      </c>
      <c r="G7" s="1105"/>
      <c r="H7" s="1105"/>
      <c r="I7" s="1105"/>
      <c r="J7" s="1105"/>
      <c r="K7" s="1106"/>
      <c r="L7" s="1090"/>
      <c r="M7" s="1116"/>
      <c r="N7" s="1098"/>
    </row>
    <row r="8" spans="1:14" ht="14.25" customHeight="1">
      <c r="A8" s="1094"/>
      <c r="B8" s="1090"/>
      <c r="C8" s="1090"/>
      <c r="D8" s="1090"/>
      <c r="E8" s="1108"/>
      <c r="F8" s="1090" t="s">
        <v>786</v>
      </c>
      <c r="G8" s="1090" t="s">
        <v>787</v>
      </c>
      <c r="H8" s="1107" t="s">
        <v>944</v>
      </c>
      <c r="I8" s="1090" t="s">
        <v>788</v>
      </c>
      <c r="J8" s="1090" t="s">
        <v>789</v>
      </c>
      <c r="K8" s="1107" t="s">
        <v>944</v>
      </c>
      <c r="L8" s="1090"/>
      <c r="M8" s="1116"/>
      <c r="N8" s="1098"/>
    </row>
    <row r="9" spans="1:14" ht="14.25" customHeight="1">
      <c r="A9" s="1094"/>
      <c r="B9" s="1090"/>
      <c r="C9" s="1090"/>
      <c r="D9" s="1090"/>
      <c r="E9" s="1108"/>
      <c r="F9" s="1090"/>
      <c r="G9" s="1090"/>
      <c r="H9" s="1108"/>
      <c r="I9" s="1090"/>
      <c r="J9" s="1090"/>
      <c r="K9" s="1108"/>
      <c r="L9" s="1090"/>
      <c r="M9" s="1116"/>
      <c r="N9" s="1098"/>
    </row>
    <row r="10" spans="1:14" ht="47.25" customHeight="1" thickBot="1">
      <c r="A10" s="1095"/>
      <c r="B10" s="1091"/>
      <c r="C10" s="1091"/>
      <c r="D10" s="1091"/>
      <c r="E10" s="1109"/>
      <c r="F10" s="1091"/>
      <c r="G10" s="1091"/>
      <c r="H10" s="1109"/>
      <c r="I10" s="1091"/>
      <c r="J10" s="1091"/>
      <c r="K10" s="1109"/>
      <c r="L10" s="1091"/>
      <c r="M10" s="1117"/>
      <c r="N10" s="1099"/>
    </row>
    <row r="11" spans="1:14" ht="14.25" customHeight="1">
      <c r="A11" s="1112" t="s">
        <v>550</v>
      </c>
      <c r="B11" s="1113"/>
      <c r="C11" s="31">
        <v>2536077</v>
      </c>
      <c r="D11" s="31">
        <v>0</v>
      </c>
      <c r="E11" s="31"/>
      <c r="F11" s="31">
        <v>44961</v>
      </c>
      <c r="G11" s="31">
        <v>44961</v>
      </c>
      <c r="H11" s="31">
        <v>44961</v>
      </c>
      <c r="I11" s="31">
        <v>250000</v>
      </c>
      <c r="J11" s="31">
        <f aca="true" t="shared" si="0" ref="J11:J19">I11</f>
        <v>250000</v>
      </c>
      <c r="K11" s="689">
        <v>250000</v>
      </c>
      <c r="L11" s="783">
        <f>SUM(C11+F11+I11)</f>
        <v>2831038</v>
      </c>
      <c r="M11" s="690">
        <f aca="true" t="shared" si="1" ref="M11:M19">D11+G11+J11</f>
        <v>294961</v>
      </c>
      <c r="N11" s="787">
        <f>SUM(E11+H11+K11)</f>
        <v>294961</v>
      </c>
    </row>
    <row r="12" spans="1:14" ht="14.25" customHeight="1">
      <c r="A12" s="32"/>
      <c r="B12" s="33" t="s">
        <v>551</v>
      </c>
      <c r="C12" s="34">
        <v>63402</v>
      </c>
      <c r="D12" s="34">
        <v>0</v>
      </c>
      <c r="E12" s="34"/>
      <c r="F12" s="34">
        <v>16756</v>
      </c>
      <c r="G12" s="34">
        <v>44961</v>
      </c>
      <c r="H12" s="34">
        <v>44961</v>
      </c>
      <c r="I12" s="34">
        <v>96150</v>
      </c>
      <c r="J12" s="34">
        <f t="shared" si="0"/>
        <v>96150</v>
      </c>
      <c r="K12" s="34">
        <v>48894</v>
      </c>
      <c r="L12" s="782">
        <f>SUM(C12+F12+I12)</f>
        <v>176308</v>
      </c>
      <c r="M12" s="35">
        <f t="shared" si="1"/>
        <v>141111</v>
      </c>
      <c r="N12" s="788">
        <f>SUM(E12+H12+K12)</f>
        <v>93855</v>
      </c>
    </row>
    <row r="13" spans="1:14" ht="14.25" customHeight="1" thickBot="1">
      <c r="A13" s="36"/>
      <c r="B13" s="37" t="s">
        <v>552</v>
      </c>
      <c r="C13" s="38">
        <f>C11*0.01</f>
        <v>25360.77</v>
      </c>
      <c r="D13" s="38">
        <v>0</v>
      </c>
      <c r="E13" s="38"/>
      <c r="F13" s="38">
        <v>55</v>
      </c>
      <c r="G13" s="38">
        <v>10</v>
      </c>
      <c r="H13" s="38">
        <v>10</v>
      </c>
      <c r="I13" s="38">
        <v>19500</v>
      </c>
      <c r="J13" s="38">
        <f t="shared" si="0"/>
        <v>19500</v>
      </c>
      <c r="K13" s="38">
        <v>19500</v>
      </c>
      <c r="L13" s="692">
        <f>SUM(C13+F13+I13)</f>
        <v>44915.770000000004</v>
      </c>
      <c r="M13" s="39">
        <f t="shared" si="1"/>
        <v>19510</v>
      </c>
      <c r="N13" s="789">
        <f>SUM(E13+H13+K13)</f>
        <v>19510</v>
      </c>
    </row>
    <row r="14" spans="1:14" ht="14.25" customHeight="1">
      <c r="A14" s="1110" t="s">
        <v>553</v>
      </c>
      <c r="B14" s="1111"/>
      <c r="C14" s="40">
        <f>C11-C12</f>
        <v>2472675</v>
      </c>
      <c r="D14" s="40">
        <v>0</v>
      </c>
      <c r="E14" s="40"/>
      <c r="F14" s="40">
        <f>F11-F12</f>
        <v>28205</v>
      </c>
      <c r="G14" s="40">
        <v>0</v>
      </c>
      <c r="H14" s="40"/>
      <c r="I14" s="40">
        <f>I11-I12</f>
        <v>153850</v>
      </c>
      <c r="J14" s="40">
        <f t="shared" si="0"/>
        <v>153850</v>
      </c>
      <c r="K14" s="693">
        <v>201106</v>
      </c>
      <c r="L14" s="694">
        <f aca="true" t="shared" si="2" ref="L14:L64">SUM(C14:I14)</f>
        <v>2654730</v>
      </c>
      <c r="M14" s="695">
        <f t="shared" si="1"/>
        <v>153850</v>
      </c>
      <c r="N14" s="790">
        <f aca="true" t="shared" si="3" ref="N14:N19">SUM(E14+H14+K14)</f>
        <v>201106</v>
      </c>
    </row>
    <row r="15" spans="1:14" ht="14.25" customHeight="1">
      <c r="A15" s="32"/>
      <c r="B15" s="33" t="s">
        <v>551</v>
      </c>
      <c r="C15" s="34">
        <v>68685</v>
      </c>
      <c r="D15" s="34">
        <v>0</v>
      </c>
      <c r="E15" s="34"/>
      <c r="F15" s="34">
        <v>16756</v>
      </c>
      <c r="G15" s="34">
        <v>0</v>
      </c>
      <c r="H15" s="34"/>
      <c r="I15" s="34">
        <v>76920</v>
      </c>
      <c r="J15" s="34">
        <f t="shared" si="0"/>
        <v>76920</v>
      </c>
      <c r="K15" s="34">
        <v>111108</v>
      </c>
      <c r="L15" s="691">
        <f t="shared" si="2"/>
        <v>162361</v>
      </c>
      <c r="M15" s="697">
        <f t="shared" si="1"/>
        <v>76920</v>
      </c>
      <c r="N15" s="788">
        <f t="shared" si="3"/>
        <v>111108</v>
      </c>
    </row>
    <row r="16" spans="1:14" ht="14.25" customHeight="1" thickBot="1">
      <c r="A16" s="41"/>
      <c r="B16" s="37" t="s">
        <v>552</v>
      </c>
      <c r="C16" s="38">
        <f>C14*0.01</f>
        <v>24726.75</v>
      </c>
      <c r="D16" s="38">
        <v>0</v>
      </c>
      <c r="E16" s="38"/>
      <c r="F16" s="38">
        <v>35</v>
      </c>
      <c r="G16" s="38">
        <v>0</v>
      </c>
      <c r="H16" s="38"/>
      <c r="I16" s="38">
        <v>12000</v>
      </c>
      <c r="J16" s="38">
        <f t="shared" si="0"/>
        <v>12000</v>
      </c>
      <c r="K16" s="38">
        <v>15686</v>
      </c>
      <c r="L16" s="692">
        <f t="shared" si="2"/>
        <v>36761.75</v>
      </c>
      <c r="M16" s="39">
        <f t="shared" si="1"/>
        <v>12000</v>
      </c>
      <c r="N16" s="791">
        <f t="shared" si="3"/>
        <v>15686</v>
      </c>
    </row>
    <row r="17" spans="1:14" ht="14.25" customHeight="1">
      <c r="A17" s="1110" t="s">
        <v>554</v>
      </c>
      <c r="B17" s="1111"/>
      <c r="C17" s="40">
        <f>C14-C15</f>
        <v>2403990</v>
      </c>
      <c r="D17" s="40">
        <v>0</v>
      </c>
      <c r="E17" s="40"/>
      <c r="F17" s="40">
        <f>F14-F15</f>
        <v>11449</v>
      </c>
      <c r="G17" s="40">
        <v>0</v>
      </c>
      <c r="H17" s="40"/>
      <c r="I17" s="40">
        <f>I14-I15</f>
        <v>76930</v>
      </c>
      <c r="J17" s="40">
        <f t="shared" si="0"/>
        <v>76930</v>
      </c>
      <c r="K17" s="693">
        <v>89998</v>
      </c>
      <c r="L17" s="694">
        <f t="shared" si="2"/>
        <v>2492369</v>
      </c>
      <c r="M17" s="695">
        <f t="shared" si="1"/>
        <v>76930</v>
      </c>
      <c r="N17" s="790">
        <f t="shared" si="3"/>
        <v>89998</v>
      </c>
    </row>
    <row r="18" spans="1:14" ht="14.25" customHeight="1">
      <c r="A18" s="42"/>
      <c r="B18" s="33" t="s">
        <v>551</v>
      </c>
      <c r="C18" s="34">
        <v>79252</v>
      </c>
      <c r="D18" s="34">
        <v>0</v>
      </c>
      <c r="E18" s="34"/>
      <c r="F18" s="34">
        <v>11449</v>
      </c>
      <c r="G18" s="34">
        <v>0</v>
      </c>
      <c r="H18" s="34"/>
      <c r="I18" s="34">
        <v>76930</v>
      </c>
      <c r="J18" s="34">
        <f t="shared" si="0"/>
        <v>76930</v>
      </c>
      <c r="K18" s="34">
        <v>89998</v>
      </c>
      <c r="L18" s="691">
        <f t="shared" si="2"/>
        <v>167631</v>
      </c>
      <c r="M18" s="697">
        <f t="shared" si="1"/>
        <v>76930</v>
      </c>
      <c r="N18" s="788">
        <f t="shared" si="3"/>
        <v>89998</v>
      </c>
    </row>
    <row r="19" spans="1:14" ht="14.25" customHeight="1" thickBot="1">
      <c r="A19" s="41"/>
      <c r="B19" s="37" t="s">
        <v>552</v>
      </c>
      <c r="C19" s="38">
        <f>C17*0.01</f>
        <v>24039.9</v>
      </c>
      <c r="D19" s="38">
        <v>0</v>
      </c>
      <c r="E19" s="38"/>
      <c r="F19" s="38">
        <v>14</v>
      </c>
      <c r="G19" s="38">
        <v>0</v>
      </c>
      <c r="H19" s="38"/>
      <c r="I19" s="38">
        <v>6000</v>
      </c>
      <c r="J19" s="38">
        <f t="shared" si="0"/>
        <v>6000</v>
      </c>
      <c r="K19" s="38">
        <v>7020</v>
      </c>
      <c r="L19" s="692">
        <f t="shared" si="2"/>
        <v>30053.9</v>
      </c>
      <c r="M19" s="39">
        <f t="shared" si="1"/>
        <v>6000</v>
      </c>
      <c r="N19" s="791">
        <f t="shared" si="3"/>
        <v>7020</v>
      </c>
    </row>
    <row r="20" spans="1:14" ht="14.25" customHeight="1">
      <c r="A20" s="1110" t="s">
        <v>555</v>
      </c>
      <c r="B20" s="1111"/>
      <c r="C20" s="40">
        <f>C17-C18</f>
        <v>2324738</v>
      </c>
      <c r="D20" s="40">
        <v>0</v>
      </c>
      <c r="E20" s="40"/>
      <c r="F20" s="40"/>
      <c r="G20" s="40"/>
      <c r="H20" s="40"/>
      <c r="I20" s="40"/>
      <c r="J20" s="40"/>
      <c r="K20" s="693"/>
      <c r="L20" s="694">
        <f t="shared" si="2"/>
        <v>2324738</v>
      </c>
      <c r="M20" s="695">
        <f>D20+G20+I20</f>
        <v>0</v>
      </c>
      <c r="N20" s="786"/>
    </row>
    <row r="21" spans="1:14" ht="14.25" customHeight="1">
      <c r="A21" s="42"/>
      <c r="B21" s="33" t="s">
        <v>551</v>
      </c>
      <c r="C21" s="34">
        <v>89819</v>
      </c>
      <c r="D21" s="34">
        <v>0</v>
      </c>
      <c r="E21" s="34"/>
      <c r="F21" s="34"/>
      <c r="G21" s="34"/>
      <c r="H21" s="34"/>
      <c r="I21" s="34"/>
      <c r="J21" s="34"/>
      <c r="K21" s="34"/>
      <c r="L21" s="691">
        <f t="shared" si="2"/>
        <v>89819</v>
      </c>
      <c r="M21" s="697">
        <f>D21+G21+I21</f>
        <v>0</v>
      </c>
      <c r="N21" s="784"/>
    </row>
    <row r="22" spans="1:14" ht="14.25" customHeight="1" thickBot="1">
      <c r="A22" s="41"/>
      <c r="B22" s="37" t="s">
        <v>552</v>
      </c>
      <c r="C22" s="38">
        <f>C20*0.01</f>
        <v>23247.38</v>
      </c>
      <c r="D22" s="38">
        <v>0</v>
      </c>
      <c r="E22" s="38"/>
      <c r="F22" s="38"/>
      <c r="G22" s="38"/>
      <c r="H22" s="38"/>
      <c r="I22" s="38"/>
      <c r="J22" s="38"/>
      <c r="K22" s="38"/>
      <c r="L22" s="692">
        <f t="shared" si="2"/>
        <v>23247.38</v>
      </c>
      <c r="M22" s="39">
        <f>SUM(D22:J22)</f>
        <v>0</v>
      </c>
      <c r="N22" s="785"/>
    </row>
    <row r="23" spans="1:14" ht="14.25" customHeight="1">
      <c r="A23" s="1110" t="s">
        <v>556</v>
      </c>
      <c r="B23" s="1111"/>
      <c r="C23" s="40">
        <f>C20-C21</f>
        <v>2234919</v>
      </c>
      <c r="D23" s="40">
        <v>0</v>
      </c>
      <c r="E23" s="40"/>
      <c r="F23" s="40"/>
      <c r="G23" s="40"/>
      <c r="H23" s="40"/>
      <c r="I23" s="40"/>
      <c r="J23" s="40"/>
      <c r="K23" s="693"/>
      <c r="L23" s="694">
        <f t="shared" si="2"/>
        <v>2234919</v>
      </c>
      <c r="M23" s="695">
        <f>D23+G23+I23</f>
        <v>0</v>
      </c>
      <c r="N23" s="786"/>
    </row>
    <row r="24" spans="1:14" ht="14.25" customHeight="1">
      <c r="A24" s="42"/>
      <c r="B24" s="33" t="s">
        <v>551</v>
      </c>
      <c r="C24" s="34">
        <v>95103</v>
      </c>
      <c r="D24" s="34">
        <v>0</v>
      </c>
      <c r="E24" s="34"/>
      <c r="F24" s="34"/>
      <c r="G24" s="34"/>
      <c r="H24" s="34"/>
      <c r="I24" s="34"/>
      <c r="J24" s="34"/>
      <c r="K24" s="34"/>
      <c r="L24" s="691">
        <f t="shared" si="2"/>
        <v>95103</v>
      </c>
      <c r="M24" s="697">
        <f>D24+G24+I24</f>
        <v>0</v>
      </c>
      <c r="N24" s="784"/>
    </row>
    <row r="25" spans="1:14" ht="14.25" customHeight="1" thickBot="1">
      <c r="A25" s="41"/>
      <c r="B25" s="37" t="s">
        <v>552</v>
      </c>
      <c r="C25" s="38">
        <f>C23*0.01</f>
        <v>22349.19</v>
      </c>
      <c r="D25" s="38">
        <v>0</v>
      </c>
      <c r="E25" s="38"/>
      <c r="F25" s="38"/>
      <c r="G25" s="38"/>
      <c r="H25" s="38"/>
      <c r="I25" s="38"/>
      <c r="J25" s="38"/>
      <c r="K25" s="38"/>
      <c r="L25" s="692">
        <f t="shared" si="2"/>
        <v>22349.19</v>
      </c>
      <c r="M25" s="39">
        <f>SUM(D25:J25)</f>
        <v>0</v>
      </c>
      <c r="N25" s="785"/>
    </row>
    <row r="26" spans="1:14" ht="14.25" customHeight="1">
      <c r="A26" s="1110" t="s">
        <v>557</v>
      </c>
      <c r="B26" s="1111"/>
      <c r="C26" s="40">
        <f>C23-C24</f>
        <v>2139816</v>
      </c>
      <c r="D26" s="40">
        <v>0</v>
      </c>
      <c r="E26" s="40"/>
      <c r="F26" s="40"/>
      <c r="G26" s="40"/>
      <c r="H26" s="40"/>
      <c r="I26" s="40"/>
      <c r="J26" s="40"/>
      <c r="K26" s="693"/>
      <c r="L26" s="694">
        <f t="shared" si="2"/>
        <v>2139816</v>
      </c>
      <c r="M26" s="695">
        <f>D26+G26+I26</f>
        <v>0</v>
      </c>
      <c r="N26" s="786"/>
    </row>
    <row r="27" spans="1:14" ht="14.25" customHeight="1">
      <c r="A27" s="42"/>
      <c r="B27" s="33" t="s">
        <v>551</v>
      </c>
      <c r="C27" s="34">
        <v>100386</v>
      </c>
      <c r="D27" s="34">
        <v>0</v>
      </c>
      <c r="E27" s="34"/>
      <c r="F27" s="34"/>
      <c r="G27" s="34"/>
      <c r="H27" s="34"/>
      <c r="I27" s="34"/>
      <c r="J27" s="34"/>
      <c r="K27" s="34"/>
      <c r="L27" s="691">
        <f t="shared" si="2"/>
        <v>100386</v>
      </c>
      <c r="M27" s="697">
        <f>D27+G27+I27</f>
        <v>0</v>
      </c>
      <c r="N27" s="784"/>
    </row>
    <row r="28" spans="1:14" ht="14.25" customHeight="1" thickBot="1">
      <c r="A28" s="41"/>
      <c r="B28" s="37" t="s">
        <v>552</v>
      </c>
      <c r="C28" s="38">
        <f>C26*0.01</f>
        <v>21398.16</v>
      </c>
      <c r="D28" s="38">
        <v>0</v>
      </c>
      <c r="E28" s="38"/>
      <c r="F28" s="38"/>
      <c r="G28" s="38"/>
      <c r="H28" s="38"/>
      <c r="I28" s="38"/>
      <c r="J28" s="38"/>
      <c r="K28" s="38"/>
      <c r="L28" s="692">
        <f t="shared" si="2"/>
        <v>21398.16</v>
      </c>
      <c r="M28" s="39">
        <f>SUM(D28:J28)</f>
        <v>0</v>
      </c>
      <c r="N28" s="785"/>
    </row>
    <row r="29" spans="1:14" ht="14.25" customHeight="1">
      <c r="A29" s="1110" t="s">
        <v>558</v>
      </c>
      <c r="B29" s="1111"/>
      <c r="C29" s="40">
        <f>C26-C27</f>
        <v>2039430</v>
      </c>
      <c r="D29" s="40">
        <v>0</v>
      </c>
      <c r="E29" s="40"/>
      <c r="F29" s="40"/>
      <c r="G29" s="40"/>
      <c r="H29" s="40"/>
      <c r="I29" s="40"/>
      <c r="J29" s="40"/>
      <c r="K29" s="693"/>
      <c r="L29" s="694">
        <f t="shared" si="2"/>
        <v>2039430</v>
      </c>
      <c r="M29" s="695">
        <f>D29+G29+I29</f>
        <v>0</v>
      </c>
      <c r="N29" s="786"/>
    </row>
    <row r="30" spans="1:14" ht="14.25" customHeight="1">
      <c r="A30" s="42"/>
      <c r="B30" s="33" t="s">
        <v>551</v>
      </c>
      <c r="C30" s="34">
        <v>105670</v>
      </c>
      <c r="D30" s="34">
        <v>0</v>
      </c>
      <c r="E30" s="34"/>
      <c r="F30" s="34"/>
      <c r="G30" s="34"/>
      <c r="H30" s="34"/>
      <c r="I30" s="34"/>
      <c r="J30" s="34"/>
      <c r="K30" s="34"/>
      <c r="L30" s="691">
        <f t="shared" si="2"/>
        <v>105670</v>
      </c>
      <c r="M30" s="697">
        <f>D30+G30+I30</f>
        <v>0</v>
      </c>
      <c r="N30" s="784"/>
    </row>
    <row r="31" spans="1:14" ht="14.25" customHeight="1" thickBot="1">
      <c r="A31" s="41"/>
      <c r="B31" s="37" t="s">
        <v>552</v>
      </c>
      <c r="C31" s="38">
        <f>C29*0.01</f>
        <v>20394.3</v>
      </c>
      <c r="D31" s="38">
        <v>0</v>
      </c>
      <c r="E31" s="38"/>
      <c r="F31" s="38"/>
      <c r="G31" s="38"/>
      <c r="H31" s="38"/>
      <c r="I31" s="38"/>
      <c r="J31" s="38"/>
      <c r="K31" s="38"/>
      <c r="L31" s="692">
        <f t="shared" si="2"/>
        <v>20394.3</v>
      </c>
      <c r="M31" s="39">
        <f>SUM(D31:J31)</f>
        <v>0</v>
      </c>
      <c r="N31" s="785"/>
    </row>
    <row r="32" spans="1:14" ht="14.25" customHeight="1">
      <c r="A32" s="1110" t="s">
        <v>559</v>
      </c>
      <c r="B32" s="1111"/>
      <c r="C32" s="40">
        <f>C29-C30</f>
        <v>1933760</v>
      </c>
      <c r="D32" s="40">
        <v>0</v>
      </c>
      <c r="E32" s="40"/>
      <c r="F32" s="40"/>
      <c r="G32" s="40"/>
      <c r="H32" s="40"/>
      <c r="I32" s="40"/>
      <c r="J32" s="40"/>
      <c r="K32" s="693"/>
      <c r="L32" s="694">
        <f t="shared" si="2"/>
        <v>1933760</v>
      </c>
      <c r="M32" s="695">
        <f>D32+G32+I32</f>
        <v>0</v>
      </c>
      <c r="N32" s="786"/>
    </row>
    <row r="33" spans="1:14" ht="14.25" customHeight="1">
      <c r="A33" s="42"/>
      <c r="B33" s="33" t="s">
        <v>551</v>
      </c>
      <c r="C33" s="34">
        <v>116237</v>
      </c>
      <c r="D33" s="34">
        <v>0</v>
      </c>
      <c r="E33" s="34"/>
      <c r="F33" s="34"/>
      <c r="G33" s="34"/>
      <c r="H33" s="34"/>
      <c r="I33" s="34"/>
      <c r="J33" s="34"/>
      <c r="K33" s="34"/>
      <c r="L33" s="691">
        <f t="shared" si="2"/>
        <v>116237</v>
      </c>
      <c r="M33" s="697">
        <f>D33+G33+I33</f>
        <v>0</v>
      </c>
      <c r="N33" s="784"/>
    </row>
    <row r="34" spans="1:14" ht="14.25" customHeight="1" thickBot="1">
      <c r="A34" s="41"/>
      <c r="B34" s="37" t="s">
        <v>552</v>
      </c>
      <c r="C34" s="38">
        <f>C32*0.01</f>
        <v>19337.600000000002</v>
      </c>
      <c r="D34" s="38">
        <v>0</v>
      </c>
      <c r="E34" s="38"/>
      <c r="F34" s="38"/>
      <c r="G34" s="38"/>
      <c r="H34" s="38"/>
      <c r="I34" s="38"/>
      <c r="J34" s="38"/>
      <c r="K34" s="38"/>
      <c r="L34" s="692">
        <f t="shared" si="2"/>
        <v>19337.600000000002</v>
      </c>
      <c r="M34" s="39">
        <f>SUM(D34:J34)</f>
        <v>0</v>
      </c>
      <c r="N34" s="785"/>
    </row>
    <row r="35" spans="1:14" ht="14.25" customHeight="1">
      <c r="A35" s="1110" t="s">
        <v>560</v>
      </c>
      <c r="B35" s="1111"/>
      <c r="C35" s="40">
        <f>C32-C33</f>
        <v>1817523</v>
      </c>
      <c r="D35" s="40">
        <v>0</v>
      </c>
      <c r="E35" s="40"/>
      <c r="F35" s="40"/>
      <c r="G35" s="40"/>
      <c r="H35" s="40"/>
      <c r="I35" s="40"/>
      <c r="J35" s="40"/>
      <c r="K35" s="693"/>
      <c r="L35" s="694">
        <f t="shared" si="2"/>
        <v>1817523</v>
      </c>
      <c r="M35" s="695">
        <f>D35+G35+I35</f>
        <v>0</v>
      </c>
      <c r="N35" s="786"/>
    </row>
    <row r="36" spans="1:14" ht="14.25" customHeight="1">
      <c r="A36" s="42"/>
      <c r="B36" s="33" t="s">
        <v>551</v>
      </c>
      <c r="C36" s="34">
        <v>121520</v>
      </c>
      <c r="D36" s="34">
        <v>0</v>
      </c>
      <c r="E36" s="34"/>
      <c r="F36" s="34"/>
      <c r="G36" s="34"/>
      <c r="H36" s="34"/>
      <c r="I36" s="34"/>
      <c r="J36" s="34"/>
      <c r="K36" s="34"/>
      <c r="L36" s="691">
        <f t="shared" si="2"/>
        <v>121520</v>
      </c>
      <c r="M36" s="697">
        <f>D36+G36+I36</f>
        <v>0</v>
      </c>
      <c r="N36" s="784"/>
    </row>
    <row r="37" spans="1:14" ht="14.25" customHeight="1" thickBot="1">
      <c r="A37" s="41"/>
      <c r="B37" s="37" t="s">
        <v>552</v>
      </c>
      <c r="C37" s="38">
        <f>C35*0.01</f>
        <v>18175.23</v>
      </c>
      <c r="D37" s="38">
        <v>0</v>
      </c>
      <c r="E37" s="38"/>
      <c r="F37" s="38"/>
      <c r="G37" s="38"/>
      <c r="H37" s="38"/>
      <c r="I37" s="38"/>
      <c r="J37" s="38"/>
      <c r="K37" s="38"/>
      <c r="L37" s="692">
        <f t="shared" si="2"/>
        <v>18175.23</v>
      </c>
      <c r="M37" s="39">
        <f>SUM(D37:J37)</f>
        <v>0</v>
      </c>
      <c r="N37" s="785"/>
    </row>
    <row r="38" spans="1:14" ht="14.25" customHeight="1">
      <c r="A38" s="1110" t="s">
        <v>561</v>
      </c>
      <c r="B38" s="1111"/>
      <c r="C38" s="40">
        <f>C35-C36</f>
        <v>1696003</v>
      </c>
      <c r="D38" s="40">
        <v>0</v>
      </c>
      <c r="E38" s="40"/>
      <c r="F38" s="40"/>
      <c r="G38" s="40"/>
      <c r="H38" s="40"/>
      <c r="I38" s="40"/>
      <c r="J38" s="40"/>
      <c r="K38" s="693"/>
      <c r="L38" s="694">
        <f t="shared" si="2"/>
        <v>1696003</v>
      </c>
      <c r="M38" s="695">
        <f>D38+G38+I38</f>
        <v>0</v>
      </c>
      <c r="N38" s="786"/>
    </row>
    <row r="39" spans="1:14" ht="14.25" customHeight="1">
      <c r="A39" s="42"/>
      <c r="B39" s="33" t="s">
        <v>551</v>
      </c>
      <c r="C39" s="34">
        <v>126804</v>
      </c>
      <c r="D39" s="34">
        <v>0</v>
      </c>
      <c r="E39" s="34"/>
      <c r="F39" s="34"/>
      <c r="G39" s="34"/>
      <c r="H39" s="34"/>
      <c r="I39" s="34"/>
      <c r="J39" s="34"/>
      <c r="K39" s="34"/>
      <c r="L39" s="691">
        <f t="shared" si="2"/>
        <v>126804</v>
      </c>
      <c r="M39" s="697">
        <f>D39+G39+I39</f>
        <v>0</v>
      </c>
      <c r="N39" s="784"/>
    </row>
    <row r="40" spans="1:14" ht="14.25" customHeight="1" thickBot="1">
      <c r="A40" s="41"/>
      <c r="B40" s="37" t="s">
        <v>552</v>
      </c>
      <c r="C40" s="38">
        <f>C38*0.01</f>
        <v>16960.03</v>
      </c>
      <c r="D40" s="38">
        <v>0</v>
      </c>
      <c r="E40" s="38"/>
      <c r="F40" s="38"/>
      <c r="G40" s="38"/>
      <c r="H40" s="38"/>
      <c r="I40" s="38"/>
      <c r="J40" s="38"/>
      <c r="K40" s="38"/>
      <c r="L40" s="692">
        <f t="shared" si="2"/>
        <v>16960.03</v>
      </c>
      <c r="M40" s="39">
        <f>SUM(D40:J40)</f>
        <v>0</v>
      </c>
      <c r="N40" s="785"/>
    </row>
    <row r="41" spans="1:14" ht="14.25" customHeight="1">
      <c r="A41" s="1110" t="s">
        <v>562</v>
      </c>
      <c r="B41" s="1111"/>
      <c r="C41" s="40">
        <f>C38-C39</f>
        <v>1569199</v>
      </c>
      <c r="D41" s="40">
        <v>0</v>
      </c>
      <c r="E41" s="40"/>
      <c r="F41" s="40"/>
      <c r="G41" s="40"/>
      <c r="H41" s="40"/>
      <c r="I41" s="40"/>
      <c r="J41" s="40"/>
      <c r="K41" s="693"/>
      <c r="L41" s="694">
        <f t="shared" si="2"/>
        <v>1569199</v>
      </c>
      <c r="M41" s="695">
        <f>D41+G41+I41</f>
        <v>0</v>
      </c>
      <c r="N41" s="786"/>
    </row>
    <row r="42" spans="1:14" ht="14.25" customHeight="1">
      <c r="A42" s="42"/>
      <c r="B42" s="33" t="s">
        <v>551</v>
      </c>
      <c r="C42" s="34">
        <v>132087</v>
      </c>
      <c r="D42" s="34">
        <v>0</v>
      </c>
      <c r="E42" s="34"/>
      <c r="F42" s="34"/>
      <c r="G42" s="34"/>
      <c r="H42" s="34"/>
      <c r="I42" s="34"/>
      <c r="J42" s="34"/>
      <c r="K42" s="34"/>
      <c r="L42" s="691">
        <f t="shared" si="2"/>
        <v>132087</v>
      </c>
      <c r="M42" s="697">
        <f>D42+G42+I42</f>
        <v>0</v>
      </c>
      <c r="N42" s="784"/>
    </row>
    <row r="43" spans="1:14" ht="14.25" customHeight="1" thickBot="1">
      <c r="A43" s="41"/>
      <c r="B43" s="37" t="s">
        <v>552</v>
      </c>
      <c r="C43" s="38">
        <f>C41*0.01</f>
        <v>15691.99</v>
      </c>
      <c r="D43" s="38">
        <v>0</v>
      </c>
      <c r="E43" s="38"/>
      <c r="F43" s="38"/>
      <c r="G43" s="38"/>
      <c r="H43" s="38"/>
      <c r="I43" s="38"/>
      <c r="J43" s="38"/>
      <c r="K43" s="38"/>
      <c r="L43" s="692">
        <f t="shared" si="2"/>
        <v>15691.99</v>
      </c>
      <c r="M43" s="39">
        <f>SUM(D43:J43)</f>
        <v>0</v>
      </c>
      <c r="N43" s="785"/>
    </row>
    <row r="44" spans="1:14" ht="14.25" customHeight="1">
      <c r="A44" s="1110" t="s">
        <v>563</v>
      </c>
      <c r="B44" s="1111"/>
      <c r="C44" s="40">
        <f>C41-C42</f>
        <v>1437112</v>
      </c>
      <c r="D44" s="40">
        <v>0</v>
      </c>
      <c r="E44" s="40"/>
      <c r="F44" s="40"/>
      <c r="G44" s="40"/>
      <c r="H44" s="40"/>
      <c r="I44" s="40"/>
      <c r="J44" s="40"/>
      <c r="K44" s="693"/>
      <c r="L44" s="694">
        <f t="shared" si="2"/>
        <v>1437112</v>
      </c>
      <c r="M44" s="695">
        <f>D44+G44+I44</f>
        <v>0</v>
      </c>
      <c r="N44" s="786"/>
    </row>
    <row r="45" spans="1:14" ht="14.25" customHeight="1">
      <c r="A45" s="42"/>
      <c r="B45" s="33" t="s">
        <v>551</v>
      </c>
      <c r="C45" s="34">
        <v>163788</v>
      </c>
      <c r="D45" s="34">
        <v>0</v>
      </c>
      <c r="E45" s="34"/>
      <c r="F45" s="34"/>
      <c r="G45" s="34"/>
      <c r="H45" s="34"/>
      <c r="I45" s="34"/>
      <c r="J45" s="34"/>
      <c r="K45" s="34"/>
      <c r="L45" s="691">
        <f t="shared" si="2"/>
        <v>163788</v>
      </c>
      <c r="M45" s="697">
        <f>D45+G45+I45</f>
        <v>0</v>
      </c>
      <c r="N45" s="784"/>
    </row>
    <row r="46" spans="1:14" ht="14.25" customHeight="1" thickBot="1">
      <c r="A46" s="41"/>
      <c r="B46" s="37" t="s">
        <v>552</v>
      </c>
      <c r="C46" s="38">
        <f>C44*0.01</f>
        <v>14371.12</v>
      </c>
      <c r="D46" s="38">
        <v>0</v>
      </c>
      <c r="E46" s="38"/>
      <c r="F46" s="38"/>
      <c r="G46" s="38"/>
      <c r="H46" s="38"/>
      <c r="I46" s="38"/>
      <c r="J46" s="38"/>
      <c r="K46" s="38"/>
      <c r="L46" s="692">
        <f t="shared" si="2"/>
        <v>14371.12</v>
      </c>
      <c r="M46" s="39">
        <f>SUM(D46:J46)</f>
        <v>0</v>
      </c>
      <c r="N46" s="785"/>
    </row>
    <row r="47" spans="1:14" ht="14.25" customHeight="1">
      <c r="A47" s="1110" t="s">
        <v>564</v>
      </c>
      <c r="B47" s="1111"/>
      <c r="C47" s="40">
        <f>C44-C45</f>
        <v>1273324</v>
      </c>
      <c r="D47" s="40">
        <v>0</v>
      </c>
      <c r="E47" s="40"/>
      <c r="F47" s="40"/>
      <c r="G47" s="40"/>
      <c r="H47" s="40"/>
      <c r="I47" s="40"/>
      <c r="J47" s="40"/>
      <c r="K47" s="693"/>
      <c r="L47" s="694">
        <f t="shared" si="2"/>
        <v>1273324</v>
      </c>
      <c r="M47" s="695">
        <f>D47+G47+I47</f>
        <v>0</v>
      </c>
      <c r="N47" s="786"/>
    </row>
    <row r="48" spans="1:14" ht="14.25" customHeight="1">
      <c r="A48" s="42"/>
      <c r="B48" s="33" t="s">
        <v>551</v>
      </c>
      <c r="C48" s="34">
        <v>174355</v>
      </c>
      <c r="D48" s="34">
        <v>0</v>
      </c>
      <c r="E48" s="34"/>
      <c r="F48" s="34"/>
      <c r="G48" s="34"/>
      <c r="H48" s="34"/>
      <c r="I48" s="34"/>
      <c r="J48" s="34"/>
      <c r="K48" s="34"/>
      <c r="L48" s="691">
        <f t="shared" si="2"/>
        <v>174355</v>
      </c>
      <c r="M48" s="697">
        <f>D48+G48+I48</f>
        <v>0</v>
      </c>
      <c r="N48" s="784"/>
    </row>
    <row r="49" spans="1:14" ht="14.25" customHeight="1" thickBot="1">
      <c r="A49" s="41"/>
      <c r="B49" s="37" t="s">
        <v>552</v>
      </c>
      <c r="C49" s="38">
        <f>C47*0.01</f>
        <v>12733.24</v>
      </c>
      <c r="D49" s="38">
        <v>0</v>
      </c>
      <c r="E49" s="38"/>
      <c r="F49" s="38"/>
      <c r="G49" s="38"/>
      <c r="H49" s="38"/>
      <c r="I49" s="38"/>
      <c r="J49" s="38"/>
      <c r="K49" s="38"/>
      <c r="L49" s="692">
        <f t="shared" si="2"/>
        <v>12733.24</v>
      </c>
      <c r="M49" s="39">
        <f>SUM(D49:J49)</f>
        <v>0</v>
      </c>
      <c r="N49" s="785"/>
    </row>
    <row r="50" spans="1:14" ht="14.25" customHeight="1">
      <c r="A50" s="1110" t="s">
        <v>565</v>
      </c>
      <c r="B50" s="1111"/>
      <c r="C50" s="40">
        <f>C47-C48</f>
        <v>1098969</v>
      </c>
      <c r="D50" s="40">
        <v>0</v>
      </c>
      <c r="E50" s="40"/>
      <c r="F50" s="40"/>
      <c r="G50" s="40"/>
      <c r="H50" s="40"/>
      <c r="I50" s="40"/>
      <c r="J50" s="40"/>
      <c r="K50" s="693"/>
      <c r="L50" s="694">
        <f t="shared" si="2"/>
        <v>1098969</v>
      </c>
      <c r="M50" s="695">
        <f>D50+G50+I50</f>
        <v>0</v>
      </c>
      <c r="N50" s="786"/>
    </row>
    <row r="51" spans="1:14" ht="14.25" customHeight="1">
      <c r="A51" s="42"/>
      <c r="B51" s="33" t="s">
        <v>551</v>
      </c>
      <c r="C51" s="34">
        <v>184922</v>
      </c>
      <c r="D51" s="34">
        <v>0</v>
      </c>
      <c r="E51" s="34"/>
      <c r="F51" s="34"/>
      <c r="G51" s="34"/>
      <c r="H51" s="34"/>
      <c r="I51" s="34"/>
      <c r="J51" s="34"/>
      <c r="K51" s="34"/>
      <c r="L51" s="691">
        <f t="shared" si="2"/>
        <v>184922</v>
      </c>
      <c r="M51" s="697">
        <f>D51+G51+I51</f>
        <v>0</v>
      </c>
      <c r="N51" s="784"/>
    </row>
    <row r="52" spans="1:14" ht="14.25" customHeight="1" thickBot="1">
      <c r="A52" s="36"/>
      <c r="B52" s="37" t="s">
        <v>552</v>
      </c>
      <c r="C52" s="38">
        <f>C50*0.01</f>
        <v>10989.69</v>
      </c>
      <c r="D52" s="38">
        <v>0</v>
      </c>
      <c r="E52" s="38"/>
      <c r="F52" s="37"/>
      <c r="G52" s="37"/>
      <c r="H52" s="37"/>
      <c r="I52" s="37"/>
      <c r="J52" s="37"/>
      <c r="K52" s="37"/>
      <c r="L52" s="692">
        <f t="shared" si="2"/>
        <v>10989.69</v>
      </c>
      <c r="M52" s="39">
        <f>SUM(D52:J52)</f>
        <v>0</v>
      </c>
      <c r="N52" s="785"/>
    </row>
    <row r="53" spans="1:14" ht="14.25" customHeight="1">
      <c r="A53" s="1110" t="s">
        <v>566</v>
      </c>
      <c r="B53" s="1111"/>
      <c r="C53" s="40">
        <f>C50-C51</f>
        <v>914047</v>
      </c>
      <c r="D53" s="40">
        <v>0</v>
      </c>
      <c r="E53" s="40"/>
      <c r="F53" s="40"/>
      <c r="G53" s="40"/>
      <c r="H53" s="40"/>
      <c r="I53" s="40"/>
      <c r="J53" s="40"/>
      <c r="K53" s="693"/>
      <c r="L53" s="694">
        <f t="shared" si="2"/>
        <v>914047</v>
      </c>
      <c r="M53" s="695">
        <f>D53+G53+I53</f>
        <v>0</v>
      </c>
      <c r="N53" s="786"/>
    </row>
    <row r="54" spans="1:14" ht="14.25" customHeight="1">
      <c r="A54" s="42"/>
      <c r="B54" s="33" t="s">
        <v>551</v>
      </c>
      <c r="C54" s="34">
        <v>195489</v>
      </c>
      <c r="D54" s="34">
        <v>0</v>
      </c>
      <c r="E54" s="34"/>
      <c r="F54" s="34"/>
      <c r="G54" s="34"/>
      <c r="H54" s="34"/>
      <c r="I54" s="34"/>
      <c r="J54" s="34"/>
      <c r="K54" s="34"/>
      <c r="L54" s="691">
        <f t="shared" si="2"/>
        <v>195489</v>
      </c>
      <c r="M54" s="697">
        <f>D54+G54+I54</f>
        <v>0</v>
      </c>
      <c r="N54" s="784"/>
    </row>
    <row r="55" spans="1:14" ht="14.25" customHeight="1" thickBot="1">
      <c r="A55" s="36"/>
      <c r="B55" s="37" t="s">
        <v>552</v>
      </c>
      <c r="C55" s="38">
        <f>C53*0.01</f>
        <v>9140.47</v>
      </c>
      <c r="D55" s="38">
        <v>0</v>
      </c>
      <c r="E55" s="38"/>
      <c r="F55" s="37"/>
      <c r="G55" s="37"/>
      <c r="H55" s="37"/>
      <c r="I55" s="37"/>
      <c r="J55" s="37"/>
      <c r="K55" s="37"/>
      <c r="L55" s="692">
        <f t="shared" si="2"/>
        <v>9140.47</v>
      </c>
      <c r="M55" s="39">
        <f>SUM(D55:J55)</f>
        <v>0</v>
      </c>
      <c r="N55" s="785"/>
    </row>
    <row r="56" spans="1:14" ht="14.25" customHeight="1">
      <c r="A56" s="1110" t="s">
        <v>567</v>
      </c>
      <c r="B56" s="1111"/>
      <c r="C56" s="40">
        <f>C53-C54</f>
        <v>718558</v>
      </c>
      <c r="D56" s="40">
        <v>0</v>
      </c>
      <c r="E56" s="40"/>
      <c r="F56" s="40"/>
      <c r="G56" s="40"/>
      <c r="H56" s="40"/>
      <c r="I56" s="40"/>
      <c r="J56" s="40"/>
      <c r="K56" s="693"/>
      <c r="L56" s="694">
        <f t="shared" si="2"/>
        <v>718558</v>
      </c>
      <c r="M56" s="695">
        <f>D56+G56+I56</f>
        <v>0</v>
      </c>
      <c r="N56" s="786"/>
    </row>
    <row r="57" spans="1:14" ht="14.25" customHeight="1">
      <c r="A57" s="42"/>
      <c r="B57" s="33" t="s">
        <v>551</v>
      </c>
      <c r="C57" s="34">
        <v>221907</v>
      </c>
      <c r="D57" s="34">
        <v>0</v>
      </c>
      <c r="E57" s="34"/>
      <c r="F57" s="34"/>
      <c r="G57" s="34"/>
      <c r="H57" s="34"/>
      <c r="I57" s="34"/>
      <c r="J57" s="34"/>
      <c r="K57" s="34"/>
      <c r="L57" s="691">
        <f t="shared" si="2"/>
        <v>221907</v>
      </c>
      <c r="M57" s="697">
        <f>D57+G57+I57</f>
        <v>0</v>
      </c>
      <c r="N57" s="784"/>
    </row>
    <row r="58" spans="1:14" ht="14.25" customHeight="1" thickBot="1">
      <c r="A58" s="36"/>
      <c r="B58" s="37" t="s">
        <v>552</v>
      </c>
      <c r="C58" s="38">
        <f>C56*0.01</f>
        <v>7185.58</v>
      </c>
      <c r="D58" s="38">
        <v>0</v>
      </c>
      <c r="E58" s="38"/>
      <c r="F58" s="37"/>
      <c r="G58" s="37"/>
      <c r="H58" s="37"/>
      <c r="I58" s="37"/>
      <c r="J58" s="37"/>
      <c r="K58" s="37"/>
      <c r="L58" s="692">
        <f t="shared" si="2"/>
        <v>7185.58</v>
      </c>
      <c r="M58" s="39">
        <f>SUM(D58:J58)</f>
        <v>0</v>
      </c>
      <c r="N58" s="785"/>
    </row>
    <row r="59" spans="1:14" ht="14.25" customHeight="1">
      <c r="A59" s="1110" t="s">
        <v>568</v>
      </c>
      <c r="B59" s="1111"/>
      <c r="C59" s="40">
        <f>C56-C57</f>
        <v>496651</v>
      </c>
      <c r="D59" s="40">
        <v>0</v>
      </c>
      <c r="E59" s="40"/>
      <c r="F59" s="40"/>
      <c r="G59" s="40"/>
      <c r="H59" s="40"/>
      <c r="I59" s="40"/>
      <c r="J59" s="40"/>
      <c r="K59" s="693"/>
      <c r="L59" s="694">
        <f t="shared" si="2"/>
        <v>496651</v>
      </c>
      <c r="M59" s="695">
        <f>D59+G59+I59</f>
        <v>0</v>
      </c>
      <c r="N59" s="786"/>
    </row>
    <row r="60" spans="1:14" ht="14.25" customHeight="1">
      <c r="A60" s="42"/>
      <c r="B60" s="33" t="s">
        <v>551</v>
      </c>
      <c r="C60" s="34">
        <v>232474</v>
      </c>
      <c r="D60" s="34">
        <v>0</v>
      </c>
      <c r="E60" s="34"/>
      <c r="F60" s="34"/>
      <c r="G60" s="34"/>
      <c r="H60" s="34"/>
      <c r="I60" s="34"/>
      <c r="J60" s="34"/>
      <c r="K60" s="34"/>
      <c r="L60" s="691">
        <f t="shared" si="2"/>
        <v>232474</v>
      </c>
      <c r="M60" s="697">
        <f>D60+G60+I60</f>
        <v>0</v>
      </c>
      <c r="N60" s="784"/>
    </row>
    <row r="61" spans="1:14" ht="14.25" customHeight="1" thickBot="1">
      <c r="A61" s="36"/>
      <c r="B61" s="37" t="s">
        <v>552</v>
      </c>
      <c r="C61" s="38">
        <f>C59*0.01</f>
        <v>4966.51</v>
      </c>
      <c r="D61" s="38">
        <v>0</v>
      </c>
      <c r="E61" s="38"/>
      <c r="F61" s="37"/>
      <c r="G61" s="37"/>
      <c r="H61" s="37"/>
      <c r="I61" s="37"/>
      <c r="J61" s="37"/>
      <c r="K61" s="37"/>
      <c r="L61" s="692">
        <f t="shared" si="2"/>
        <v>4966.51</v>
      </c>
      <c r="M61" s="39">
        <f>SUM(D61:J61)</f>
        <v>0</v>
      </c>
      <c r="N61" s="785"/>
    </row>
    <row r="62" spans="1:14" ht="14.25" customHeight="1">
      <c r="A62" s="1110" t="s">
        <v>569</v>
      </c>
      <c r="B62" s="1111"/>
      <c r="C62" s="40">
        <f>C59-C60</f>
        <v>264177</v>
      </c>
      <c r="D62" s="40">
        <v>0</v>
      </c>
      <c r="E62" s="40"/>
      <c r="F62" s="40"/>
      <c r="G62" s="40"/>
      <c r="H62" s="40"/>
      <c r="I62" s="40"/>
      <c r="J62" s="40"/>
      <c r="K62" s="693"/>
      <c r="L62" s="694">
        <f t="shared" si="2"/>
        <v>264177</v>
      </c>
      <c r="M62" s="695">
        <f>D62+G62+I62</f>
        <v>0</v>
      </c>
      <c r="N62" s="786"/>
    </row>
    <row r="63" spans="1:14" ht="14.25" customHeight="1">
      <c r="A63" s="42"/>
      <c r="B63" s="33" t="s">
        <v>551</v>
      </c>
      <c r="C63" s="34">
        <v>264177</v>
      </c>
      <c r="D63" s="34">
        <v>0</v>
      </c>
      <c r="E63" s="34"/>
      <c r="F63" s="34"/>
      <c r="G63" s="34"/>
      <c r="H63" s="34"/>
      <c r="I63" s="34"/>
      <c r="J63" s="34"/>
      <c r="K63" s="34"/>
      <c r="L63" s="691">
        <f t="shared" si="2"/>
        <v>264177</v>
      </c>
      <c r="M63" s="697">
        <f>D63+G63+I63</f>
        <v>0</v>
      </c>
      <c r="N63" s="784"/>
    </row>
    <row r="64" spans="1:14" ht="14.25" customHeight="1" thickBot="1">
      <c r="A64" s="36"/>
      <c r="B64" s="37" t="s">
        <v>552</v>
      </c>
      <c r="C64" s="38">
        <f>C62*0.01</f>
        <v>2641.77</v>
      </c>
      <c r="D64" s="38">
        <v>0</v>
      </c>
      <c r="E64" s="38"/>
      <c r="F64" s="37"/>
      <c r="G64" s="37"/>
      <c r="H64" s="37"/>
      <c r="I64" s="37"/>
      <c r="J64" s="37"/>
      <c r="K64" s="37"/>
      <c r="L64" s="692">
        <f t="shared" si="2"/>
        <v>2641.77</v>
      </c>
      <c r="M64" s="696">
        <f>D64+G64+I64</f>
        <v>0</v>
      </c>
      <c r="N64" s="785"/>
    </row>
    <row r="65" ht="14.25" customHeight="1">
      <c r="M65" s="471"/>
    </row>
    <row r="67" spans="1:11" ht="14.25" customHeight="1">
      <c r="A67" s="452"/>
      <c r="B67"/>
      <c r="C67" s="1096" t="s">
        <v>790</v>
      </c>
      <c r="D67" s="1096"/>
      <c r="E67" s="1096"/>
      <c r="F67" s="1096"/>
      <c r="G67" s="1096"/>
      <c r="H67" s="1096"/>
      <c r="I67" s="1096"/>
      <c r="J67" s="381"/>
      <c r="K67" s="381"/>
    </row>
    <row r="68" ht="14.25" customHeight="1" thickBot="1"/>
    <row r="69" spans="1:11" ht="14.25" customHeight="1">
      <c r="A69"/>
      <c r="B69" s="44"/>
      <c r="C69" s="1124" t="s">
        <v>122</v>
      </c>
      <c r="D69" s="1118" t="s">
        <v>164</v>
      </c>
      <c r="E69" s="1119"/>
      <c r="F69" s="1119"/>
      <c r="G69" s="1119"/>
      <c r="H69" s="1119"/>
      <c r="I69" s="1120"/>
      <c r="J69" s="701"/>
      <c r="K69" s="381"/>
    </row>
    <row r="70" spans="1:11" ht="14.25" customHeight="1">
      <c r="A70" s="44"/>
      <c r="B70" s="44"/>
      <c r="C70" s="1125"/>
      <c r="D70" s="1121" t="s">
        <v>570</v>
      </c>
      <c r="E70" s="1122"/>
      <c r="F70" s="1122"/>
      <c r="G70" s="1122"/>
      <c r="H70" s="1122"/>
      <c r="I70" s="1123"/>
      <c r="J70" s="701"/>
      <c r="K70" s="381"/>
    </row>
    <row r="71" spans="1:13" s="459" customFormat="1" ht="37.5" customHeight="1">
      <c r="A71" s="453"/>
      <c r="B71" s="453"/>
      <c r="C71" s="1125"/>
      <c r="D71" s="454" t="s">
        <v>791</v>
      </c>
      <c r="E71" s="454" t="s">
        <v>792</v>
      </c>
      <c r="F71" s="454" t="s">
        <v>952</v>
      </c>
      <c r="G71" s="455" t="s">
        <v>793</v>
      </c>
      <c r="H71" s="698" t="s">
        <v>794</v>
      </c>
      <c r="I71" s="456" t="s">
        <v>951</v>
      </c>
      <c r="J71" s="702"/>
      <c r="K71"/>
      <c r="L71" s="457"/>
      <c r="M71" s="458"/>
    </row>
    <row r="72" spans="1:11" ht="14.25" customHeight="1">
      <c r="A72"/>
      <c r="B72"/>
      <c r="C72" s="460" t="s">
        <v>571</v>
      </c>
      <c r="D72" s="461"/>
      <c r="E72" s="33"/>
      <c r="F72" s="33"/>
      <c r="G72" s="462"/>
      <c r="H72" s="699"/>
      <c r="I72" s="463"/>
      <c r="J72" s="702"/>
      <c r="K72"/>
    </row>
    <row r="73" spans="1:11" ht="14.25" customHeight="1">
      <c r="A73"/>
      <c r="B73"/>
      <c r="C73" s="460" t="s">
        <v>572</v>
      </c>
      <c r="D73" s="464">
        <v>801</v>
      </c>
      <c r="E73" s="465">
        <v>801</v>
      </c>
      <c r="F73" s="465">
        <v>801</v>
      </c>
      <c r="G73" s="703">
        <f>SUM(D73)</f>
        <v>801</v>
      </c>
      <c r="H73" s="703">
        <f>SUM(E73)</f>
        <v>801</v>
      </c>
      <c r="I73" s="466">
        <f>SUM(F73)</f>
        <v>801</v>
      </c>
      <c r="J73" s="702"/>
      <c r="K73"/>
    </row>
    <row r="74" spans="1:11" ht="14.25" customHeight="1" thickBot="1">
      <c r="A74"/>
      <c r="B74"/>
      <c r="C74" s="467" t="s">
        <v>573</v>
      </c>
      <c r="D74" s="468">
        <v>7</v>
      </c>
      <c r="E74" s="469">
        <v>7</v>
      </c>
      <c r="F74" s="469">
        <v>7</v>
      </c>
      <c r="G74" s="704">
        <f>SUM(D74)</f>
        <v>7</v>
      </c>
      <c r="H74" s="700">
        <v>7</v>
      </c>
      <c r="I74" s="470">
        <f>SUM(F74)</f>
        <v>7</v>
      </c>
      <c r="J74" s="702"/>
      <c r="K74"/>
    </row>
  </sheetData>
  <sheetProtection/>
  <mergeCells count="40">
    <mergeCell ref="A50:B50"/>
    <mergeCell ref="A53:B53"/>
    <mergeCell ref="A17:B17"/>
    <mergeCell ref="A20:B20"/>
    <mergeCell ref="D69:I69"/>
    <mergeCell ref="D70:I70"/>
    <mergeCell ref="C69:C71"/>
    <mergeCell ref="A47:B47"/>
    <mergeCell ref="A29:B29"/>
    <mergeCell ref="A32:B32"/>
    <mergeCell ref="A56:B56"/>
    <mergeCell ref="A59:B59"/>
    <mergeCell ref="A62:B62"/>
    <mergeCell ref="C67:I67"/>
    <mergeCell ref="A1:M1"/>
    <mergeCell ref="L6:L10"/>
    <mergeCell ref="M6:M10"/>
    <mergeCell ref="D7:D10"/>
    <mergeCell ref="G8:G10"/>
    <mergeCell ref="I8:I10"/>
    <mergeCell ref="K8:K10"/>
    <mergeCell ref="E7:E10"/>
    <mergeCell ref="A23:B23"/>
    <mergeCell ref="A26:B26"/>
    <mergeCell ref="A41:B41"/>
    <mergeCell ref="A44:B44"/>
    <mergeCell ref="A35:B35"/>
    <mergeCell ref="A38:B38"/>
    <mergeCell ref="A11:B11"/>
    <mergeCell ref="A14:B14"/>
    <mergeCell ref="F8:F10"/>
    <mergeCell ref="J8:J10"/>
    <mergeCell ref="A6:B10"/>
    <mergeCell ref="C7:C10"/>
    <mergeCell ref="A3:N3"/>
    <mergeCell ref="A4:N4"/>
    <mergeCell ref="N6:N10"/>
    <mergeCell ref="C6:K6"/>
    <mergeCell ref="F7:K7"/>
    <mergeCell ref="H8:H10"/>
  </mergeCells>
  <printOptions horizontalCentered="1"/>
  <pageMargins left="0.2362204724409449" right="0.2362204724409449" top="0.6333333333333333" bottom="0.8661417322834646" header="0.1968503937007874" footer="0.1968503937007874"/>
  <pageSetup horizontalDpi="600" verticalDpi="600" orientation="portrait" paperSize="9" scale="59" r:id="rId1"/>
  <headerFooter alignWithMargins="0">
    <oddHeader>&amp;L 14. melléklet a 18/2014.(IX.1.) önkormányzati rendelethez
"14. melléklet az 1/2014.(I.31.) önkormányzati rendelethez"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31"/>
  <sheetViews>
    <sheetView view="pageLayout" workbookViewId="0" topLeftCell="A1">
      <selection activeCell="A7" sqref="A7"/>
    </sheetView>
  </sheetViews>
  <sheetFormatPr defaultColWidth="9.00390625" defaultRowHeight="12.75"/>
  <cols>
    <col min="1" max="1" width="60.75390625" style="215" customWidth="1"/>
    <col min="2" max="3" width="10.75390625" style="215" customWidth="1"/>
    <col min="4" max="4" width="12.125" style="215" customWidth="1"/>
    <col min="5" max="5" width="58.625" style="215" customWidth="1"/>
    <col min="6" max="6" width="10.75390625" style="215" customWidth="1"/>
    <col min="7" max="7" width="10.125" style="215" customWidth="1"/>
    <col min="8" max="8" width="11.75390625" style="215" customWidth="1"/>
    <col min="9" max="9" width="15.625" style="215" customWidth="1"/>
    <col min="10" max="10" width="15.00390625" style="215" customWidth="1"/>
    <col min="11" max="16384" width="9.125" style="215" customWidth="1"/>
  </cols>
  <sheetData>
    <row r="1" s="209" customFormat="1" ht="12.75"/>
    <row r="2" spans="1:8" s="209" customFormat="1" ht="12.75">
      <c r="A2" s="1126" t="s">
        <v>541</v>
      </c>
      <c r="B2" s="1126"/>
      <c r="C2" s="1126"/>
      <c r="D2" s="1126"/>
      <c r="E2" s="1126"/>
      <c r="F2" s="1126"/>
      <c r="G2" s="942"/>
      <c r="H2" s="942"/>
    </row>
    <row r="3" s="209" customFormat="1" ht="12.75"/>
    <row r="4" s="209" customFormat="1" ht="12.75">
      <c r="A4" s="210" t="s">
        <v>542</v>
      </c>
    </row>
    <row r="5" s="209" customFormat="1" ht="13.5" thickBot="1"/>
    <row r="6" spans="1:8" s="209" customFormat="1" ht="13.5" thickBot="1">
      <c r="A6" s="1129" t="s">
        <v>580</v>
      </c>
      <c r="B6" s="1130"/>
      <c r="C6" s="1131"/>
      <c r="D6" s="1132"/>
      <c r="E6" s="1129" t="s">
        <v>543</v>
      </c>
      <c r="F6" s="1130"/>
      <c r="G6" s="1137"/>
      <c r="H6" s="1138"/>
    </row>
    <row r="7" spans="1:8" s="209" customFormat="1" ht="13.5" thickBot="1">
      <c r="A7" s="216" t="s">
        <v>122</v>
      </c>
      <c r="B7" s="431" t="s">
        <v>163</v>
      </c>
      <c r="C7" s="708" t="s">
        <v>765</v>
      </c>
      <c r="D7" s="375" t="s">
        <v>808</v>
      </c>
      <c r="E7" s="216" t="s">
        <v>122</v>
      </c>
      <c r="F7" s="431" t="s">
        <v>163</v>
      </c>
      <c r="G7" s="431" t="s">
        <v>765</v>
      </c>
      <c r="H7" s="375" t="s">
        <v>808</v>
      </c>
    </row>
    <row r="8" spans="1:8" s="209" customFormat="1" ht="12.75">
      <c r="A8" s="228" t="s">
        <v>542</v>
      </c>
      <c r="B8" s="390">
        <v>50000</v>
      </c>
      <c r="C8" s="382">
        <v>2174</v>
      </c>
      <c r="D8" s="770">
        <v>2174</v>
      </c>
      <c r="E8" s="777" t="s">
        <v>39</v>
      </c>
      <c r="F8" s="382">
        <f>SUM(F9:F11)</f>
        <v>50000</v>
      </c>
      <c r="G8" s="781">
        <f>SUM(G9:G12)</f>
        <v>12172</v>
      </c>
      <c r="H8" s="772">
        <f>SUM(H9:H12)</f>
        <v>12172</v>
      </c>
    </row>
    <row r="9" spans="1:8" s="209" customFormat="1" ht="25.5">
      <c r="A9" s="217"/>
      <c r="B9" s="391"/>
      <c r="C9" s="383"/>
      <c r="D9" s="226"/>
      <c r="E9" s="778" t="s">
        <v>77</v>
      </c>
      <c r="F9" s="383">
        <v>15000</v>
      </c>
      <c r="G9" s="705"/>
      <c r="H9" s="710"/>
    </row>
    <row r="10" spans="1:8" s="209" customFormat="1" ht="12.75">
      <c r="A10" s="436" t="s">
        <v>547</v>
      </c>
      <c r="B10" s="391"/>
      <c r="C10" s="709">
        <f>SUM(C11)</f>
        <v>9998</v>
      </c>
      <c r="D10" s="437">
        <f>SUM(D11)</f>
        <v>9998</v>
      </c>
      <c r="E10" s="217" t="s">
        <v>78</v>
      </c>
      <c r="F10" s="384">
        <v>15000</v>
      </c>
      <c r="G10" s="705"/>
      <c r="H10" s="710"/>
    </row>
    <row r="11" spans="1:8" s="209" customFormat="1" ht="12.75">
      <c r="A11" s="217" t="s">
        <v>774</v>
      </c>
      <c r="B11" s="391"/>
      <c r="C11" s="384">
        <v>9998</v>
      </c>
      <c r="D11" s="211">
        <v>9998</v>
      </c>
      <c r="E11" s="222" t="s">
        <v>79</v>
      </c>
      <c r="F11" s="384">
        <v>20000</v>
      </c>
      <c r="G11" s="391">
        <v>9998</v>
      </c>
      <c r="H11" s="710">
        <v>9998</v>
      </c>
    </row>
    <row r="12" spans="1:8" s="209" customFormat="1" ht="13.5" thickBot="1">
      <c r="A12" s="432"/>
      <c r="B12" s="433"/>
      <c r="C12" s="435"/>
      <c r="D12" s="434"/>
      <c r="E12" s="779" t="s">
        <v>39</v>
      </c>
      <c r="F12" s="435"/>
      <c r="G12" s="706">
        <v>2174</v>
      </c>
      <c r="H12" s="711">
        <v>2174</v>
      </c>
    </row>
    <row r="13" spans="1:8" s="209" customFormat="1" ht="13.5" thickBot="1">
      <c r="A13" s="216" t="s">
        <v>501</v>
      </c>
      <c r="B13" s="392">
        <f>SUM(B8+B10)</f>
        <v>50000</v>
      </c>
      <c r="C13" s="385">
        <f>SUM(C8+C10)</f>
        <v>12172</v>
      </c>
      <c r="D13" s="218">
        <f>SUM(D8+D10)</f>
        <v>12172</v>
      </c>
      <c r="E13" s="216" t="s">
        <v>501</v>
      </c>
      <c r="F13" s="385">
        <f>SUM(F8)</f>
        <v>50000</v>
      </c>
      <c r="G13" s="707">
        <f>SUM(G8)</f>
        <v>12172</v>
      </c>
      <c r="H13" s="780">
        <f>SUM(H8)</f>
        <v>12172</v>
      </c>
    </row>
    <row r="14" s="209" customFormat="1" ht="12.75"/>
    <row r="15" s="209" customFormat="1" ht="12.75"/>
    <row r="16" spans="1:8" s="209" customFormat="1" ht="12.75">
      <c r="A16" s="1127" t="s">
        <v>544</v>
      </c>
      <c r="B16" s="1128"/>
      <c r="C16" s="1128"/>
      <c r="D16" s="1128"/>
      <c r="E16" s="1128"/>
      <c r="F16" s="1128"/>
      <c r="G16" s="1128"/>
      <c r="H16" s="942"/>
    </row>
    <row r="17" s="209" customFormat="1" ht="13.5" thickBot="1"/>
    <row r="18" spans="1:8" s="209" customFormat="1" ht="13.5" thickBot="1">
      <c r="A18" s="1133" t="s">
        <v>580</v>
      </c>
      <c r="B18" s="1134"/>
      <c r="C18" s="1135"/>
      <c r="D18" s="1136"/>
      <c r="E18" s="1133" t="s">
        <v>543</v>
      </c>
      <c r="F18" s="1134"/>
      <c r="G18" s="1137"/>
      <c r="H18" s="1138"/>
    </row>
    <row r="19" spans="1:8" s="209" customFormat="1" ht="13.5" thickBot="1">
      <c r="A19" s="212" t="s">
        <v>122</v>
      </c>
      <c r="B19" s="431" t="s">
        <v>163</v>
      </c>
      <c r="C19" s="708" t="s">
        <v>765</v>
      </c>
      <c r="D19" s="375" t="s">
        <v>808</v>
      </c>
      <c r="E19" s="771" t="s">
        <v>122</v>
      </c>
      <c r="F19" s="431" t="s">
        <v>163</v>
      </c>
      <c r="G19" s="431" t="s">
        <v>765</v>
      </c>
      <c r="H19" s="375" t="s">
        <v>808</v>
      </c>
    </row>
    <row r="20" spans="1:8" s="209" customFormat="1" ht="12.75">
      <c r="A20" s="227" t="s">
        <v>547</v>
      </c>
      <c r="B20" s="393">
        <f>SUM(B21:B27)</f>
        <v>253237</v>
      </c>
      <c r="C20" s="386">
        <f>SUM(C21:C27)</f>
        <v>335140</v>
      </c>
      <c r="D20" s="219">
        <f>SUM(D21:D27)</f>
        <v>335140</v>
      </c>
      <c r="E20" s="227" t="s">
        <v>545</v>
      </c>
      <c r="F20" s="386">
        <f>SUM(F21:F28)</f>
        <v>300000</v>
      </c>
      <c r="G20" s="776">
        <f>SUM(G21:G28)</f>
        <v>424895</v>
      </c>
      <c r="H20" s="772">
        <f>SUM(H21:H28)</f>
        <v>424895</v>
      </c>
    </row>
    <row r="21" spans="1:8" s="209" customFormat="1" ht="12.75">
      <c r="A21" s="214" t="s">
        <v>546</v>
      </c>
      <c r="B21" s="394">
        <v>212032</v>
      </c>
      <c r="C21" s="388">
        <v>212032</v>
      </c>
      <c r="D21" s="213">
        <v>212032</v>
      </c>
      <c r="E21" s="214" t="s">
        <v>546</v>
      </c>
      <c r="F21" s="388">
        <v>212032</v>
      </c>
      <c r="G21" s="384">
        <v>213527</v>
      </c>
      <c r="H21" s="773">
        <v>213527</v>
      </c>
    </row>
    <row r="22" spans="1:8" s="209" customFormat="1" ht="38.25">
      <c r="A22" s="214" t="s">
        <v>166</v>
      </c>
      <c r="B22" s="394">
        <v>18867</v>
      </c>
      <c r="C22" s="388">
        <v>18867</v>
      </c>
      <c r="D22" s="213">
        <v>18867</v>
      </c>
      <c r="E22" s="214" t="s">
        <v>166</v>
      </c>
      <c r="F22" s="388">
        <v>18867</v>
      </c>
      <c r="G22" s="388">
        <v>28080</v>
      </c>
      <c r="H22" s="840">
        <v>28080</v>
      </c>
    </row>
    <row r="23" spans="1:8" s="209" customFormat="1" ht="38.25">
      <c r="A23" s="222" t="s">
        <v>182</v>
      </c>
      <c r="B23" s="394">
        <v>12340</v>
      </c>
      <c r="C23" s="388">
        <v>12340</v>
      </c>
      <c r="D23" s="213">
        <v>12340</v>
      </c>
      <c r="E23" s="222" t="s">
        <v>182</v>
      </c>
      <c r="F23" s="388">
        <v>12340</v>
      </c>
      <c r="G23" s="388">
        <v>12340</v>
      </c>
      <c r="H23" s="840">
        <v>12340</v>
      </c>
    </row>
    <row r="24" spans="1:8" s="209" customFormat="1" ht="25.5">
      <c r="A24" s="214" t="s">
        <v>185</v>
      </c>
      <c r="B24" s="394">
        <v>9998</v>
      </c>
      <c r="C24" s="388"/>
      <c r="D24" s="213"/>
      <c r="E24" s="214" t="s">
        <v>185</v>
      </c>
      <c r="F24" s="388">
        <v>9998</v>
      </c>
      <c r="G24" s="388"/>
      <c r="H24" s="840"/>
    </row>
    <row r="25" spans="1:8" s="209" customFormat="1" ht="25.5">
      <c r="A25" s="222" t="s">
        <v>181</v>
      </c>
      <c r="B25" s="394"/>
      <c r="C25" s="388">
        <v>81193</v>
      </c>
      <c r="D25" s="213">
        <v>81193</v>
      </c>
      <c r="E25" s="222" t="s">
        <v>181</v>
      </c>
      <c r="F25" s="388"/>
      <c r="G25" s="716">
        <v>81193</v>
      </c>
      <c r="H25" s="841">
        <v>81193</v>
      </c>
    </row>
    <row r="26" spans="1:8" s="209" customFormat="1" ht="38.25">
      <c r="A26" s="222" t="s">
        <v>770</v>
      </c>
      <c r="B26" s="394"/>
      <c r="C26" s="388">
        <v>9213</v>
      </c>
      <c r="D26" s="213">
        <v>9213</v>
      </c>
      <c r="E26" s="222" t="s">
        <v>771</v>
      </c>
      <c r="F26" s="388"/>
      <c r="G26" s="716">
        <v>42979</v>
      </c>
      <c r="H26" s="841">
        <v>42979</v>
      </c>
    </row>
    <row r="27" spans="1:8" s="209" customFormat="1" ht="25.5">
      <c r="A27" s="222" t="s">
        <v>772</v>
      </c>
      <c r="B27" s="394"/>
      <c r="C27" s="388">
        <v>1495</v>
      </c>
      <c r="D27" s="213">
        <v>1495</v>
      </c>
      <c r="E27" s="214" t="s">
        <v>773</v>
      </c>
      <c r="F27" s="388"/>
      <c r="G27" s="716">
        <v>13</v>
      </c>
      <c r="H27" s="841">
        <v>13</v>
      </c>
    </row>
    <row r="28" spans="1:8" s="209" customFormat="1" ht="13.5" thickBot="1">
      <c r="A28" s="712" t="s">
        <v>548</v>
      </c>
      <c r="B28" s="713">
        <v>46763</v>
      </c>
      <c r="C28" s="714">
        <v>89755</v>
      </c>
      <c r="D28" s="715">
        <v>89755</v>
      </c>
      <c r="E28" s="774" t="s">
        <v>178</v>
      </c>
      <c r="F28" s="716">
        <v>46763</v>
      </c>
      <c r="G28" s="716">
        <v>46763</v>
      </c>
      <c r="H28" s="841">
        <v>46763</v>
      </c>
    </row>
    <row r="29" spans="1:8" s="209" customFormat="1" ht="13.5" thickBot="1">
      <c r="A29" s="220" t="s">
        <v>501</v>
      </c>
      <c r="B29" s="395">
        <f>SUM(B28,B20)</f>
        <v>300000</v>
      </c>
      <c r="C29" s="387">
        <f>SUM(C28,C20)</f>
        <v>424895</v>
      </c>
      <c r="D29" s="221">
        <f>SUM(D28,D20)</f>
        <v>424895</v>
      </c>
      <c r="E29" s="220" t="s">
        <v>501</v>
      </c>
      <c r="F29" s="387">
        <f>SUM(F20)</f>
        <v>300000</v>
      </c>
      <c r="G29" s="387">
        <f>SUM(G20)</f>
        <v>424895</v>
      </c>
      <c r="H29" s="775">
        <f>SUM(H20)</f>
        <v>424895</v>
      </c>
    </row>
    <row r="30" s="209" customFormat="1" ht="12.75"/>
    <row r="31" spans="1:8" s="209" customFormat="1" ht="12.75">
      <c r="A31" s="210" t="s">
        <v>162</v>
      </c>
      <c r="B31" s="389">
        <f>SUM(B13+B29)</f>
        <v>350000</v>
      </c>
      <c r="C31" s="389">
        <f>SUM(C13+C29)</f>
        <v>437067</v>
      </c>
      <c r="D31" s="389">
        <f>SUM(D13+D29)</f>
        <v>437067</v>
      </c>
      <c r="E31" s="389" t="s">
        <v>162</v>
      </c>
      <c r="F31" s="389">
        <f>SUM(F13+F29)</f>
        <v>350000</v>
      </c>
      <c r="G31" s="389">
        <f>SUM(G13+G29)</f>
        <v>437067</v>
      </c>
      <c r="H31" s="389">
        <f>SUM(H13+H29)</f>
        <v>437067</v>
      </c>
    </row>
    <row r="32" s="209" customFormat="1" ht="12.75"/>
    <row r="33" s="209" customFormat="1" ht="12.75"/>
    <row r="34" s="209" customFormat="1" ht="12.75"/>
    <row r="35" s="209" customFormat="1" ht="12.75"/>
    <row r="36" s="209" customFormat="1" ht="12.75"/>
    <row r="37" s="209" customFormat="1" ht="12.75"/>
    <row r="38" s="209" customFormat="1" ht="12.75"/>
    <row r="39" s="209" customFormat="1" ht="12.75"/>
    <row r="40" s="209" customFormat="1" ht="12.75"/>
    <row r="41" s="209" customFormat="1" ht="12.75"/>
    <row r="42" s="209" customFormat="1" ht="12.75"/>
    <row r="43" s="209" customFormat="1" ht="12.75"/>
    <row r="44" s="209" customFormat="1" ht="12.75"/>
  </sheetData>
  <sheetProtection/>
  <mergeCells count="6">
    <mergeCell ref="A2:H2"/>
    <mergeCell ref="A16:H16"/>
    <mergeCell ref="A6:D6"/>
    <mergeCell ref="A18:D18"/>
    <mergeCell ref="E6:H6"/>
    <mergeCell ref="E18:H18"/>
  </mergeCells>
  <printOptions horizontalCentered="1"/>
  <pageMargins left="0" right="0" top="0.984251968503937" bottom="0" header="0.5118110236220472" footer="0.5118110236220472"/>
  <pageSetup horizontalDpi="600" verticalDpi="600" orientation="landscape" paperSize="9" scale="78" r:id="rId1"/>
  <headerFooter alignWithMargins="0">
    <oddHeader>&amp;L&amp;"Arial,Normál" 15. melléklet a 18/2014.(IX.1.) önkormányzati rendelethez
"15. melléklet az 1/2014.(I.31.) önkormányzati rendelethez"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55"/>
  <sheetViews>
    <sheetView view="pageLayout" workbookViewId="0" topLeftCell="A1">
      <selection activeCell="A1" sqref="A1:J1"/>
    </sheetView>
  </sheetViews>
  <sheetFormatPr defaultColWidth="9.00390625" defaultRowHeight="12.75"/>
  <cols>
    <col min="1" max="1" width="51.00390625" style="234" bestFit="1" customWidth="1"/>
    <col min="2" max="2" width="11.375" style="234" customWidth="1"/>
    <col min="3" max="3" width="11.75390625" style="234" customWidth="1"/>
    <col min="4" max="4" width="12.125" style="234" customWidth="1"/>
    <col min="5" max="5" width="11.125" style="234" customWidth="1"/>
    <col min="6" max="6" width="12.375" style="234" customWidth="1"/>
    <col min="7" max="7" width="10.75390625" style="234" customWidth="1"/>
    <col min="8" max="8" width="11.00390625" style="234" customWidth="1"/>
    <col min="9" max="9" width="10.875" style="234" customWidth="1"/>
    <col min="10" max="10" width="11.00390625" style="234" customWidth="1"/>
    <col min="11" max="16384" width="9.125" style="234" customWidth="1"/>
  </cols>
  <sheetData>
    <row r="1" spans="1:10" ht="15">
      <c r="A1" s="1142" t="s">
        <v>536</v>
      </c>
      <c r="B1" s="1142"/>
      <c r="C1" s="1142"/>
      <c r="D1" s="1142"/>
      <c r="E1" s="942"/>
      <c r="F1" s="942"/>
      <c r="G1" s="942"/>
      <c r="H1" s="942"/>
      <c r="I1" s="942"/>
      <c r="J1" s="942"/>
    </row>
    <row r="2" ht="15.75" thickBot="1"/>
    <row r="3" spans="1:10" ht="15">
      <c r="A3" s="1146" t="s">
        <v>537</v>
      </c>
      <c r="B3" s="1143" t="s">
        <v>163</v>
      </c>
      <c r="C3" s="1144"/>
      <c r="D3" s="1144"/>
      <c r="E3" s="1143" t="s">
        <v>765</v>
      </c>
      <c r="F3" s="1144"/>
      <c r="G3" s="1145"/>
      <c r="H3" s="1143" t="s">
        <v>808</v>
      </c>
      <c r="I3" s="1144"/>
      <c r="J3" s="1145"/>
    </row>
    <row r="4" spans="1:10" s="235" customFormat="1" ht="15">
      <c r="A4" s="1147"/>
      <c r="B4" s="1139" t="s">
        <v>581</v>
      </c>
      <c r="C4" s="1139" t="s">
        <v>538</v>
      </c>
      <c r="D4" s="1139"/>
      <c r="E4" s="1139" t="s">
        <v>581</v>
      </c>
      <c r="F4" s="1139" t="s">
        <v>538</v>
      </c>
      <c r="G4" s="1141"/>
      <c r="H4" s="1139" t="s">
        <v>581</v>
      </c>
      <c r="I4" s="1139" t="s">
        <v>538</v>
      </c>
      <c r="J4" s="1141"/>
    </row>
    <row r="5" spans="1:10" s="235" customFormat="1" ht="57.75" thickBot="1">
      <c r="A5" s="1148"/>
      <c r="B5" s="1140"/>
      <c r="C5" s="236" t="s">
        <v>539</v>
      </c>
      <c r="D5" s="236" t="s">
        <v>540</v>
      </c>
      <c r="E5" s="1140"/>
      <c r="F5" s="236" t="s">
        <v>539</v>
      </c>
      <c r="G5" s="237" t="s">
        <v>540</v>
      </c>
      <c r="H5" s="1140"/>
      <c r="I5" s="236" t="s">
        <v>539</v>
      </c>
      <c r="J5" s="237" t="s">
        <v>540</v>
      </c>
    </row>
    <row r="6" spans="1:10" s="250" customFormat="1" ht="15">
      <c r="A6" s="247" t="s">
        <v>191</v>
      </c>
      <c r="B6" s="248">
        <f aca="true" t="shared" si="0" ref="B6:J6">SUM(B7:B8)</f>
        <v>1107640</v>
      </c>
      <c r="C6" s="248">
        <f t="shared" si="0"/>
        <v>624234</v>
      </c>
      <c r="D6" s="249">
        <f t="shared" si="0"/>
        <v>483406</v>
      </c>
      <c r="E6" s="248">
        <f t="shared" si="0"/>
        <v>1107640</v>
      </c>
      <c r="F6" s="248">
        <f t="shared" si="0"/>
        <v>624234</v>
      </c>
      <c r="G6" s="249">
        <f t="shared" si="0"/>
        <v>483406</v>
      </c>
      <c r="H6" s="248">
        <f t="shared" si="0"/>
        <v>1107640</v>
      </c>
      <c r="I6" s="248">
        <f t="shared" si="0"/>
        <v>624234</v>
      </c>
      <c r="J6" s="249">
        <f t="shared" si="0"/>
        <v>483406</v>
      </c>
    </row>
    <row r="7" spans="1:10" ht="30">
      <c r="A7" s="207" t="s">
        <v>179</v>
      </c>
      <c r="B7" s="208">
        <v>1102640</v>
      </c>
      <c r="C7" s="238">
        <v>622234</v>
      </c>
      <c r="D7" s="239">
        <f>B7-C7</f>
        <v>480406</v>
      </c>
      <c r="E7" s="208">
        <v>1102640</v>
      </c>
      <c r="F7" s="238">
        <v>622234</v>
      </c>
      <c r="G7" s="239">
        <f>E7-F7</f>
        <v>480406</v>
      </c>
      <c r="H7" s="208">
        <v>1102640</v>
      </c>
      <c r="I7" s="238">
        <v>622234</v>
      </c>
      <c r="J7" s="239">
        <f>H7-I7</f>
        <v>480406</v>
      </c>
    </row>
    <row r="8" spans="1:10" ht="30">
      <c r="A8" s="207" t="s">
        <v>180</v>
      </c>
      <c r="B8" s="208">
        <v>5000</v>
      </c>
      <c r="C8" s="238">
        <v>2000</v>
      </c>
      <c r="D8" s="239">
        <f>B8-C8</f>
        <v>3000</v>
      </c>
      <c r="E8" s="208">
        <v>5000</v>
      </c>
      <c r="F8" s="238">
        <v>2000</v>
      </c>
      <c r="G8" s="239">
        <f>E8-F8</f>
        <v>3000</v>
      </c>
      <c r="H8" s="208">
        <v>5000</v>
      </c>
      <c r="I8" s="238">
        <v>2000</v>
      </c>
      <c r="J8" s="239">
        <f>H8-I8</f>
        <v>3000</v>
      </c>
    </row>
    <row r="9" spans="1:10" ht="15">
      <c r="A9" s="207"/>
      <c r="B9" s="208"/>
      <c r="C9" s="238"/>
      <c r="D9" s="239"/>
      <c r="E9" s="208"/>
      <c r="F9" s="238"/>
      <c r="G9" s="239"/>
      <c r="H9" s="208"/>
      <c r="I9" s="238"/>
      <c r="J9" s="239"/>
    </row>
    <row r="10" spans="1:10" s="242" customFormat="1" ht="15">
      <c r="A10" s="232" t="s">
        <v>192</v>
      </c>
      <c r="B10" s="233">
        <f aca="true" t="shared" si="1" ref="B10:J10">SUM(B11:B14)</f>
        <v>31000</v>
      </c>
      <c r="C10" s="240">
        <f t="shared" si="1"/>
        <v>0</v>
      </c>
      <c r="D10" s="241">
        <f t="shared" si="1"/>
        <v>31000</v>
      </c>
      <c r="E10" s="233">
        <f t="shared" si="1"/>
        <v>31000</v>
      </c>
      <c r="F10" s="240">
        <f t="shared" si="1"/>
        <v>0</v>
      </c>
      <c r="G10" s="241">
        <f t="shared" si="1"/>
        <v>31000</v>
      </c>
      <c r="H10" s="233">
        <f t="shared" si="1"/>
        <v>26969</v>
      </c>
      <c r="I10" s="240">
        <f t="shared" si="1"/>
        <v>0</v>
      </c>
      <c r="J10" s="241">
        <f t="shared" si="1"/>
        <v>26969</v>
      </c>
    </row>
    <row r="11" spans="1:10" ht="30">
      <c r="A11" s="207" t="s">
        <v>344</v>
      </c>
      <c r="B11" s="208">
        <v>9000</v>
      </c>
      <c r="C11" s="238"/>
      <c r="D11" s="239">
        <f>B11-C11</f>
        <v>9000</v>
      </c>
      <c r="E11" s="208">
        <v>9000</v>
      </c>
      <c r="F11" s="238"/>
      <c r="G11" s="239">
        <f>E11-F11</f>
        <v>9000</v>
      </c>
      <c r="H11" s="208">
        <v>9000</v>
      </c>
      <c r="I11" s="238"/>
      <c r="J11" s="239">
        <f>H11-I11</f>
        <v>9000</v>
      </c>
    </row>
    <row r="12" spans="1:10" ht="15">
      <c r="A12" s="207" t="s">
        <v>224</v>
      </c>
      <c r="B12" s="208">
        <v>4000</v>
      </c>
      <c r="C12" s="238"/>
      <c r="D12" s="239">
        <f>B12-C12</f>
        <v>4000</v>
      </c>
      <c r="E12" s="208">
        <v>4000</v>
      </c>
      <c r="F12" s="238"/>
      <c r="G12" s="239">
        <f>E12-F12</f>
        <v>4000</v>
      </c>
      <c r="H12" s="208">
        <v>4000</v>
      </c>
      <c r="I12" s="238"/>
      <c r="J12" s="239">
        <f>H12-I12</f>
        <v>4000</v>
      </c>
    </row>
    <row r="13" spans="1:10" ht="15">
      <c r="A13" s="207" t="s">
        <v>225</v>
      </c>
      <c r="B13" s="208">
        <v>9000</v>
      </c>
      <c r="C13" s="238"/>
      <c r="D13" s="239">
        <f>B13-C13</f>
        <v>9000</v>
      </c>
      <c r="E13" s="208">
        <v>9000</v>
      </c>
      <c r="F13" s="238"/>
      <c r="G13" s="239">
        <f>E13-F13</f>
        <v>9000</v>
      </c>
      <c r="H13" s="208">
        <v>7000</v>
      </c>
      <c r="I13" s="238"/>
      <c r="J13" s="239">
        <f>H13-I13</f>
        <v>7000</v>
      </c>
    </row>
    <row r="14" spans="1:10" ht="15">
      <c r="A14" s="207" t="s">
        <v>215</v>
      </c>
      <c r="B14" s="208">
        <v>9000</v>
      </c>
      <c r="C14" s="238"/>
      <c r="D14" s="239">
        <f>B14-C14</f>
        <v>9000</v>
      </c>
      <c r="E14" s="208">
        <v>9000</v>
      </c>
      <c r="F14" s="238"/>
      <c r="G14" s="239">
        <f>E14-F14</f>
        <v>9000</v>
      </c>
      <c r="H14" s="208">
        <v>6969</v>
      </c>
      <c r="I14" s="238"/>
      <c r="J14" s="239">
        <f>H14-I14</f>
        <v>6969</v>
      </c>
    </row>
    <row r="15" spans="1:10" ht="15">
      <c r="A15" s="207"/>
      <c r="B15" s="208"/>
      <c r="C15" s="238"/>
      <c r="D15" s="239"/>
      <c r="E15" s="208"/>
      <c r="F15" s="238"/>
      <c r="G15" s="239"/>
      <c r="H15" s="208"/>
      <c r="I15" s="238"/>
      <c r="J15" s="239"/>
    </row>
    <row r="16" spans="1:10" s="242" customFormat="1" ht="15">
      <c r="A16" s="232" t="s">
        <v>193</v>
      </c>
      <c r="B16" s="233">
        <f aca="true" t="shared" si="2" ref="B16:J16">SUM(B17:B18)</f>
        <v>28500</v>
      </c>
      <c r="C16" s="240">
        <f t="shared" si="2"/>
        <v>0</v>
      </c>
      <c r="D16" s="241">
        <f t="shared" si="2"/>
        <v>28500</v>
      </c>
      <c r="E16" s="233">
        <f t="shared" si="2"/>
        <v>28500</v>
      </c>
      <c r="F16" s="240">
        <f t="shared" si="2"/>
        <v>0</v>
      </c>
      <c r="G16" s="241">
        <f t="shared" si="2"/>
        <v>28500</v>
      </c>
      <c r="H16" s="233">
        <f t="shared" si="2"/>
        <v>28500</v>
      </c>
      <c r="I16" s="240">
        <f t="shared" si="2"/>
        <v>0</v>
      </c>
      <c r="J16" s="241">
        <f t="shared" si="2"/>
        <v>28500</v>
      </c>
    </row>
    <row r="17" spans="1:10" ht="15">
      <c r="A17" s="207" t="s">
        <v>177</v>
      </c>
      <c r="B17" s="208">
        <v>8500</v>
      </c>
      <c r="C17" s="238"/>
      <c r="D17" s="239">
        <f>B17-C17</f>
        <v>8500</v>
      </c>
      <c r="E17" s="208">
        <v>8500</v>
      </c>
      <c r="F17" s="238"/>
      <c r="G17" s="239">
        <f>E17-F17</f>
        <v>8500</v>
      </c>
      <c r="H17" s="208">
        <v>8500</v>
      </c>
      <c r="I17" s="238"/>
      <c r="J17" s="239">
        <f>H17-I17</f>
        <v>8500</v>
      </c>
    </row>
    <row r="18" spans="1:10" ht="30">
      <c r="A18" s="207" t="s">
        <v>176</v>
      </c>
      <c r="B18" s="208">
        <v>20000</v>
      </c>
      <c r="C18" s="238"/>
      <c r="D18" s="239">
        <f>B18-C18</f>
        <v>20000</v>
      </c>
      <c r="E18" s="208">
        <v>20000</v>
      </c>
      <c r="F18" s="238"/>
      <c r="G18" s="239">
        <f>E18-F18</f>
        <v>20000</v>
      </c>
      <c r="H18" s="208">
        <v>20000</v>
      </c>
      <c r="I18" s="238"/>
      <c r="J18" s="239">
        <f>H18-I18</f>
        <v>20000</v>
      </c>
    </row>
    <row r="19" spans="1:10" ht="15">
      <c r="A19" s="207"/>
      <c r="B19" s="208"/>
      <c r="C19" s="238"/>
      <c r="D19" s="239"/>
      <c r="E19" s="208"/>
      <c r="F19" s="238"/>
      <c r="G19" s="239"/>
      <c r="H19" s="208"/>
      <c r="I19" s="238"/>
      <c r="J19" s="239"/>
    </row>
    <row r="20" spans="1:10" s="242" customFormat="1" ht="30">
      <c r="A20" s="232" t="s">
        <v>194</v>
      </c>
      <c r="B20" s="233">
        <f aca="true" t="shared" si="3" ref="B20:J20">SUM(B21:B23)</f>
        <v>83200</v>
      </c>
      <c r="C20" s="240">
        <f t="shared" si="3"/>
        <v>0</v>
      </c>
      <c r="D20" s="241">
        <f t="shared" si="3"/>
        <v>83200</v>
      </c>
      <c r="E20" s="233">
        <f t="shared" si="3"/>
        <v>83200</v>
      </c>
      <c r="F20" s="240">
        <f t="shared" si="3"/>
        <v>0</v>
      </c>
      <c r="G20" s="241">
        <f t="shared" si="3"/>
        <v>83200</v>
      </c>
      <c r="H20" s="233">
        <f t="shared" si="3"/>
        <v>83200</v>
      </c>
      <c r="I20" s="240">
        <f t="shared" si="3"/>
        <v>0</v>
      </c>
      <c r="J20" s="241">
        <f t="shared" si="3"/>
        <v>83200</v>
      </c>
    </row>
    <row r="21" spans="1:10" ht="45">
      <c r="A21" s="207" t="s">
        <v>232</v>
      </c>
      <c r="B21" s="208">
        <v>40000</v>
      </c>
      <c r="C21" s="238"/>
      <c r="D21" s="239">
        <f>B21-C21</f>
        <v>40000</v>
      </c>
      <c r="E21" s="208">
        <v>40000</v>
      </c>
      <c r="F21" s="238"/>
      <c r="G21" s="239">
        <f>E21-F21</f>
        <v>40000</v>
      </c>
      <c r="H21" s="208">
        <v>40000</v>
      </c>
      <c r="I21" s="238"/>
      <c r="J21" s="239">
        <f>H21-I21</f>
        <v>40000</v>
      </c>
    </row>
    <row r="22" spans="1:10" ht="30">
      <c r="A22" s="207" t="s">
        <v>216</v>
      </c>
      <c r="B22" s="208">
        <v>21200</v>
      </c>
      <c r="C22" s="238"/>
      <c r="D22" s="239">
        <f>B22-C22</f>
        <v>21200</v>
      </c>
      <c r="E22" s="208">
        <v>21200</v>
      </c>
      <c r="F22" s="238"/>
      <c r="G22" s="239">
        <f>E22-F22</f>
        <v>21200</v>
      </c>
      <c r="H22" s="208">
        <v>21200</v>
      </c>
      <c r="I22" s="238"/>
      <c r="J22" s="239">
        <f>H22-I22</f>
        <v>21200</v>
      </c>
    </row>
    <row r="23" spans="1:10" ht="15">
      <c r="A23" s="207" t="s">
        <v>219</v>
      </c>
      <c r="B23" s="208">
        <v>22000</v>
      </c>
      <c r="C23" s="238"/>
      <c r="D23" s="239">
        <f>B23-C23</f>
        <v>22000</v>
      </c>
      <c r="E23" s="208">
        <v>22000</v>
      </c>
      <c r="F23" s="238"/>
      <c r="G23" s="239">
        <f>E23-F23</f>
        <v>22000</v>
      </c>
      <c r="H23" s="208">
        <v>22000</v>
      </c>
      <c r="I23" s="238"/>
      <c r="J23" s="239">
        <f>H23-I23</f>
        <v>22000</v>
      </c>
    </row>
    <row r="24" spans="1:10" ht="15">
      <c r="A24" s="207"/>
      <c r="B24" s="208"/>
      <c r="C24" s="238"/>
      <c r="D24" s="239"/>
      <c r="E24" s="208"/>
      <c r="F24" s="238"/>
      <c r="G24" s="239"/>
      <c r="H24" s="208"/>
      <c r="I24" s="238"/>
      <c r="J24" s="239"/>
    </row>
    <row r="25" spans="1:10" s="242" customFormat="1" ht="30">
      <c r="A25" s="232" t="s">
        <v>196</v>
      </c>
      <c r="B25" s="233">
        <f aca="true" t="shared" si="4" ref="B25:J25">SUM(B26:B28)</f>
        <v>21372</v>
      </c>
      <c r="C25" s="240">
        <f t="shared" si="4"/>
        <v>0</v>
      </c>
      <c r="D25" s="241">
        <f t="shared" si="4"/>
        <v>21372</v>
      </c>
      <c r="E25" s="233">
        <f t="shared" si="4"/>
        <v>21372</v>
      </c>
      <c r="F25" s="240">
        <f t="shared" si="4"/>
        <v>0</v>
      </c>
      <c r="G25" s="241">
        <f t="shared" si="4"/>
        <v>21372</v>
      </c>
      <c r="H25" s="233">
        <f t="shared" si="4"/>
        <v>21372</v>
      </c>
      <c r="I25" s="240">
        <f t="shared" si="4"/>
        <v>0</v>
      </c>
      <c r="J25" s="241">
        <f t="shared" si="4"/>
        <v>21372</v>
      </c>
    </row>
    <row r="26" spans="1:10" ht="15">
      <c r="A26" s="207" t="s">
        <v>343</v>
      </c>
      <c r="B26" s="208">
        <v>6300</v>
      </c>
      <c r="C26" s="238"/>
      <c r="D26" s="239">
        <f>B26-C26</f>
        <v>6300</v>
      </c>
      <c r="E26" s="208">
        <v>6300</v>
      </c>
      <c r="F26" s="238"/>
      <c r="G26" s="239">
        <f>E26-F26</f>
        <v>6300</v>
      </c>
      <c r="H26" s="208">
        <v>6300</v>
      </c>
      <c r="I26" s="238"/>
      <c r="J26" s="239">
        <f>H26-I26</f>
        <v>6300</v>
      </c>
    </row>
    <row r="27" spans="1:10" ht="15">
      <c r="A27" s="207" t="s">
        <v>223</v>
      </c>
      <c r="B27" s="208">
        <v>10000</v>
      </c>
      <c r="C27" s="238"/>
      <c r="D27" s="239">
        <f>B27-C27</f>
        <v>10000</v>
      </c>
      <c r="E27" s="208">
        <v>10000</v>
      </c>
      <c r="F27" s="238"/>
      <c r="G27" s="239">
        <f>E27-F27</f>
        <v>10000</v>
      </c>
      <c r="H27" s="208">
        <v>10000</v>
      </c>
      <c r="I27" s="238"/>
      <c r="J27" s="239">
        <f>H27-I27</f>
        <v>10000</v>
      </c>
    </row>
    <row r="28" spans="1:10" ht="30">
      <c r="A28" s="207" t="s">
        <v>226</v>
      </c>
      <c r="B28" s="208">
        <v>5072</v>
      </c>
      <c r="C28" s="238"/>
      <c r="D28" s="239">
        <f>B28-C28</f>
        <v>5072</v>
      </c>
      <c r="E28" s="208">
        <v>5072</v>
      </c>
      <c r="F28" s="238"/>
      <c r="G28" s="239">
        <f>E28-F28</f>
        <v>5072</v>
      </c>
      <c r="H28" s="208">
        <v>5072</v>
      </c>
      <c r="I28" s="238"/>
      <c r="J28" s="239">
        <f>H28-I28</f>
        <v>5072</v>
      </c>
    </row>
    <row r="29" spans="1:10" ht="15">
      <c r="A29" s="207"/>
      <c r="B29" s="208"/>
      <c r="C29" s="238"/>
      <c r="D29" s="239"/>
      <c r="E29" s="208"/>
      <c r="F29" s="238"/>
      <c r="G29" s="239"/>
      <c r="H29" s="208"/>
      <c r="I29" s="238"/>
      <c r="J29" s="239"/>
    </row>
    <row r="30" spans="1:10" s="242" customFormat="1" ht="30">
      <c r="A30" s="232" t="s">
        <v>195</v>
      </c>
      <c r="B30" s="233">
        <f aca="true" t="shared" si="5" ref="B30:J30">SUM(B31:B33)</f>
        <v>6553</v>
      </c>
      <c r="C30" s="240">
        <f t="shared" si="5"/>
        <v>0</v>
      </c>
      <c r="D30" s="241">
        <f t="shared" si="5"/>
        <v>6553</v>
      </c>
      <c r="E30" s="233">
        <f t="shared" si="5"/>
        <v>6553</v>
      </c>
      <c r="F30" s="240">
        <f t="shared" si="5"/>
        <v>0</v>
      </c>
      <c r="G30" s="241">
        <f t="shared" si="5"/>
        <v>6553</v>
      </c>
      <c r="H30" s="233">
        <f t="shared" si="5"/>
        <v>6553</v>
      </c>
      <c r="I30" s="240">
        <f t="shared" si="5"/>
        <v>0</v>
      </c>
      <c r="J30" s="241">
        <f t="shared" si="5"/>
        <v>6553</v>
      </c>
    </row>
    <row r="31" spans="1:10" ht="15">
      <c r="A31" s="207" t="s">
        <v>448</v>
      </c>
      <c r="B31" s="208">
        <v>739</v>
      </c>
      <c r="C31" s="238"/>
      <c r="D31" s="239">
        <f>B31-C31</f>
        <v>739</v>
      </c>
      <c r="E31" s="208">
        <v>739</v>
      </c>
      <c r="F31" s="238"/>
      <c r="G31" s="239">
        <f>E31-F31</f>
        <v>739</v>
      </c>
      <c r="H31" s="208">
        <v>739</v>
      </c>
      <c r="I31" s="238"/>
      <c r="J31" s="239">
        <f>H31-I31</f>
        <v>739</v>
      </c>
    </row>
    <row r="32" spans="1:10" ht="15">
      <c r="A32" s="207" t="s">
        <v>449</v>
      </c>
      <c r="B32" s="208">
        <v>2314</v>
      </c>
      <c r="C32" s="238"/>
      <c r="D32" s="239">
        <f>B32-C32</f>
        <v>2314</v>
      </c>
      <c r="E32" s="208">
        <v>2314</v>
      </c>
      <c r="F32" s="238"/>
      <c r="G32" s="239">
        <f>E32-F32</f>
        <v>2314</v>
      </c>
      <c r="H32" s="208">
        <v>2314</v>
      </c>
      <c r="I32" s="238"/>
      <c r="J32" s="239">
        <f>H32-I32</f>
        <v>2314</v>
      </c>
    </row>
    <row r="33" spans="1:10" ht="15">
      <c r="A33" s="207" t="s">
        <v>450</v>
      </c>
      <c r="B33" s="208">
        <v>3500</v>
      </c>
      <c r="C33" s="238"/>
      <c r="D33" s="239">
        <f>B33-C33</f>
        <v>3500</v>
      </c>
      <c r="E33" s="208">
        <v>3500</v>
      </c>
      <c r="F33" s="238"/>
      <c r="G33" s="239">
        <f>E33-F33</f>
        <v>3500</v>
      </c>
      <c r="H33" s="208">
        <v>3500</v>
      </c>
      <c r="I33" s="238"/>
      <c r="J33" s="239">
        <f>H33-I33</f>
        <v>3500</v>
      </c>
    </row>
    <row r="34" spans="1:10" ht="15">
      <c r="A34" s="207"/>
      <c r="B34" s="208"/>
      <c r="C34" s="238"/>
      <c r="D34" s="239"/>
      <c r="E34" s="208"/>
      <c r="F34" s="238"/>
      <c r="G34" s="239"/>
      <c r="H34" s="208"/>
      <c r="I34" s="238"/>
      <c r="J34" s="239"/>
    </row>
    <row r="35" spans="1:10" ht="15.75" thickBot="1">
      <c r="A35" s="243" t="s">
        <v>525</v>
      </c>
      <c r="B35" s="244">
        <f aca="true" t="shared" si="6" ref="B35:J35">SUM(B6,B10,B16,B20,B25,B30)</f>
        <v>1278265</v>
      </c>
      <c r="C35" s="244">
        <f t="shared" si="6"/>
        <v>624234</v>
      </c>
      <c r="D35" s="245">
        <f t="shared" si="6"/>
        <v>654031</v>
      </c>
      <c r="E35" s="244">
        <f t="shared" si="6"/>
        <v>1278265</v>
      </c>
      <c r="F35" s="244">
        <f t="shared" si="6"/>
        <v>624234</v>
      </c>
      <c r="G35" s="245">
        <f t="shared" si="6"/>
        <v>654031</v>
      </c>
      <c r="H35" s="244">
        <f t="shared" si="6"/>
        <v>1274234</v>
      </c>
      <c r="I35" s="244">
        <f t="shared" si="6"/>
        <v>624234</v>
      </c>
      <c r="J35" s="245">
        <f t="shared" si="6"/>
        <v>650000</v>
      </c>
    </row>
    <row r="36" spans="2:4" ht="15">
      <c r="B36" s="246"/>
      <c r="C36" s="246"/>
      <c r="D36" s="246"/>
    </row>
    <row r="37" spans="2:4" ht="15">
      <c r="B37" s="246"/>
      <c r="C37" s="246"/>
      <c r="D37" s="246"/>
    </row>
    <row r="38" spans="2:4" ht="15">
      <c r="B38" s="246"/>
      <c r="C38" s="246"/>
      <c r="D38" s="246"/>
    </row>
    <row r="39" spans="2:4" ht="15">
      <c r="B39" s="246"/>
      <c r="C39" s="246"/>
      <c r="D39" s="246"/>
    </row>
    <row r="40" spans="2:4" ht="15">
      <c r="B40" s="246"/>
      <c r="C40" s="246"/>
      <c r="D40" s="246"/>
    </row>
    <row r="41" spans="2:4" ht="15">
      <c r="B41" s="246"/>
      <c r="C41" s="246"/>
      <c r="D41" s="246"/>
    </row>
    <row r="42" spans="2:4" ht="15">
      <c r="B42" s="246"/>
      <c r="C42" s="246"/>
      <c r="D42" s="246"/>
    </row>
    <row r="43" spans="2:4" ht="15">
      <c r="B43" s="246"/>
      <c r="C43" s="246"/>
      <c r="D43" s="246"/>
    </row>
    <row r="44" spans="2:4" ht="15">
      <c r="B44" s="246"/>
      <c r="C44" s="246"/>
      <c r="D44" s="246"/>
    </row>
    <row r="45" spans="2:4" ht="15">
      <c r="B45" s="246"/>
      <c r="C45" s="246"/>
      <c r="D45" s="246"/>
    </row>
    <row r="46" spans="2:4" ht="15">
      <c r="B46" s="246"/>
      <c r="C46" s="246"/>
      <c r="D46" s="246"/>
    </row>
    <row r="47" spans="2:4" ht="15">
      <c r="B47" s="246"/>
      <c r="C47" s="246"/>
      <c r="D47" s="246"/>
    </row>
    <row r="48" spans="2:4" ht="15">
      <c r="B48" s="246"/>
      <c r="C48" s="246"/>
      <c r="D48" s="246"/>
    </row>
    <row r="49" spans="2:4" ht="15">
      <c r="B49" s="246"/>
      <c r="C49" s="246"/>
      <c r="D49" s="246"/>
    </row>
    <row r="50" spans="2:4" ht="15">
      <c r="B50" s="246"/>
      <c r="C50" s="246"/>
      <c r="D50" s="246"/>
    </row>
    <row r="51" spans="2:4" ht="15">
      <c r="B51" s="246"/>
      <c r="C51" s="246"/>
      <c r="D51" s="246"/>
    </row>
    <row r="52" spans="2:4" ht="15">
      <c r="B52" s="246"/>
      <c r="C52" s="246"/>
      <c r="D52" s="246"/>
    </row>
    <row r="53" spans="2:4" ht="15">
      <c r="B53" s="246"/>
      <c r="C53" s="246"/>
      <c r="D53" s="246"/>
    </row>
    <row r="54" spans="2:4" ht="15">
      <c r="B54" s="246"/>
      <c r="C54" s="246"/>
      <c r="D54" s="246"/>
    </row>
    <row r="55" spans="2:4" ht="15">
      <c r="B55" s="246"/>
      <c r="C55" s="246"/>
      <c r="D55" s="246"/>
    </row>
  </sheetData>
  <sheetProtection/>
  <mergeCells count="11">
    <mergeCell ref="H3:J3"/>
    <mergeCell ref="H4:H5"/>
    <mergeCell ref="I4:J4"/>
    <mergeCell ref="A1:J1"/>
    <mergeCell ref="F4:G4"/>
    <mergeCell ref="E3:G3"/>
    <mergeCell ref="A3:A5"/>
    <mergeCell ref="C4:D4"/>
    <mergeCell ref="B4:B5"/>
    <mergeCell ref="B3:D3"/>
    <mergeCell ref="E4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  <headerFooter alignWithMargins="0">
    <oddHeader>&amp;L 16. melléklet a 18/2014.(IX.1.) önkormányzati rendelethez
"16. melléklet az 1/2014.(I.31.) önkormányzati rendelethez"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view="pageLayout" zoomScaleSheetLayoutView="100" workbookViewId="0" topLeftCell="A1">
      <selection activeCell="B7" sqref="B7"/>
    </sheetView>
  </sheetViews>
  <sheetFormatPr defaultColWidth="9.00390625" defaultRowHeight="12.75"/>
  <cols>
    <col min="1" max="1" width="10.875" style="252" customWidth="1"/>
    <col min="2" max="2" width="77.00390625" style="260" customWidth="1"/>
    <col min="3" max="3" width="17.625" style="252" customWidth="1"/>
    <col min="4" max="4" width="7.625" style="256" customWidth="1"/>
    <col min="5" max="5" width="13.875" style="262" customWidth="1"/>
    <col min="6" max="6" width="15.75390625" style="258" customWidth="1"/>
    <col min="7" max="7" width="13.125" style="252" customWidth="1"/>
    <col min="8" max="8" width="12.25390625" style="252" customWidth="1"/>
    <col min="9" max="9" width="11.625" style="252" customWidth="1"/>
    <col min="10" max="16384" width="9.125" style="252" customWidth="1"/>
  </cols>
  <sheetData>
    <row r="1" spans="1:9" ht="15.75">
      <c r="A1" s="1151" t="s">
        <v>75</v>
      </c>
      <c r="B1" s="1151"/>
      <c r="C1" s="1151"/>
      <c r="D1" s="1151"/>
      <c r="E1" s="1151"/>
      <c r="F1" s="1151"/>
      <c r="G1" s="1151"/>
      <c r="H1" s="1152"/>
      <c r="I1" s="1152"/>
    </row>
    <row r="2" spans="1:9" ht="15.75">
      <c r="A2" s="1153" t="s">
        <v>76</v>
      </c>
      <c r="B2" s="1153"/>
      <c r="C2" s="1153"/>
      <c r="D2" s="1153"/>
      <c r="E2" s="1153"/>
      <c r="F2" s="1153"/>
      <c r="G2" s="1153"/>
      <c r="H2" s="1152"/>
      <c r="I2" s="1152"/>
    </row>
    <row r="3" spans="1:7" ht="15.75">
      <c r="A3" s="1153"/>
      <c r="B3" s="1153"/>
      <c r="C3" s="1153"/>
      <c r="D3" s="1153"/>
      <c r="E3" s="1153"/>
      <c r="F3" s="1153"/>
      <c r="G3" s="1153"/>
    </row>
    <row r="4" spans="2:6" ht="16.5" thickBot="1">
      <c r="B4" s="253"/>
      <c r="C4" s="251"/>
      <c r="D4" s="254"/>
      <c r="E4" s="255"/>
      <c r="F4" s="842"/>
    </row>
    <row r="5" spans="1:9" ht="16.5" customHeight="1">
      <c r="A5" s="1156" t="s">
        <v>288</v>
      </c>
      <c r="B5" s="1158" t="s">
        <v>289</v>
      </c>
      <c r="C5" s="1160" t="s">
        <v>290</v>
      </c>
      <c r="D5" s="1160"/>
      <c r="E5" s="1160"/>
      <c r="F5" s="1160"/>
      <c r="G5" s="1154" t="s">
        <v>768</v>
      </c>
      <c r="H5" s="1154" t="s">
        <v>943</v>
      </c>
      <c r="I5" s="1149" t="s">
        <v>942</v>
      </c>
    </row>
    <row r="6" spans="1:9" ht="51.75" customHeight="1" thickBot="1">
      <c r="A6" s="1157"/>
      <c r="B6" s="1159"/>
      <c r="C6" s="1161" t="s">
        <v>291</v>
      </c>
      <c r="D6" s="1161"/>
      <c r="E6" s="843" t="s">
        <v>292</v>
      </c>
      <c r="F6" s="843" t="s">
        <v>293</v>
      </c>
      <c r="G6" s="1155"/>
      <c r="H6" s="1155"/>
      <c r="I6" s="1150"/>
    </row>
    <row r="7" spans="1:9" ht="20.25" customHeight="1" thickTop="1">
      <c r="A7" s="717" t="s">
        <v>294</v>
      </c>
      <c r="B7" s="844" t="s">
        <v>295</v>
      </c>
      <c r="C7" s="845"/>
      <c r="D7" s="845"/>
      <c r="E7" s="845"/>
      <c r="F7" s="845"/>
      <c r="G7" s="371"/>
      <c r="H7" s="371"/>
      <c r="I7" s="846"/>
    </row>
    <row r="8" spans="1:9" ht="15.75">
      <c r="A8" s="718" t="s">
        <v>296</v>
      </c>
      <c r="B8" s="734" t="s">
        <v>297</v>
      </c>
      <c r="C8" s="349">
        <v>58.77</v>
      </c>
      <c r="D8" s="350" t="s">
        <v>298</v>
      </c>
      <c r="E8" s="351">
        <v>4580000</v>
      </c>
      <c r="F8" s="735">
        <f>C8*E8</f>
        <v>269166600</v>
      </c>
      <c r="G8" s="735">
        <v>269166</v>
      </c>
      <c r="H8" s="735">
        <v>269166</v>
      </c>
      <c r="I8" s="855">
        <v>269166</v>
      </c>
    </row>
    <row r="9" spans="1:9" ht="15.75">
      <c r="A9" s="719" t="s">
        <v>299</v>
      </c>
      <c r="B9" s="736" t="s">
        <v>300</v>
      </c>
      <c r="C9" s="349"/>
      <c r="D9" s="350"/>
      <c r="E9" s="351"/>
      <c r="F9" s="351"/>
      <c r="G9" s="351"/>
      <c r="H9" s="351"/>
      <c r="I9" s="850"/>
    </row>
    <row r="10" spans="1:9" ht="15.75">
      <c r="A10" s="720" t="s">
        <v>301</v>
      </c>
      <c r="B10" s="737" t="s">
        <v>302</v>
      </c>
      <c r="C10" s="352">
        <v>1698.6</v>
      </c>
      <c r="D10" s="350" t="s">
        <v>303</v>
      </c>
      <c r="E10" s="351">
        <v>22300</v>
      </c>
      <c r="F10" s="357">
        <f>C10*E10</f>
        <v>37878780</v>
      </c>
      <c r="G10" s="357">
        <v>37879</v>
      </c>
      <c r="H10" s="357">
        <v>37879</v>
      </c>
      <c r="I10" s="850">
        <v>37879</v>
      </c>
    </row>
    <row r="11" spans="1:9" s="847" customFormat="1" ht="15.75">
      <c r="A11" s="720" t="s">
        <v>304</v>
      </c>
      <c r="B11" s="738" t="s">
        <v>305</v>
      </c>
      <c r="C11" s="353"/>
      <c r="D11" s="354" t="s">
        <v>306</v>
      </c>
      <c r="E11" s="355"/>
      <c r="F11" s="357">
        <v>76483200</v>
      </c>
      <c r="G11" s="357">
        <v>76483</v>
      </c>
      <c r="H11" s="357">
        <v>76483</v>
      </c>
      <c r="I11" s="851">
        <v>76483</v>
      </c>
    </row>
    <row r="12" spans="1:9" s="848" customFormat="1" ht="15.75">
      <c r="A12" s="720" t="s">
        <v>307</v>
      </c>
      <c r="B12" s="739" t="s">
        <v>308</v>
      </c>
      <c r="C12" s="356"/>
      <c r="D12" s="354" t="s">
        <v>306</v>
      </c>
      <c r="E12" s="357"/>
      <c r="F12" s="357">
        <v>13458016</v>
      </c>
      <c r="G12" s="357">
        <v>13458</v>
      </c>
      <c r="H12" s="357">
        <v>13458</v>
      </c>
      <c r="I12" s="852">
        <v>13458</v>
      </c>
    </row>
    <row r="13" spans="1:9" ht="15.75">
      <c r="A13" s="720" t="s">
        <v>309</v>
      </c>
      <c r="B13" s="739" t="s">
        <v>310</v>
      </c>
      <c r="C13" s="356"/>
      <c r="D13" s="354" t="s">
        <v>306</v>
      </c>
      <c r="E13" s="358"/>
      <c r="F13" s="357">
        <v>30149000</v>
      </c>
      <c r="G13" s="357">
        <v>30149</v>
      </c>
      <c r="H13" s="357">
        <v>30149</v>
      </c>
      <c r="I13" s="850">
        <v>30149</v>
      </c>
    </row>
    <row r="14" spans="1:9" ht="15.75">
      <c r="A14" s="721" t="s">
        <v>299</v>
      </c>
      <c r="B14" s="734" t="s">
        <v>311</v>
      </c>
      <c r="C14" s="359"/>
      <c r="D14" s="354"/>
      <c r="E14" s="360"/>
      <c r="F14" s="735">
        <f>SUM(F10:F13)</f>
        <v>157968996</v>
      </c>
      <c r="G14" s="735">
        <f>SUM(G10:G13)</f>
        <v>157969</v>
      </c>
      <c r="H14" s="735">
        <f>SUM(H10:H13)</f>
        <v>157969</v>
      </c>
      <c r="I14" s="855">
        <f>SUM(I10:I13)</f>
        <v>157969</v>
      </c>
    </row>
    <row r="15" spans="1:9" ht="15.75">
      <c r="A15" s="721" t="s">
        <v>312</v>
      </c>
      <c r="B15" s="736" t="s">
        <v>313</v>
      </c>
      <c r="C15" s="351">
        <v>23733</v>
      </c>
      <c r="D15" s="361" t="s">
        <v>298</v>
      </c>
      <c r="E15" s="358">
        <v>2700</v>
      </c>
      <c r="F15" s="735">
        <f>C15*E15</f>
        <v>64079100</v>
      </c>
      <c r="G15" s="735">
        <v>64079</v>
      </c>
      <c r="H15" s="735">
        <v>64079</v>
      </c>
      <c r="I15" s="854">
        <v>64079</v>
      </c>
    </row>
    <row r="16" spans="1:9" ht="15" customHeight="1">
      <c r="A16" s="722" t="s">
        <v>314</v>
      </c>
      <c r="B16" s="740" t="s">
        <v>315</v>
      </c>
      <c r="C16" s="362"/>
      <c r="D16" s="363"/>
      <c r="E16" s="364"/>
      <c r="F16" s="741">
        <f>F8+F14+F15</f>
        <v>491214696</v>
      </c>
      <c r="G16" s="741">
        <f>G8+G14+G15</f>
        <v>491214</v>
      </c>
      <c r="H16" s="741">
        <f>H8+H14+H15</f>
        <v>491214</v>
      </c>
      <c r="I16" s="856">
        <f>I8+I14+I15</f>
        <v>491214</v>
      </c>
    </row>
    <row r="17" spans="1:9" ht="15" customHeight="1">
      <c r="A17" s="722" t="s">
        <v>316</v>
      </c>
      <c r="B17" s="740" t="s">
        <v>317</v>
      </c>
      <c r="C17" s="362">
        <v>317</v>
      </c>
      <c r="D17" s="363" t="s">
        <v>318</v>
      </c>
      <c r="E17" s="364" t="s">
        <v>319</v>
      </c>
      <c r="F17" s="741">
        <f>C17*100</f>
        <v>31700</v>
      </c>
      <c r="G17" s="741">
        <v>32</v>
      </c>
      <c r="H17" s="741">
        <v>32</v>
      </c>
      <c r="I17" s="854">
        <v>32</v>
      </c>
    </row>
    <row r="18" spans="1:9" ht="15" customHeight="1">
      <c r="A18" s="722" t="s">
        <v>294</v>
      </c>
      <c r="B18" s="740"/>
      <c r="C18" s="362"/>
      <c r="D18" s="363"/>
      <c r="E18" s="364"/>
      <c r="F18" s="741">
        <f>SUM(F16:F17)</f>
        <v>491246396</v>
      </c>
      <c r="G18" s="741">
        <f>SUM(G16:G17)</f>
        <v>491246</v>
      </c>
      <c r="H18" s="741">
        <f>SUM(H16:H17)</f>
        <v>491246</v>
      </c>
      <c r="I18" s="856">
        <f>SUM(I16:I17)</f>
        <v>491246</v>
      </c>
    </row>
    <row r="19" spans="1:9" ht="30" customHeight="1">
      <c r="A19" s="721" t="s">
        <v>320</v>
      </c>
      <c r="B19" s="742" t="s">
        <v>321</v>
      </c>
      <c r="C19" s="365"/>
      <c r="D19" s="361"/>
      <c r="E19" s="358"/>
      <c r="F19" s="735"/>
      <c r="G19" s="735"/>
      <c r="H19" s="735"/>
      <c r="I19" s="850"/>
    </row>
    <row r="20" spans="1:9" ht="15.75" customHeight="1">
      <c r="A20" s="721"/>
      <c r="B20" s="742" t="s">
        <v>322</v>
      </c>
      <c r="C20" s="366">
        <v>54.1</v>
      </c>
      <c r="D20" s="361" t="s">
        <v>298</v>
      </c>
      <c r="E20" s="358">
        <v>4012000</v>
      </c>
      <c r="F20" s="351">
        <f>C20*E20*8/12</f>
        <v>144699466.66666666</v>
      </c>
      <c r="G20" s="351">
        <v>144700</v>
      </c>
      <c r="H20" s="351">
        <v>144700</v>
      </c>
      <c r="I20" s="850">
        <v>149247</v>
      </c>
    </row>
    <row r="21" spans="1:9" ht="15.75" customHeight="1">
      <c r="A21" s="721"/>
      <c r="B21" s="742" t="s">
        <v>323</v>
      </c>
      <c r="C21" s="366">
        <v>53.5</v>
      </c>
      <c r="D21" s="361" t="s">
        <v>298</v>
      </c>
      <c r="E21" s="358">
        <v>4012000</v>
      </c>
      <c r="F21" s="351">
        <f>C21*E21*4/12</f>
        <v>71547333.33333333</v>
      </c>
      <c r="G21" s="351">
        <v>71547</v>
      </c>
      <c r="H21" s="351">
        <v>71547</v>
      </c>
      <c r="I21" s="850">
        <v>70343</v>
      </c>
    </row>
    <row r="22" spans="1:9" ht="15.75" customHeight="1">
      <c r="A22" s="721"/>
      <c r="B22" s="742" t="s">
        <v>324</v>
      </c>
      <c r="C22" s="366">
        <v>53.5</v>
      </c>
      <c r="D22" s="361" t="s">
        <v>298</v>
      </c>
      <c r="E22" s="358">
        <v>34400</v>
      </c>
      <c r="F22" s="351">
        <f>C22*E22</f>
        <v>1840400</v>
      </c>
      <c r="G22" s="351">
        <v>1840</v>
      </c>
      <c r="H22" s="351">
        <v>1840</v>
      </c>
      <c r="I22" s="850">
        <v>1809</v>
      </c>
    </row>
    <row r="23" spans="1:9" ht="15.75" customHeight="1">
      <c r="A23" s="721"/>
      <c r="B23" s="742" t="s">
        <v>325</v>
      </c>
      <c r="C23" s="366">
        <v>33</v>
      </c>
      <c r="D23" s="361" t="s">
        <v>298</v>
      </c>
      <c r="E23" s="358">
        <v>1800000</v>
      </c>
      <c r="F23" s="351">
        <f>C23*E23*8/12</f>
        <v>39600000</v>
      </c>
      <c r="G23" s="351">
        <v>39600</v>
      </c>
      <c r="H23" s="351">
        <v>39600</v>
      </c>
      <c r="I23" s="850">
        <v>38760</v>
      </c>
    </row>
    <row r="24" spans="1:9" ht="15.75" customHeight="1">
      <c r="A24" s="721"/>
      <c r="B24" s="742" t="s">
        <v>326</v>
      </c>
      <c r="C24" s="366">
        <v>33</v>
      </c>
      <c r="D24" s="361" t="s">
        <v>298</v>
      </c>
      <c r="E24" s="358">
        <v>1800000</v>
      </c>
      <c r="F24" s="351">
        <f>C24*E24*4/12</f>
        <v>19800000</v>
      </c>
      <c r="G24" s="351">
        <v>19800</v>
      </c>
      <c r="H24" s="351">
        <v>19800</v>
      </c>
      <c r="I24" s="850">
        <v>20400</v>
      </c>
    </row>
    <row r="25" spans="1:9" ht="28.5" customHeight="1">
      <c r="A25" s="722" t="s">
        <v>320</v>
      </c>
      <c r="B25" s="743" t="s">
        <v>327</v>
      </c>
      <c r="C25" s="365"/>
      <c r="D25" s="361"/>
      <c r="E25" s="358"/>
      <c r="F25" s="741">
        <f>SUM(F20:F24)</f>
        <v>277487200</v>
      </c>
      <c r="G25" s="741">
        <f>SUM(G20:G24)</f>
        <v>277487</v>
      </c>
      <c r="H25" s="741">
        <f>SUM(H20:H24)</f>
        <v>277487</v>
      </c>
      <c r="I25" s="856">
        <f>SUM(I20:I24)</f>
        <v>280559</v>
      </c>
    </row>
    <row r="26" spans="1:9" ht="15.75">
      <c r="A26" s="721" t="s">
        <v>328</v>
      </c>
      <c r="B26" s="736" t="s">
        <v>329</v>
      </c>
      <c r="C26" s="367"/>
      <c r="D26" s="361"/>
      <c r="E26" s="358"/>
      <c r="F26" s="735"/>
      <c r="G26" s="735"/>
      <c r="H26" s="735"/>
      <c r="I26" s="850"/>
    </row>
    <row r="27" spans="1:9" ht="15.75">
      <c r="A27" s="721"/>
      <c r="B27" s="736" t="s">
        <v>330</v>
      </c>
      <c r="C27" s="367">
        <v>6</v>
      </c>
      <c r="D27" s="361" t="s">
        <v>298</v>
      </c>
      <c r="E27" s="358">
        <v>56000</v>
      </c>
      <c r="F27" s="351">
        <f>C27*E27*8/12</f>
        <v>224000</v>
      </c>
      <c r="G27" s="351">
        <v>224</v>
      </c>
      <c r="H27" s="351">
        <v>224</v>
      </c>
      <c r="I27" s="850">
        <v>224</v>
      </c>
    </row>
    <row r="28" spans="1:9" ht="15.75">
      <c r="A28" s="721"/>
      <c r="B28" s="736" t="s">
        <v>331</v>
      </c>
      <c r="C28" s="367">
        <v>586</v>
      </c>
      <c r="D28" s="361"/>
      <c r="E28" s="358">
        <v>56000</v>
      </c>
      <c r="F28" s="351">
        <f>C28*E28*8/12</f>
        <v>21877333.333333332</v>
      </c>
      <c r="G28" s="351">
        <v>21877</v>
      </c>
      <c r="H28" s="351">
        <v>21877</v>
      </c>
      <c r="I28" s="850">
        <v>22586</v>
      </c>
    </row>
    <row r="29" spans="1:9" ht="15.75">
      <c r="A29" s="721"/>
      <c r="B29" s="736" t="s">
        <v>332</v>
      </c>
      <c r="C29" s="367">
        <v>589</v>
      </c>
      <c r="D29" s="361" t="s">
        <v>298</v>
      </c>
      <c r="E29" s="358">
        <v>56000</v>
      </c>
      <c r="F29" s="351">
        <f>C29*E29*4/12</f>
        <v>10994666.666666666</v>
      </c>
      <c r="G29" s="351">
        <v>10995</v>
      </c>
      <c r="H29" s="351">
        <v>10995</v>
      </c>
      <c r="I29" s="850">
        <v>10995</v>
      </c>
    </row>
    <row r="30" spans="1:9" ht="15.75">
      <c r="A30" s="722" t="s">
        <v>328</v>
      </c>
      <c r="B30" s="369" t="s">
        <v>333</v>
      </c>
      <c r="C30" s="367"/>
      <c r="D30" s="361"/>
      <c r="E30" s="358"/>
      <c r="F30" s="741">
        <f>SUM(F27:F29)</f>
        <v>33096000</v>
      </c>
      <c r="G30" s="741">
        <f>SUM(G27:G29)</f>
        <v>33096</v>
      </c>
      <c r="H30" s="741">
        <f>SUM(H27:H29)</f>
        <v>33096</v>
      </c>
      <c r="I30" s="856">
        <f>SUM(I27:I29)</f>
        <v>33805</v>
      </c>
    </row>
    <row r="31" spans="1:9" ht="18" customHeight="1">
      <c r="A31" s="722" t="s">
        <v>334</v>
      </c>
      <c r="B31" s="743" t="s">
        <v>335</v>
      </c>
      <c r="C31" s="367"/>
      <c r="D31" s="361"/>
      <c r="E31" s="358"/>
      <c r="F31" s="741">
        <f>F25+F30</f>
        <v>310583200</v>
      </c>
      <c r="G31" s="741">
        <f>G25+G30</f>
        <v>310583</v>
      </c>
      <c r="H31" s="741">
        <f>H25+H30</f>
        <v>310583</v>
      </c>
      <c r="I31" s="856">
        <f>I25+I30</f>
        <v>314364</v>
      </c>
    </row>
    <row r="32" spans="1:9" ht="18" customHeight="1">
      <c r="A32" s="722" t="s">
        <v>336</v>
      </c>
      <c r="B32" s="743" t="s">
        <v>337</v>
      </c>
      <c r="C32" s="367"/>
      <c r="D32" s="361"/>
      <c r="E32" s="358"/>
      <c r="F32" s="741">
        <v>92850000</v>
      </c>
      <c r="G32" s="741">
        <v>92850</v>
      </c>
      <c r="H32" s="741">
        <v>92850</v>
      </c>
      <c r="I32" s="854">
        <v>92850</v>
      </c>
    </row>
    <row r="33" spans="1:9" ht="15.75" customHeight="1">
      <c r="A33" s="722" t="s">
        <v>338</v>
      </c>
      <c r="B33" s="743" t="s">
        <v>339</v>
      </c>
      <c r="C33" s="367"/>
      <c r="D33" s="361"/>
      <c r="E33" s="358"/>
      <c r="F33" s="741">
        <v>49054837</v>
      </c>
      <c r="G33" s="741">
        <v>49055</v>
      </c>
      <c r="H33" s="741">
        <v>49055</v>
      </c>
      <c r="I33" s="854">
        <v>49055</v>
      </c>
    </row>
    <row r="34" spans="1:9" ht="15.75">
      <c r="A34" s="723" t="s">
        <v>340</v>
      </c>
      <c r="B34" s="744" t="s">
        <v>341</v>
      </c>
      <c r="C34" s="367"/>
      <c r="D34" s="361"/>
      <c r="E34" s="358"/>
      <c r="F34" s="351"/>
      <c r="G34" s="351"/>
      <c r="H34" s="351"/>
      <c r="I34" s="850"/>
    </row>
    <row r="35" spans="1:9" ht="15.75">
      <c r="A35" s="723" t="s">
        <v>342</v>
      </c>
      <c r="B35" s="736" t="s">
        <v>368</v>
      </c>
      <c r="C35" s="368">
        <v>7.831</v>
      </c>
      <c r="D35" s="361" t="s">
        <v>298</v>
      </c>
      <c r="E35" s="358">
        <v>3950000</v>
      </c>
      <c r="F35" s="351">
        <f>C35*3950000</f>
        <v>30932450</v>
      </c>
      <c r="G35" s="351">
        <v>30932</v>
      </c>
      <c r="H35" s="351">
        <v>30932</v>
      </c>
      <c r="I35" s="850">
        <v>30932</v>
      </c>
    </row>
    <row r="36" spans="1:9" ht="15.75">
      <c r="A36" s="723"/>
      <c r="B36" s="369" t="s">
        <v>369</v>
      </c>
      <c r="C36" s="358">
        <v>39155</v>
      </c>
      <c r="D36" s="361" t="s">
        <v>298</v>
      </c>
      <c r="E36" s="358">
        <v>300</v>
      </c>
      <c r="F36" s="351">
        <f>C36*E36</f>
        <v>11746500</v>
      </c>
      <c r="G36" s="351">
        <v>11747</v>
      </c>
      <c r="H36" s="351">
        <v>11747</v>
      </c>
      <c r="I36" s="850">
        <v>16423</v>
      </c>
    </row>
    <row r="37" spans="1:9" ht="15.75">
      <c r="A37" s="723"/>
      <c r="B37" s="369" t="s">
        <v>940</v>
      </c>
      <c r="C37" s="358">
        <v>6599</v>
      </c>
      <c r="D37" s="361" t="s">
        <v>298</v>
      </c>
      <c r="E37" s="358">
        <v>1200</v>
      </c>
      <c r="F37" s="351">
        <f>C37*E37</f>
        <v>7918800</v>
      </c>
      <c r="G37" s="351">
        <v>7919</v>
      </c>
      <c r="H37" s="351">
        <v>7919</v>
      </c>
      <c r="I37" s="850">
        <v>7919</v>
      </c>
    </row>
    <row r="38" spans="1:9" ht="15.75">
      <c r="A38" s="721" t="s">
        <v>370</v>
      </c>
      <c r="B38" s="736" t="s">
        <v>371</v>
      </c>
      <c r="C38" s="368"/>
      <c r="D38" s="361"/>
      <c r="E38" s="358"/>
      <c r="F38" s="735">
        <f>SUM(F35:F37)</f>
        <v>50597750</v>
      </c>
      <c r="G38" s="735">
        <f>SUM(G35:G37)</f>
        <v>50598</v>
      </c>
      <c r="H38" s="735">
        <f>SUM(H35:H37)</f>
        <v>50598</v>
      </c>
      <c r="I38" s="855">
        <f>SUM(I35:I37)</f>
        <v>55274</v>
      </c>
    </row>
    <row r="39" spans="1:9" ht="15.75">
      <c r="A39" s="721" t="s">
        <v>372</v>
      </c>
      <c r="B39" s="736" t="s">
        <v>373</v>
      </c>
      <c r="C39" s="367">
        <v>80</v>
      </c>
      <c r="D39" s="361" t="s">
        <v>298</v>
      </c>
      <c r="E39" s="358">
        <v>60896</v>
      </c>
      <c r="F39" s="735">
        <f>C39*E39</f>
        <v>4871680</v>
      </c>
      <c r="G39" s="735">
        <v>4872</v>
      </c>
      <c r="H39" s="735">
        <v>4872</v>
      </c>
      <c r="I39" s="854">
        <v>4872</v>
      </c>
    </row>
    <row r="40" spans="1:9" ht="29.25" customHeight="1">
      <c r="A40" s="721" t="s">
        <v>374</v>
      </c>
      <c r="B40" s="742" t="s">
        <v>375</v>
      </c>
      <c r="C40" s="367">
        <v>22</v>
      </c>
      <c r="D40" s="361" t="s">
        <v>298</v>
      </c>
      <c r="E40" s="358">
        <v>145000</v>
      </c>
      <c r="F40" s="735">
        <f>C40*(E40*130%)</f>
        <v>4147000</v>
      </c>
      <c r="G40" s="735">
        <v>4147</v>
      </c>
      <c r="H40" s="735">
        <v>4147</v>
      </c>
      <c r="I40" s="854">
        <v>4147</v>
      </c>
    </row>
    <row r="41" spans="1:9" ht="31.5">
      <c r="A41" s="721" t="s">
        <v>376</v>
      </c>
      <c r="B41" s="742" t="s">
        <v>377</v>
      </c>
      <c r="C41" s="367">
        <v>65</v>
      </c>
      <c r="D41" s="361" t="s">
        <v>298</v>
      </c>
      <c r="E41" s="358">
        <v>109000</v>
      </c>
      <c r="F41" s="735">
        <f>C41*(E41*150%)</f>
        <v>10627500</v>
      </c>
      <c r="G41" s="735">
        <v>10627</v>
      </c>
      <c r="H41" s="735">
        <v>10627</v>
      </c>
      <c r="I41" s="854">
        <v>10627</v>
      </c>
    </row>
    <row r="42" spans="1:9" ht="31.5">
      <c r="A42" s="721" t="s">
        <v>378</v>
      </c>
      <c r="B42" s="742" t="s">
        <v>379</v>
      </c>
      <c r="C42" s="367">
        <v>25</v>
      </c>
      <c r="D42" s="361" t="s">
        <v>298</v>
      </c>
      <c r="E42" s="358">
        <v>500000</v>
      </c>
      <c r="F42" s="735">
        <f>C42*(E42*110%)</f>
        <v>13750000</v>
      </c>
      <c r="G42" s="735">
        <v>13750</v>
      </c>
      <c r="H42" s="735">
        <v>13750</v>
      </c>
      <c r="I42" s="854">
        <v>13750</v>
      </c>
    </row>
    <row r="43" spans="1:9" ht="31.5">
      <c r="A43" s="721" t="s">
        <v>380</v>
      </c>
      <c r="B43" s="742" t="s">
        <v>381</v>
      </c>
      <c r="C43" s="367">
        <v>33</v>
      </c>
      <c r="D43" s="361" t="s">
        <v>298</v>
      </c>
      <c r="E43" s="358">
        <v>206100</v>
      </c>
      <c r="F43" s="735">
        <f>C43*(E43*120%)</f>
        <v>8161560</v>
      </c>
      <c r="G43" s="735">
        <v>8162</v>
      </c>
      <c r="H43" s="735">
        <v>8162</v>
      </c>
      <c r="I43" s="854">
        <v>8162</v>
      </c>
    </row>
    <row r="44" spans="1:9" ht="15.75">
      <c r="A44" s="722" t="s">
        <v>382</v>
      </c>
      <c r="B44" s="369" t="s">
        <v>383</v>
      </c>
      <c r="C44" s="367"/>
      <c r="D44" s="361"/>
      <c r="E44" s="358"/>
      <c r="F44" s="741"/>
      <c r="G44" s="741"/>
      <c r="H44" s="741"/>
      <c r="I44" s="850"/>
    </row>
    <row r="45" spans="1:9" ht="15.75">
      <c r="A45" s="720" t="s">
        <v>384</v>
      </c>
      <c r="B45" s="744" t="s">
        <v>385</v>
      </c>
      <c r="C45" s="367">
        <v>61</v>
      </c>
      <c r="D45" s="361" t="s">
        <v>298</v>
      </c>
      <c r="E45" s="358">
        <v>494100</v>
      </c>
      <c r="F45" s="351">
        <f>C45*E45</f>
        <v>30140100</v>
      </c>
      <c r="G45" s="351">
        <v>30140</v>
      </c>
      <c r="H45" s="351">
        <v>30140</v>
      </c>
      <c r="I45" s="852">
        <v>29861</v>
      </c>
    </row>
    <row r="46" spans="1:9" ht="31.5">
      <c r="A46" s="720" t="s">
        <v>384</v>
      </c>
      <c r="B46" s="742" t="s">
        <v>386</v>
      </c>
      <c r="C46" s="367">
        <v>8</v>
      </c>
      <c r="D46" s="361" t="s">
        <v>298</v>
      </c>
      <c r="E46" s="358">
        <v>518805</v>
      </c>
      <c r="F46" s="351">
        <f>C46*E46</f>
        <v>4150440</v>
      </c>
      <c r="G46" s="351">
        <v>4150</v>
      </c>
      <c r="H46" s="351">
        <v>4150</v>
      </c>
      <c r="I46" s="852">
        <v>2075</v>
      </c>
    </row>
    <row r="47" spans="1:9" ht="31.5">
      <c r="A47" s="720" t="s">
        <v>384</v>
      </c>
      <c r="B47" s="742" t="s">
        <v>387</v>
      </c>
      <c r="C47" s="367">
        <v>6</v>
      </c>
      <c r="D47" s="361" t="s">
        <v>298</v>
      </c>
      <c r="E47" s="358">
        <v>543510</v>
      </c>
      <c r="F47" s="351">
        <f>C47*E47</f>
        <v>3261060</v>
      </c>
      <c r="G47" s="351">
        <v>3261</v>
      </c>
      <c r="H47" s="351">
        <v>3261</v>
      </c>
      <c r="I47" s="852">
        <v>2174</v>
      </c>
    </row>
    <row r="48" spans="1:9" ht="15.75">
      <c r="A48" s="720" t="s">
        <v>384</v>
      </c>
      <c r="B48" s="744" t="s">
        <v>388</v>
      </c>
      <c r="C48" s="367">
        <v>4</v>
      </c>
      <c r="D48" s="361" t="s">
        <v>298</v>
      </c>
      <c r="E48" s="358">
        <v>741150</v>
      </c>
      <c r="F48" s="351">
        <f>C48*E48</f>
        <v>2964600</v>
      </c>
      <c r="G48" s="351">
        <v>2965</v>
      </c>
      <c r="H48" s="351">
        <v>2965</v>
      </c>
      <c r="I48" s="850">
        <v>2965</v>
      </c>
    </row>
    <row r="49" spans="1:9" ht="15.75">
      <c r="A49" s="722" t="s">
        <v>382</v>
      </c>
      <c r="B49" s="369" t="s">
        <v>389</v>
      </c>
      <c r="C49" s="367"/>
      <c r="D49" s="361"/>
      <c r="E49" s="358"/>
      <c r="F49" s="741">
        <f>SUM(F45:F48)</f>
        <v>40516200</v>
      </c>
      <c r="G49" s="741">
        <f>SUM(G45:G48)</f>
        <v>40516</v>
      </c>
      <c r="H49" s="741">
        <f>SUM(H45:H48)</f>
        <v>40516</v>
      </c>
      <c r="I49" s="856">
        <f>SUM(I45:I48)</f>
        <v>37075</v>
      </c>
    </row>
    <row r="50" spans="1:9" ht="31.5">
      <c r="A50" s="721" t="s">
        <v>390</v>
      </c>
      <c r="B50" s="742" t="s">
        <v>391</v>
      </c>
      <c r="C50" s="367">
        <v>32</v>
      </c>
      <c r="D50" s="361" t="s">
        <v>392</v>
      </c>
      <c r="E50" s="358">
        <v>468350</v>
      </c>
      <c r="F50" s="735">
        <f>C50*(E50*110%)</f>
        <v>16485920.000000002</v>
      </c>
      <c r="G50" s="735">
        <v>16486</v>
      </c>
      <c r="H50" s="735">
        <v>16486</v>
      </c>
      <c r="I50" s="854">
        <v>16486</v>
      </c>
    </row>
    <row r="51" spans="1:9" ht="18.75" customHeight="1">
      <c r="A51" s="722" t="s">
        <v>340</v>
      </c>
      <c r="B51" s="369" t="s">
        <v>393</v>
      </c>
      <c r="C51" s="367"/>
      <c r="D51" s="361"/>
      <c r="E51" s="358"/>
      <c r="F51" s="741">
        <f>F38+F39+F40+F41+F42+F43+F49+F50</f>
        <v>149157610</v>
      </c>
      <c r="G51" s="741">
        <f>G38+G39+G40+G41+G42+G43+G49+G50</f>
        <v>149158</v>
      </c>
      <c r="H51" s="741">
        <f>H38+H39+H40+H41+H42+H43+H49+H50</f>
        <v>149158</v>
      </c>
      <c r="I51" s="856">
        <f>I38+I39+I40+I41+I42+I43+I49+I50</f>
        <v>150393</v>
      </c>
    </row>
    <row r="52" spans="1:9" ht="18" customHeight="1">
      <c r="A52" s="724" t="s">
        <v>394</v>
      </c>
      <c r="B52" s="369" t="s">
        <v>395</v>
      </c>
      <c r="C52" s="351">
        <v>42</v>
      </c>
      <c r="D52" s="361" t="s">
        <v>298</v>
      </c>
      <c r="E52" s="358">
        <v>2606040</v>
      </c>
      <c r="F52" s="741">
        <f>C52*E52</f>
        <v>109453680</v>
      </c>
      <c r="G52" s="741">
        <v>109454</v>
      </c>
      <c r="H52" s="741">
        <v>109454</v>
      </c>
      <c r="I52" s="854">
        <v>114514</v>
      </c>
    </row>
    <row r="53" spans="1:9" ht="18" customHeight="1">
      <c r="A53" s="724" t="s">
        <v>394</v>
      </c>
      <c r="B53" s="369" t="s">
        <v>396</v>
      </c>
      <c r="C53" s="351"/>
      <c r="D53" s="361"/>
      <c r="E53" s="370"/>
      <c r="F53" s="741">
        <v>47306000</v>
      </c>
      <c r="G53" s="741">
        <v>47306</v>
      </c>
      <c r="H53" s="741">
        <v>47306</v>
      </c>
      <c r="I53" s="854">
        <v>47306</v>
      </c>
    </row>
    <row r="54" spans="1:9" ht="18" customHeight="1">
      <c r="A54" s="722" t="s">
        <v>397</v>
      </c>
      <c r="B54" s="369" t="s">
        <v>398</v>
      </c>
      <c r="C54" s="351"/>
      <c r="D54" s="361"/>
      <c r="E54" s="370"/>
      <c r="F54" s="741">
        <f>SUM(F52:F53)</f>
        <v>156759680</v>
      </c>
      <c r="G54" s="741">
        <v>156760</v>
      </c>
      <c r="H54" s="741">
        <v>156760</v>
      </c>
      <c r="I54" s="854">
        <v>161820</v>
      </c>
    </row>
    <row r="55" spans="1:9" ht="16.5" customHeight="1">
      <c r="A55" s="721" t="s">
        <v>399</v>
      </c>
      <c r="B55" s="734" t="s">
        <v>400</v>
      </c>
      <c r="C55" s="367"/>
      <c r="D55" s="361"/>
      <c r="E55" s="358"/>
      <c r="F55" s="735"/>
      <c r="G55" s="735"/>
      <c r="H55" s="735"/>
      <c r="I55" s="850"/>
    </row>
    <row r="56" spans="1:9" ht="16.5" customHeight="1">
      <c r="A56" s="720" t="s">
        <v>401</v>
      </c>
      <c r="B56" s="742" t="s">
        <v>402</v>
      </c>
      <c r="C56" s="367">
        <v>43.22</v>
      </c>
      <c r="D56" s="361" t="s">
        <v>403</v>
      </c>
      <c r="E56" s="358">
        <v>1632000</v>
      </c>
      <c r="F56" s="351">
        <f>C56*E56</f>
        <v>70535040</v>
      </c>
      <c r="G56" s="351">
        <v>70535</v>
      </c>
      <c r="H56" s="351">
        <v>70535</v>
      </c>
      <c r="I56" s="850">
        <v>60417</v>
      </c>
    </row>
    <row r="57" spans="1:9" ht="17.25" customHeight="1">
      <c r="A57" s="720" t="s">
        <v>404</v>
      </c>
      <c r="B57" s="736" t="s">
        <v>405</v>
      </c>
      <c r="C57" s="371">
        <v>0</v>
      </c>
      <c r="D57" s="361"/>
      <c r="E57" s="358"/>
      <c r="F57" s="351">
        <v>0</v>
      </c>
      <c r="G57" s="351">
        <v>0</v>
      </c>
      <c r="H57" s="351">
        <v>34656</v>
      </c>
      <c r="I57" s="850">
        <v>34656</v>
      </c>
    </row>
    <row r="58" spans="1:9" ht="30.75" customHeight="1">
      <c r="A58" s="722" t="s">
        <v>399</v>
      </c>
      <c r="B58" s="369" t="s">
        <v>406</v>
      </c>
      <c r="C58" s="371"/>
      <c r="D58" s="361"/>
      <c r="E58" s="358"/>
      <c r="F58" s="741">
        <f>SUM(F56:F57)</f>
        <v>70535040</v>
      </c>
      <c r="G58" s="741">
        <f>SUM(G56:G57)</f>
        <v>70535</v>
      </c>
      <c r="H58" s="741">
        <f>SUM(H56:H57)</f>
        <v>105191</v>
      </c>
      <c r="I58" s="856">
        <f>SUM(I56:I57)</f>
        <v>95073</v>
      </c>
    </row>
    <row r="59" spans="1:9" ht="30.75" customHeight="1">
      <c r="A59" s="725" t="s">
        <v>409</v>
      </c>
      <c r="B59" s="743" t="s">
        <v>410</v>
      </c>
      <c r="C59" s="367"/>
      <c r="D59" s="361"/>
      <c r="E59" s="358"/>
      <c r="F59" s="741">
        <f>F32+F33+F51+F54+F58</f>
        <v>518357167</v>
      </c>
      <c r="G59" s="741">
        <f>G32+G33+G51+G54+G58</f>
        <v>518358</v>
      </c>
      <c r="H59" s="741">
        <f>H32+H33+H51+H54+H58</f>
        <v>553014</v>
      </c>
      <c r="I59" s="856">
        <f>I32+I33+I51+I54+I58</f>
        <v>549191</v>
      </c>
    </row>
    <row r="60" spans="1:9" ht="15.75" customHeight="1">
      <c r="A60" s="722" t="s">
        <v>411</v>
      </c>
      <c r="B60" s="742" t="s">
        <v>412</v>
      </c>
      <c r="C60" s="367"/>
      <c r="D60" s="361"/>
      <c r="E60" s="358"/>
      <c r="F60" s="741"/>
      <c r="G60" s="741"/>
      <c r="H60" s="741"/>
      <c r="I60" s="850"/>
    </row>
    <row r="61" spans="1:9" ht="15.75" customHeight="1">
      <c r="A61" s="721" t="s">
        <v>413</v>
      </c>
      <c r="B61" s="742" t="s">
        <v>414</v>
      </c>
      <c r="C61" s="367"/>
      <c r="D61" s="361"/>
      <c r="E61" s="358"/>
      <c r="F61" s="735">
        <v>88000000</v>
      </c>
      <c r="G61" s="735">
        <v>88000</v>
      </c>
      <c r="H61" s="735">
        <v>88000</v>
      </c>
      <c r="I61" s="850">
        <v>88000</v>
      </c>
    </row>
    <row r="62" spans="1:9" ht="15.75">
      <c r="A62" s="721" t="s">
        <v>415</v>
      </c>
      <c r="B62" s="736" t="s">
        <v>416</v>
      </c>
      <c r="C62" s="358">
        <v>23733</v>
      </c>
      <c r="D62" s="361" t="s">
        <v>298</v>
      </c>
      <c r="E62" s="358">
        <v>1140</v>
      </c>
      <c r="F62" s="735">
        <f>C62*E62</f>
        <v>27055620</v>
      </c>
      <c r="G62" s="735">
        <v>27056</v>
      </c>
      <c r="H62" s="735">
        <v>27056</v>
      </c>
      <c r="I62" s="850">
        <v>27056</v>
      </c>
    </row>
    <row r="63" spans="1:9" ht="17.25" customHeight="1">
      <c r="A63" s="724" t="s">
        <v>417</v>
      </c>
      <c r="B63" s="369" t="s">
        <v>418</v>
      </c>
      <c r="C63" s="367"/>
      <c r="D63" s="361"/>
      <c r="E63" s="358"/>
      <c r="F63" s="741">
        <f>SUM(F61:F62)</f>
        <v>115055620</v>
      </c>
      <c r="G63" s="741">
        <f>SUM(G61:G62)</f>
        <v>115056</v>
      </c>
      <c r="H63" s="741">
        <f>SUM(H61:H62)</f>
        <v>115056</v>
      </c>
      <c r="I63" s="856">
        <f>SUM(I61:I62)</f>
        <v>115056</v>
      </c>
    </row>
    <row r="64" spans="1:9" ht="30" customHeight="1">
      <c r="A64" s="726" t="s">
        <v>419</v>
      </c>
      <c r="B64" s="744" t="s">
        <v>420</v>
      </c>
      <c r="C64" s="367"/>
      <c r="D64" s="361"/>
      <c r="E64" s="358"/>
      <c r="F64" s="741"/>
      <c r="G64" s="741"/>
      <c r="H64" s="741"/>
      <c r="I64" s="850"/>
    </row>
    <row r="65" spans="1:9" ht="15.75">
      <c r="A65" s="720"/>
      <c r="B65" s="744" t="s">
        <v>421</v>
      </c>
      <c r="C65" s="359">
        <v>53815280559</v>
      </c>
      <c r="D65" s="354"/>
      <c r="E65" s="372" t="s">
        <v>422</v>
      </c>
      <c r="F65" s="357">
        <f>C65*E65</f>
        <v>269076402.795</v>
      </c>
      <c r="G65" s="357"/>
      <c r="H65" s="357"/>
      <c r="I65" s="850"/>
    </row>
    <row r="66" spans="1:9" ht="47.25">
      <c r="A66" s="720"/>
      <c r="B66" s="742" t="s">
        <v>423</v>
      </c>
      <c r="C66" s="357">
        <f>F65</f>
        <v>269076402.795</v>
      </c>
      <c r="D66" s="354" t="s">
        <v>424</v>
      </c>
      <c r="E66" s="372" t="s">
        <v>425</v>
      </c>
      <c r="F66" s="357">
        <f>C66*E66</f>
        <v>255622582.65525</v>
      </c>
      <c r="G66" s="357"/>
      <c r="H66" s="357"/>
      <c r="I66" s="850"/>
    </row>
    <row r="67" spans="1:9" ht="31.5">
      <c r="A67" s="722" t="s">
        <v>426</v>
      </c>
      <c r="B67" s="743" t="s">
        <v>806</v>
      </c>
      <c r="C67" s="357"/>
      <c r="D67" s="354"/>
      <c r="E67" s="372"/>
      <c r="F67" s="745">
        <f>-F66</f>
        <v>-255622582.65525</v>
      </c>
      <c r="G67" s="745">
        <v>-255623</v>
      </c>
      <c r="H67" s="745">
        <v>-255623</v>
      </c>
      <c r="I67" s="854">
        <v>-255623</v>
      </c>
    </row>
    <row r="68" spans="1:9" s="849" customFormat="1" ht="17.25" customHeight="1">
      <c r="A68" s="727" t="s">
        <v>244</v>
      </c>
      <c r="B68" s="746" t="s">
        <v>245</v>
      </c>
      <c r="C68" s="478"/>
      <c r="D68" s="479"/>
      <c r="E68" s="480"/>
      <c r="F68" s="373">
        <f>SUM(F18+F31+F59+F63+F67)</f>
        <v>1179619800.34475</v>
      </c>
      <c r="G68" s="373">
        <f>SUM(G18+G31+G59+G63+G67)</f>
        <v>1179620</v>
      </c>
      <c r="H68" s="373">
        <f>SUM(H18+H31+H59+H63+H67)</f>
        <v>1214276</v>
      </c>
      <c r="I68" s="857">
        <f>SUM(I18+I31+I59+I63+I67)</f>
        <v>1214234</v>
      </c>
    </row>
    <row r="69" spans="1:9" s="849" customFormat="1" ht="15.75" customHeight="1">
      <c r="A69" s="728"/>
      <c r="B69" s="746"/>
      <c r="C69" s="478"/>
      <c r="D69" s="479"/>
      <c r="E69" s="480"/>
      <c r="F69" s="373"/>
      <c r="G69" s="373"/>
      <c r="H69" s="373"/>
      <c r="I69" s="853"/>
    </row>
    <row r="70" spans="1:9" ht="15.75">
      <c r="A70" s="729"/>
      <c r="B70" s="747" t="s">
        <v>941</v>
      </c>
      <c r="C70" s="374"/>
      <c r="D70" s="374"/>
      <c r="E70" s="374"/>
      <c r="F70" s="748"/>
      <c r="G70" s="748"/>
      <c r="H70" s="748">
        <v>64633</v>
      </c>
      <c r="I70" s="850">
        <v>71661</v>
      </c>
    </row>
    <row r="71" spans="1:9" ht="15.75">
      <c r="A71" s="729" t="s">
        <v>802</v>
      </c>
      <c r="B71" s="747" t="s">
        <v>803</v>
      </c>
      <c r="C71" s="374"/>
      <c r="D71" s="374"/>
      <c r="E71" s="374"/>
      <c r="F71" s="748"/>
      <c r="G71" s="748"/>
      <c r="H71" s="748">
        <v>1</v>
      </c>
      <c r="I71" s="850"/>
    </row>
    <row r="72" spans="1:9" ht="15.75">
      <c r="A72" s="730" t="s">
        <v>239</v>
      </c>
      <c r="B72" s="747" t="s">
        <v>769</v>
      </c>
      <c r="C72" s="374"/>
      <c r="D72" s="374"/>
      <c r="E72" s="374"/>
      <c r="F72" s="144">
        <v>4622927</v>
      </c>
      <c r="G72" s="144">
        <v>4623</v>
      </c>
      <c r="H72" s="144">
        <v>4622</v>
      </c>
      <c r="I72" s="850">
        <v>4623</v>
      </c>
    </row>
    <row r="73" spans="1:9" ht="15.75">
      <c r="A73" s="730" t="s">
        <v>805</v>
      </c>
      <c r="B73" s="747" t="s">
        <v>804</v>
      </c>
      <c r="C73" s="374"/>
      <c r="D73" s="374"/>
      <c r="E73" s="374"/>
      <c r="F73" s="144"/>
      <c r="G73" s="144"/>
      <c r="H73" s="144">
        <v>2137</v>
      </c>
      <c r="I73" s="850"/>
    </row>
    <row r="74" spans="1:9" ht="15.75">
      <c r="A74" s="731" t="s">
        <v>240</v>
      </c>
      <c r="B74" s="749" t="s">
        <v>241</v>
      </c>
      <c r="C74" s="225"/>
      <c r="D74" s="143"/>
      <c r="E74" s="144"/>
      <c r="F74" s="373"/>
      <c r="G74" s="373"/>
      <c r="H74" s="373"/>
      <c r="I74" s="850"/>
    </row>
    <row r="75" spans="1:9" ht="15.75">
      <c r="A75" s="731"/>
      <c r="B75" s="750" t="s">
        <v>242</v>
      </c>
      <c r="C75" s="146">
        <v>24764000</v>
      </c>
      <c r="D75" s="143" t="s">
        <v>243</v>
      </c>
      <c r="E75" s="145">
        <v>1.5</v>
      </c>
      <c r="F75" s="373">
        <v>37146000</v>
      </c>
      <c r="G75" s="373">
        <v>37146</v>
      </c>
      <c r="H75" s="373">
        <v>37146</v>
      </c>
      <c r="I75" s="850">
        <v>37146</v>
      </c>
    </row>
    <row r="76" spans="1:9" ht="15.75">
      <c r="A76" s="732" t="s">
        <v>237</v>
      </c>
      <c r="B76" s="751" t="s">
        <v>238</v>
      </c>
      <c r="C76" s="146"/>
      <c r="D76" s="143"/>
      <c r="E76" s="145"/>
      <c r="F76" s="373">
        <f>SUM(F72+F75)</f>
        <v>41768927</v>
      </c>
      <c r="G76" s="373">
        <f>SUM(G70:G75)</f>
        <v>41769</v>
      </c>
      <c r="H76" s="373">
        <f>SUM(H70:H75)</f>
        <v>108539</v>
      </c>
      <c r="I76" s="857">
        <f>SUM(I70:I75)</f>
        <v>113430</v>
      </c>
    </row>
    <row r="77" spans="1:9" ht="15.75">
      <c r="A77" s="732"/>
      <c r="B77" s="750"/>
      <c r="C77" s="146"/>
      <c r="D77" s="143"/>
      <c r="E77" s="145"/>
      <c r="F77" s="373"/>
      <c r="G77" s="373"/>
      <c r="H77" s="373"/>
      <c r="I77" s="850"/>
    </row>
    <row r="78" spans="1:9" ht="16.5" thickBot="1">
      <c r="A78" s="733"/>
      <c r="B78" s="752" t="s">
        <v>246</v>
      </c>
      <c r="C78" s="481"/>
      <c r="D78" s="482"/>
      <c r="E78" s="483"/>
      <c r="F78" s="484">
        <f>SUM(F68+F76)</f>
        <v>1221388727.34475</v>
      </c>
      <c r="G78" s="484">
        <f>SUM(G68+G76)</f>
        <v>1221389</v>
      </c>
      <c r="H78" s="484">
        <f>SUM(H68+H76)</f>
        <v>1322815</v>
      </c>
      <c r="I78" s="858">
        <f>SUM(I68+I76)</f>
        <v>1327664</v>
      </c>
    </row>
    <row r="79" spans="3:7" ht="15.75">
      <c r="C79" s="147"/>
      <c r="E79" s="257"/>
      <c r="G79" s="259"/>
    </row>
    <row r="80" spans="3:7" ht="15.75">
      <c r="C80" s="147"/>
      <c r="E80" s="257"/>
      <c r="G80" s="259"/>
    </row>
    <row r="81" ht="15.75">
      <c r="B81" s="261"/>
    </row>
    <row r="82" ht="15.75">
      <c r="C82" s="147"/>
    </row>
    <row r="83" ht="15.75">
      <c r="C83" s="147"/>
    </row>
    <row r="84" ht="15.75">
      <c r="C84" s="147"/>
    </row>
    <row r="85" spans="2:3" ht="15.75">
      <c r="B85" s="147"/>
      <c r="C85" s="147"/>
    </row>
    <row r="87" spans="1:2" ht="15.75">
      <c r="A87" s="263"/>
      <c r="B87" s="261"/>
    </row>
    <row r="89" ht="15.75">
      <c r="E89" s="264"/>
    </row>
  </sheetData>
  <sheetProtection/>
  <mergeCells count="10">
    <mergeCell ref="I5:I6"/>
    <mergeCell ref="A1:I1"/>
    <mergeCell ref="A2:I2"/>
    <mergeCell ref="H5:H6"/>
    <mergeCell ref="A3:G3"/>
    <mergeCell ref="A5:A6"/>
    <mergeCell ref="B5:B6"/>
    <mergeCell ref="C5:F5"/>
    <mergeCell ref="G5:G6"/>
    <mergeCell ref="C6:D6"/>
  </mergeCells>
  <printOptions horizontalCentered="1"/>
  <pageMargins left="0.8267716535433072" right="0.984251968503937" top="0.9055118110236221" bottom="0.6692913385826772" header="0.4330708661417323" footer="0.15748031496062992"/>
  <pageSetup fitToHeight="1" fitToWidth="1" horizontalDpi="600" verticalDpi="600" orientation="portrait" paperSize="9" scale="46" r:id="rId1"/>
  <headerFooter alignWithMargins="0">
    <oddHeader>&amp;L 17. melléklet a 18/2014.(IX.1.) önkormányzati rendelethez
"17. melléklet az 1/2014.(I.31.) önkormányzati rendelethez"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59"/>
  <sheetViews>
    <sheetView tabSelected="1" view="pageLayout" zoomScaleSheetLayoutView="100" workbookViewId="0" topLeftCell="A1">
      <selection activeCell="A23" sqref="A23"/>
    </sheetView>
  </sheetViews>
  <sheetFormatPr defaultColWidth="9.00390625" defaultRowHeight="12.75"/>
  <cols>
    <col min="1" max="1" width="77.75390625" style="159" customWidth="1"/>
    <col min="2" max="2" width="12.75390625" style="160" customWidth="1"/>
    <col min="3" max="3" width="12.00390625" style="149" customWidth="1"/>
    <col min="4" max="4" width="15.125" style="149" customWidth="1"/>
    <col min="5" max="16384" width="9.125" style="149" customWidth="1"/>
  </cols>
  <sheetData>
    <row r="1" spans="1:2" ht="15">
      <c r="A1" s="223"/>
      <c r="B1" s="224"/>
    </row>
    <row r="2" spans="1:4" ht="15">
      <c r="A2" s="1162" t="s">
        <v>408</v>
      </c>
      <c r="B2" s="1162"/>
      <c r="C2" s="942"/>
      <c r="D2" s="942"/>
    </row>
    <row r="3" spans="1:2" ht="15.75" thickBot="1">
      <c r="A3" s="223"/>
      <c r="B3" s="224"/>
    </row>
    <row r="4" spans="1:4" ht="15">
      <c r="A4" s="150" t="s">
        <v>122</v>
      </c>
      <c r="B4" s="753" t="s">
        <v>163</v>
      </c>
      <c r="C4" s="754" t="s">
        <v>765</v>
      </c>
      <c r="D4" s="763" t="s">
        <v>808</v>
      </c>
    </row>
    <row r="5" spans="1:4" s="152" customFormat="1" ht="14.25">
      <c r="A5" s="153" t="s">
        <v>214</v>
      </c>
      <c r="B5" s="755">
        <f>SUM(B7,B10,B14)</f>
        <v>161700</v>
      </c>
      <c r="C5" s="755">
        <f>SUM(C7,C10,C14)</f>
        <v>187896</v>
      </c>
      <c r="D5" s="154">
        <f>SUM(D7,D10,D14)</f>
        <v>140131</v>
      </c>
    </row>
    <row r="6" spans="1:4" s="152" customFormat="1" ht="14.25">
      <c r="A6" s="151"/>
      <c r="B6" s="756"/>
      <c r="C6" s="757"/>
      <c r="D6" s="768"/>
    </row>
    <row r="7" spans="1:4" s="155" customFormat="1" ht="14.25">
      <c r="A7" s="153" t="s">
        <v>154</v>
      </c>
      <c r="B7" s="755">
        <f>SUM(B8)</f>
        <v>13000</v>
      </c>
      <c r="C7" s="755">
        <f>SUM(C8)</f>
        <v>10189</v>
      </c>
      <c r="D7" s="154">
        <f>SUM(D8)</f>
        <v>5958</v>
      </c>
    </row>
    <row r="8" spans="1:4" ht="15">
      <c r="A8" s="156" t="s">
        <v>154</v>
      </c>
      <c r="B8" s="758">
        <v>13000</v>
      </c>
      <c r="C8" s="758">
        <v>10189</v>
      </c>
      <c r="D8" s="769">
        <v>5958</v>
      </c>
    </row>
    <row r="9" spans="1:4" ht="15">
      <c r="A9" s="156"/>
      <c r="B9" s="758"/>
      <c r="C9" s="759"/>
      <c r="D9" s="769"/>
    </row>
    <row r="10" spans="1:4" s="155" customFormat="1" ht="14.25">
      <c r="A10" s="153" t="s">
        <v>155</v>
      </c>
      <c r="B10" s="755">
        <f>SUM(B11:B12)</f>
        <v>125400</v>
      </c>
      <c r="C10" s="755">
        <f>SUM(C11:C12)</f>
        <v>124250</v>
      </c>
      <c r="D10" s="154">
        <f>SUM(D11:D12)</f>
        <v>81927</v>
      </c>
    </row>
    <row r="11" spans="1:4" ht="15">
      <c r="A11" s="156" t="s">
        <v>155</v>
      </c>
      <c r="B11" s="758">
        <f>125400-20090</f>
        <v>105310</v>
      </c>
      <c r="C11" s="758">
        <v>104160</v>
      </c>
      <c r="D11" s="769">
        <v>61837</v>
      </c>
    </row>
    <row r="12" spans="1:4" ht="15" customHeight="1">
      <c r="A12" s="156" t="s">
        <v>704</v>
      </c>
      <c r="B12" s="758">
        <v>20090</v>
      </c>
      <c r="C12" s="758">
        <v>20090</v>
      </c>
      <c r="D12" s="769">
        <v>20090</v>
      </c>
    </row>
    <row r="13" spans="1:4" ht="15">
      <c r="A13" s="156"/>
      <c r="B13" s="758"/>
      <c r="C13" s="759"/>
      <c r="D13" s="769"/>
    </row>
    <row r="14" spans="1:4" ht="15">
      <c r="A14" s="153" t="s">
        <v>156</v>
      </c>
      <c r="B14" s="755">
        <f>SUM(B15:B19)</f>
        <v>23300</v>
      </c>
      <c r="C14" s="755">
        <f>SUM(C15:C19)</f>
        <v>53457</v>
      </c>
      <c r="D14" s="755">
        <f>SUM(D15:D19)</f>
        <v>52246</v>
      </c>
    </row>
    <row r="15" spans="1:4" ht="15">
      <c r="A15" s="156" t="s">
        <v>136</v>
      </c>
      <c r="B15" s="758">
        <v>1800</v>
      </c>
      <c r="C15" s="758">
        <v>1800</v>
      </c>
      <c r="D15" s="769">
        <v>0</v>
      </c>
    </row>
    <row r="16" spans="1:4" ht="15">
      <c r="A16" s="156" t="s">
        <v>157</v>
      </c>
      <c r="B16" s="758">
        <v>10000</v>
      </c>
      <c r="C16" s="758">
        <v>10000</v>
      </c>
      <c r="D16" s="769">
        <v>10000</v>
      </c>
    </row>
    <row r="17" spans="1:4" ht="15">
      <c r="A17" s="156" t="s">
        <v>959</v>
      </c>
      <c r="B17" s="758">
        <v>11500</v>
      </c>
      <c r="C17" s="758">
        <v>7001</v>
      </c>
      <c r="D17" s="769">
        <v>7001</v>
      </c>
    </row>
    <row r="18" spans="1:4" ht="14.25" customHeight="1">
      <c r="A18" s="156" t="s">
        <v>825</v>
      </c>
      <c r="B18" s="758"/>
      <c r="C18" s="758">
        <v>34656</v>
      </c>
      <c r="D18" s="769">
        <v>24538</v>
      </c>
    </row>
    <row r="19" spans="1:4" ht="15">
      <c r="A19" s="156" t="s">
        <v>824</v>
      </c>
      <c r="B19" s="758"/>
      <c r="C19" s="759"/>
      <c r="D19" s="769">
        <v>10707</v>
      </c>
    </row>
    <row r="20" spans="1:4" ht="15" customHeight="1">
      <c r="A20" s="156"/>
      <c r="B20" s="758"/>
      <c r="C20" s="759"/>
      <c r="D20" s="769"/>
    </row>
    <row r="21" spans="1:4" s="152" customFormat="1" ht="14.25">
      <c r="A21" s="153" t="s">
        <v>213</v>
      </c>
      <c r="B21" s="755">
        <f>SUM(B23,B26,B28)</f>
        <v>1328265</v>
      </c>
      <c r="C21" s="755">
        <f>SUM(C23,C26,C28)</f>
        <v>1344453</v>
      </c>
      <c r="D21" s="154">
        <f>SUM(D23,D26,D28)</f>
        <v>1298922</v>
      </c>
    </row>
    <row r="22" spans="1:4" s="152" customFormat="1" ht="14.25">
      <c r="A22" s="153"/>
      <c r="B22" s="755"/>
      <c r="C22" s="757"/>
      <c r="D22" s="768"/>
    </row>
    <row r="23" spans="1:4" s="155" customFormat="1" ht="14.25">
      <c r="A23" s="153" t="s">
        <v>159</v>
      </c>
      <c r="B23" s="755">
        <f>SUM(B24:B24)</f>
        <v>50000</v>
      </c>
      <c r="C23" s="755">
        <f>SUM(C24:C24)</f>
        <v>66188</v>
      </c>
      <c r="D23" s="154">
        <f>SUM(D24:D24)</f>
        <v>24688</v>
      </c>
    </row>
    <row r="24" spans="1:4" ht="15">
      <c r="A24" s="156" t="s">
        <v>159</v>
      </c>
      <c r="B24" s="758">
        <v>50000</v>
      </c>
      <c r="C24" s="758">
        <v>66188</v>
      </c>
      <c r="D24" s="769">
        <v>24688</v>
      </c>
    </row>
    <row r="25" spans="1:4" ht="15">
      <c r="A25" s="156"/>
      <c r="B25" s="758"/>
      <c r="C25" s="759"/>
      <c r="D25" s="769"/>
    </row>
    <row r="26" spans="1:4" s="155" customFormat="1" ht="14.25">
      <c r="A26" s="153" t="s">
        <v>160</v>
      </c>
      <c r="B26" s="755">
        <f>SUM(B27:B27)</f>
        <v>0</v>
      </c>
      <c r="C26" s="755">
        <f>SUM(C27:C27)</f>
        <v>0</v>
      </c>
      <c r="D26" s="154">
        <f>SUM(D27:D27)</f>
        <v>0</v>
      </c>
    </row>
    <row r="27" spans="1:4" ht="15">
      <c r="A27" s="156"/>
      <c r="B27" s="758"/>
      <c r="C27" s="759"/>
      <c r="D27" s="769"/>
    </row>
    <row r="28" spans="1:4" s="155" customFormat="1" ht="14.25">
      <c r="A28" s="153" t="s">
        <v>161</v>
      </c>
      <c r="B28" s="755">
        <f>SUM(B34,B30,B40,B44,B49,B54)</f>
        <v>1278265</v>
      </c>
      <c r="C28" s="755">
        <f>SUM(C34,C30,C40,C44,C49,C54)</f>
        <v>1278265</v>
      </c>
      <c r="D28" s="154">
        <f>SUM(D34,D30,D40,D44,D49,D54)</f>
        <v>1274234</v>
      </c>
    </row>
    <row r="29" spans="1:4" s="155" customFormat="1" ht="14.25">
      <c r="A29" s="153"/>
      <c r="B29" s="755"/>
      <c r="C29" s="760"/>
      <c r="D29" s="154"/>
    </row>
    <row r="30" spans="1:4" s="231" customFormat="1" ht="15">
      <c r="A30" s="229" t="s">
        <v>191</v>
      </c>
      <c r="B30" s="761">
        <f>SUM(B31:B32)</f>
        <v>1107640</v>
      </c>
      <c r="C30" s="761">
        <f>SUM(C31:C32)</f>
        <v>1107640</v>
      </c>
      <c r="D30" s="230">
        <f>SUM(D31:D32)</f>
        <v>1107640</v>
      </c>
    </row>
    <row r="31" spans="1:4" ht="15">
      <c r="A31" s="156" t="s">
        <v>179</v>
      </c>
      <c r="B31" s="758">
        <f>600000+502640</f>
        <v>1102640</v>
      </c>
      <c r="C31" s="758">
        <f>600000+502640</f>
        <v>1102640</v>
      </c>
      <c r="D31" s="769">
        <v>1102640</v>
      </c>
    </row>
    <row r="32" spans="1:4" ht="15">
      <c r="A32" s="156" t="s">
        <v>180</v>
      </c>
      <c r="B32" s="758">
        <v>5000</v>
      </c>
      <c r="C32" s="758">
        <v>5000</v>
      </c>
      <c r="D32" s="769">
        <v>5000</v>
      </c>
    </row>
    <row r="33" spans="1:4" ht="15">
      <c r="A33" s="156"/>
      <c r="B33" s="758"/>
      <c r="C33" s="758"/>
      <c r="D33" s="769"/>
    </row>
    <row r="34" spans="1:4" s="231" customFormat="1" ht="15">
      <c r="A34" s="229" t="s">
        <v>192</v>
      </c>
      <c r="B34" s="761">
        <f>SUM(B35:B38)</f>
        <v>31000</v>
      </c>
      <c r="C34" s="761">
        <f>SUM(C35:C38)</f>
        <v>31000</v>
      </c>
      <c r="D34" s="230">
        <f>SUM(D35:D38)</f>
        <v>26969</v>
      </c>
    </row>
    <row r="35" spans="1:4" ht="15">
      <c r="A35" s="156" t="s">
        <v>344</v>
      </c>
      <c r="B35" s="758">
        <v>9000</v>
      </c>
      <c r="C35" s="758">
        <v>9000</v>
      </c>
      <c r="D35" s="769">
        <v>9000</v>
      </c>
    </row>
    <row r="36" spans="1:4" ht="15">
      <c r="A36" s="156" t="s">
        <v>224</v>
      </c>
      <c r="B36" s="758">
        <v>4000</v>
      </c>
      <c r="C36" s="758">
        <v>4000</v>
      </c>
      <c r="D36" s="769">
        <v>4000</v>
      </c>
    </row>
    <row r="37" spans="1:4" ht="15">
      <c r="A37" s="156" t="s">
        <v>225</v>
      </c>
      <c r="B37" s="758">
        <v>9000</v>
      </c>
      <c r="C37" s="758">
        <v>9000</v>
      </c>
      <c r="D37" s="769">
        <v>7000</v>
      </c>
    </row>
    <row r="38" spans="1:4" ht="15">
      <c r="A38" s="156" t="s">
        <v>215</v>
      </c>
      <c r="B38" s="758">
        <v>9000</v>
      </c>
      <c r="C38" s="758">
        <v>9000</v>
      </c>
      <c r="D38" s="769">
        <v>6969</v>
      </c>
    </row>
    <row r="39" spans="1:4" ht="15">
      <c r="A39" s="156"/>
      <c r="B39" s="758"/>
      <c r="C39" s="758"/>
      <c r="D39" s="769"/>
    </row>
    <row r="40" spans="1:4" s="231" customFormat="1" ht="15">
      <c r="A40" s="229" t="s">
        <v>193</v>
      </c>
      <c r="B40" s="761">
        <f>SUM(B41:B42)</f>
        <v>28500</v>
      </c>
      <c r="C40" s="761">
        <f>SUM(C41:C42)</f>
        <v>28500</v>
      </c>
      <c r="D40" s="230">
        <f>SUM(D41:D42)</f>
        <v>28500</v>
      </c>
    </row>
    <row r="41" spans="1:4" ht="15">
      <c r="A41" s="156" t="s">
        <v>177</v>
      </c>
      <c r="B41" s="758">
        <v>8500</v>
      </c>
      <c r="C41" s="758">
        <v>8500</v>
      </c>
      <c r="D41" s="769">
        <v>8500</v>
      </c>
    </row>
    <row r="42" spans="1:4" ht="30">
      <c r="A42" s="156" t="s">
        <v>176</v>
      </c>
      <c r="B42" s="758">
        <v>20000</v>
      </c>
      <c r="C42" s="758">
        <v>20000</v>
      </c>
      <c r="D42" s="769">
        <v>20000</v>
      </c>
    </row>
    <row r="43" spans="1:4" ht="15">
      <c r="A43" s="156"/>
      <c r="B43" s="758"/>
      <c r="C43" s="758"/>
      <c r="D43" s="769"/>
    </row>
    <row r="44" spans="1:4" s="231" customFormat="1" ht="15">
      <c r="A44" s="229" t="s">
        <v>194</v>
      </c>
      <c r="B44" s="761">
        <f>SUM(B45:B47)</f>
        <v>83200</v>
      </c>
      <c r="C44" s="761">
        <f>SUM(C45:C47)</f>
        <v>83200</v>
      </c>
      <c r="D44" s="230">
        <f>SUM(D45:D47)</f>
        <v>83200</v>
      </c>
    </row>
    <row r="45" spans="1:4" ht="30">
      <c r="A45" s="156" t="s">
        <v>232</v>
      </c>
      <c r="B45" s="758">
        <v>40000</v>
      </c>
      <c r="C45" s="758">
        <v>40000</v>
      </c>
      <c r="D45" s="769">
        <v>40000</v>
      </c>
    </row>
    <row r="46" spans="1:4" ht="15">
      <c r="A46" s="156" t="s">
        <v>216</v>
      </c>
      <c r="B46" s="758">
        <v>21200</v>
      </c>
      <c r="C46" s="758">
        <v>21200</v>
      </c>
      <c r="D46" s="769">
        <v>21200</v>
      </c>
    </row>
    <row r="47" spans="1:4" ht="15">
      <c r="A47" s="156" t="s">
        <v>219</v>
      </c>
      <c r="B47" s="758">
        <v>22000</v>
      </c>
      <c r="C47" s="758">
        <v>22000</v>
      </c>
      <c r="D47" s="769">
        <v>22000</v>
      </c>
    </row>
    <row r="48" spans="1:4" ht="15">
      <c r="A48" s="156"/>
      <c r="B48" s="758"/>
      <c r="C48" s="758"/>
      <c r="D48" s="769"/>
    </row>
    <row r="49" spans="1:4" s="231" customFormat="1" ht="15">
      <c r="A49" s="229" t="s">
        <v>196</v>
      </c>
      <c r="B49" s="761">
        <f>SUM(B50:B52)</f>
        <v>21372</v>
      </c>
      <c r="C49" s="761">
        <f>SUM(C50:C52)</f>
        <v>21372</v>
      </c>
      <c r="D49" s="230">
        <f>SUM(D50:D52)</f>
        <v>21372</v>
      </c>
    </row>
    <row r="50" spans="1:4" ht="15">
      <c r="A50" s="156" t="s">
        <v>343</v>
      </c>
      <c r="B50" s="758">
        <v>6300</v>
      </c>
      <c r="C50" s="758">
        <v>6300</v>
      </c>
      <c r="D50" s="769">
        <v>6300</v>
      </c>
    </row>
    <row r="51" spans="1:4" ht="15">
      <c r="A51" s="156" t="s">
        <v>223</v>
      </c>
      <c r="B51" s="758">
        <v>10000</v>
      </c>
      <c r="C51" s="758">
        <v>10000</v>
      </c>
      <c r="D51" s="769">
        <v>10000</v>
      </c>
    </row>
    <row r="52" spans="1:4" ht="15">
      <c r="A52" s="156" t="s">
        <v>226</v>
      </c>
      <c r="B52" s="758">
        <v>5072</v>
      </c>
      <c r="C52" s="758">
        <v>5072</v>
      </c>
      <c r="D52" s="769">
        <v>5072</v>
      </c>
    </row>
    <row r="53" spans="1:4" ht="15">
      <c r="A53" s="156"/>
      <c r="B53" s="758"/>
      <c r="C53" s="758"/>
      <c r="D53" s="769"/>
    </row>
    <row r="54" spans="1:4" s="231" customFormat="1" ht="15">
      <c r="A54" s="229" t="s">
        <v>195</v>
      </c>
      <c r="B54" s="761">
        <f>SUM(B55:B57)</f>
        <v>6553</v>
      </c>
      <c r="C54" s="761">
        <f>SUM(C55:C57)</f>
        <v>6553</v>
      </c>
      <c r="D54" s="230">
        <f>SUM(D55:D57)</f>
        <v>6553</v>
      </c>
    </row>
    <row r="55" spans="1:4" ht="15">
      <c r="A55" s="156" t="s">
        <v>448</v>
      </c>
      <c r="B55" s="758">
        <v>739</v>
      </c>
      <c r="C55" s="758">
        <v>739</v>
      </c>
      <c r="D55" s="769">
        <v>739</v>
      </c>
    </row>
    <row r="56" spans="1:4" ht="15">
      <c r="A56" s="156" t="s">
        <v>449</v>
      </c>
      <c r="B56" s="758">
        <v>2314</v>
      </c>
      <c r="C56" s="758">
        <v>2314</v>
      </c>
      <c r="D56" s="769">
        <v>2314</v>
      </c>
    </row>
    <row r="57" spans="1:4" ht="15">
      <c r="A57" s="156" t="s">
        <v>450</v>
      </c>
      <c r="B57" s="758">
        <v>3500</v>
      </c>
      <c r="C57" s="758">
        <v>3500</v>
      </c>
      <c r="D57" s="769">
        <v>3500</v>
      </c>
    </row>
    <row r="58" spans="1:4" ht="15">
      <c r="A58" s="156"/>
      <c r="B58" s="758"/>
      <c r="C58" s="758"/>
      <c r="D58" s="769"/>
    </row>
    <row r="59" spans="1:4" s="155" customFormat="1" ht="15" thickBot="1">
      <c r="A59" s="157" t="s">
        <v>162</v>
      </c>
      <c r="B59" s="762">
        <f>SUM(B5,B21)</f>
        <v>1489965</v>
      </c>
      <c r="C59" s="762">
        <f>SUM(C5,C21)</f>
        <v>1532349</v>
      </c>
      <c r="D59" s="158">
        <f>SUM(D5,D21)</f>
        <v>1439053</v>
      </c>
    </row>
  </sheetData>
  <sheetProtection/>
  <mergeCells count="1">
    <mergeCell ref="A2:D2"/>
  </mergeCells>
  <printOptions horizontalCentered="1"/>
  <pageMargins left="0.4724409448818898" right="0.4724409448818898" top="0.8645833333333334" bottom="0.47552083333333334" header="0.4724409448818898" footer="0.5118110236220472"/>
  <pageSetup horizontalDpi="600" verticalDpi="600" orientation="portrait" paperSize="9" scale="79" r:id="rId1"/>
  <headerFooter alignWithMargins="0">
    <oddHeader>&amp;L 18. melléklet a 18/2014.(IX.1.) önkormányzati rendelethez
"18. melléklet az 1/2014.(I.31.) önkormányzati rendelethez"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8"/>
  <sheetViews>
    <sheetView view="pageLayout" zoomScaleSheetLayoutView="100" workbookViewId="0" topLeftCell="A1">
      <selection activeCell="A1" sqref="A1:H1"/>
    </sheetView>
  </sheetViews>
  <sheetFormatPr defaultColWidth="9.00390625" defaultRowHeight="12.75"/>
  <cols>
    <col min="1" max="1" width="52.875" style="487" customWidth="1"/>
    <col min="2" max="3" width="14.625" style="488" customWidth="1"/>
    <col min="4" max="4" width="14.875" style="488" customWidth="1"/>
    <col min="5" max="5" width="56.00390625" style="487" customWidth="1"/>
    <col min="6" max="7" width="14.625" style="488" customWidth="1"/>
    <col min="8" max="8" width="14.875" style="488" customWidth="1"/>
    <col min="9" max="16384" width="9.125" style="488" customWidth="1"/>
  </cols>
  <sheetData>
    <row r="1" spans="1:8" s="486" customFormat="1" ht="15" customHeight="1">
      <c r="A1" s="967" t="s">
        <v>509</v>
      </c>
      <c r="B1" s="967"/>
      <c r="C1" s="967"/>
      <c r="D1" s="967"/>
      <c r="E1" s="967"/>
      <c r="F1" s="967"/>
      <c r="G1" s="942"/>
      <c r="H1" s="942"/>
    </row>
    <row r="2" ht="13.5" thickBot="1"/>
    <row r="3" spans="1:8" ht="12.75">
      <c r="A3" s="961" t="s">
        <v>510</v>
      </c>
      <c r="B3" s="962"/>
      <c r="C3" s="963"/>
      <c r="D3" s="964"/>
      <c r="E3" s="961" t="s">
        <v>511</v>
      </c>
      <c r="F3" s="962"/>
      <c r="G3" s="965"/>
      <c r="H3" s="966"/>
    </row>
    <row r="4" spans="1:8" ht="13.5" thickBot="1">
      <c r="A4" s="489" t="s">
        <v>122</v>
      </c>
      <c r="B4" s="490" t="s">
        <v>163</v>
      </c>
      <c r="C4" s="490" t="s">
        <v>765</v>
      </c>
      <c r="D4" s="490" t="s">
        <v>944</v>
      </c>
      <c r="E4" s="489" t="s">
        <v>122</v>
      </c>
      <c r="F4" s="491" t="s">
        <v>163</v>
      </c>
      <c r="G4" s="492" t="s">
        <v>765</v>
      </c>
      <c r="H4" s="492" t="s">
        <v>944</v>
      </c>
    </row>
    <row r="5" spans="1:8" ht="12.75">
      <c r="A5" s="493" t="s">
        <v>83</v>
      </c>
      <c r="B5" s="494">
        <f>SUM(B6:B8)</f>
        <v>1221389</v>
      </c>
      <c r="C5" s="494">
        <f>SUM(C6:C8)</f>
        <v>1322815</v>
      </c>
      <c r="D5" s="494">
        <f>SUM(D6:D8)</f>
        <v>1277869</v>
      </c>
      <c r="E5" s="928" t="s">
        <v>512</v>
      </c>
      <c r="F5" s="495">
        <v>1050011</v>
      </c>
      <c r="G5" s="496">
        <v>1096192</v>
      </c>
      <c r="H5" s="496">
        <v>1121034</v>
      </c>
    </row>
    <row r="6" spans="1:8" ht="12.75">
      <c r="A6" s="503" t="s">
        <v>47</v>
      </c>
      <c r="B6" s="504">
        <v>41769</v>
      </c>
      <c r="C6" s="504">
        <v>108539</v>
      </c>
      <c r="D6" s="504">
        <v>63635</v>
      </c>
      <c r="E6" s="929" t="s">
        <v>513</v>
      </c>
      <c r="F6" s="500">
        <v>280044</v>
      </c>
      <c r="G6" s="501">
        <v>292367</v>
      </c>
      <c r="H6" s="501">
        <v>294431</v>
      </c>
    </row>
    <row r="7" spans="1:8" ht="12.75">
      <c r="A7" s="498" t="s">
        <v>51</v>
      </c>
      <c r="B7" s="499">
        <v>1086770</v>
      </c>
      <c r="C7" s="499">
        <v>1121426</v>
      </c>
      <c r="D7" s="499">
        <v>1121384</v>
      </c>
      <c r="E7" s="929" t="s">
        <v>514</v>
      </c>
      <c r="F7" s="500">
        <v>1611955</v>
      </c>
      <c r="G7" s="501">
        <v>1689739</v>
      </c>
      <c r="H7" s="501">
        <v>1737233</v>
      </c>
    </row>
    <row r="8" spans="1:8" ht="12.75">
      <c r="A8" s="503" t="s">
        <v>86</v>
      </c>
      <c r="B8" s="504">
        <v>92850</v>
      </c>
      <c r="C8" s="504">
        <v>92850</v>
      </c>
      <c r="D8" s="504">
        <v>92850</v>
      </c>
      <c r="E8" s="929" t="s">
        <v>46</v>
      </c>
      <c r="F8" s="500">
        <v>184105</v>
      </c>
      <c r="G8" s="501">
        <v>184105</v>
      </c>
      <c r="H8" s="501">
        <v>185722</v>
      </c>
    </row>
    <row r="9" spans="1:8" ht="12.75">
      <c r="A9" s="505" t="s">
        <v>87</v>
      </c>
      <c r="B9" s="506">
        <f>SUM(B10:B11)</f>
        <v>276411</v>
      </c>
      <c r="C9" s="506">
        <f>SUM(C10:C11)</f>
        <v>290746</v>
      </c>
      <c r="D9" s="506">
        <f>SUM(D10:D11)</f>
        <v>351890</v>
      </c>
      <c r="E9" s="929" t="s">
        <v>41</v>
      </c>
      <c r="F9" s="500">
        <f>SUM(F16+F12+F11+F10)</f>
        <v>1002114</v>
      </c>
      <c r="G9" s="500">
        <f>SUM(G16+G12+G11+G10)</f>
        <v>1101834</v>
      </c>
      <c r="H9" s="506">
        <f>SUM(H16+H12+H11+H10)</f>
        <v>1036007</v>
      </c>
    </row>
    <row r="10" spans="1:8" ht="12.75">
      <c r="A10" s="503" t="s">
        <v>43</v>
      </c>
      <c r="B10" s="507">
        <v>0</v>
      </c>
      <c r="C10" s="507">
        <v>0</v>
      </c>
      <c r="D10" s="507">
        <v>0</v>
      </c>
      <c r="E10" s="930" t="s">
        <v>62</v>
      </c>
      <c r="F10" s="508">
        <v>6000</v>
      </c>
      <c r="G10" s="504">
        <v>6000</v>
      </c>
      <c r="H10" s="504">
        <v>6000</v>
      </c>
    </row>
    <row r="11" spans="1:8" ht="12.75">
      <c r="A11" s="503" t="s">
        <v>89</v>
      </c>
      <c r="B11" s="507">
        <v>276411</v>
      </c>
      <c r="C11" s="507">
        <v>290746</v>
      </c>
      <c r="D11" s="507">
        <v>351890</v>
      </c>
      <c r="E11" s="931" t="s">
        <v>63</v>
      </c>
      <c r="F11" s="508">
        <v>834414</v>
      </c>
      <c r="G11" s="504">
        <v>907938</v>
      </c>
      <c r="H11" s="504">
        <v>873659</v>
      </c>
    </row>
    <row r="12" spans="1:8" ht="12.75">
      <c r="A12" s="505" t="s">
        <v>515</v>
      </c>
      <c r="B12" s="501">
        <f>SUM(B13:B16)</f>
        <v>1795800</v>
      </c>
      <c r="C12" s="501">
        <f>SUM(C13:C16)</f>
        <v>1795800</v>
      </c>
      <c r="D12" s="501">
        <f>SUM(D13:D16)</f>
        <v>1795800</v>
      </c>
      <c r="E12" s="931" t="s">
        <v>153</v>
      </c>
      <c r="F12" s="508">
        <f>SUM(F13:F15)</f>
        <v>161700</v>
      </c>
      <c r="G12" s="504">
        <f>SUM(G13:G15)</f>
        <v>187896</v>
      </c>
      <c r="H12" s="504">
        <f>SUM(H13:H15)</f>
        <v>140131</v>
      </c>
    </row>
    <row r="13" spans="1:8" ht="12.75">
      <c r="A13" s="503" t="s">
        <v>92</v>
      </c>
      <c r="B13" s="507">
        <v>446000</v>
      </c>
      <c r="C13" s="507">
        <v>446000</v>
      </c>
      <c r="D13" s="507">
        <v>446000</v>
      </c>
      <c r="E13" s="932" t="s">
        <v>45</v>
      </c>
      <c r="F13" s="509">
        <v>13000</v>
      </c>
      <c r="G13" s="561">
        <v>10189</v>
      </c>
      <c r="H13" s="504">
        <v>5958</v>
      </c>
    </row>
    <row r="14" spans="1:8" ht="12.75" customHeight="1">
      <c r="A14" s="503" t="s">
        <v>52</v>
      </c>
      <c r="B14" s="507">
        <v>1338000</v>
      </c>
      <c r="C14" s="507">
        <v>1338000</v>
      </c>
      <c r="D14" s="507">
        <v>1338000</v>
      </c>
      <c r="E14" s="932" t="s">
        <v>707</v>
      </c>
      <c r="F14" s="509">
        <v>125400</v>
      </c>
      <c r="G14" s="561">
        <v>124250</v>
      </c>
      <c r="H14" s="504">
        <v>81927</v>
      </c>
    </row>
    <row r="15" spans="1:8" ht="12.75">
      <c r="A15" s="503" t="s">
        <v>100</v>
      </c>
      <c r="B15" s="507">
        <v>1300</v>
      </c>
      <c r="C15" s="507">
        <v>1300</v>
      </c>
      <c r="D15" s="507">
        <v>1300</v>
      </c>
      <c r="E15" s="932" t="s">
        <v>64</v>
      </c>
      <c r="F15" s="509">
        <v>23300</v>
      </c>
      <c r="G15" s="561">
        <v>53457</v>
      </c>
      <c r="H15" s="504">
        <v>52246</v>
      </c>
    </row>
    <row r="16" spans="1:8" ht="12.75">
      <c r="A16" s="503" t="s">
        <v>53</v>
      </c>
      <c r="B16" s="507">
        <v>10500</v>
      </c>
      <c r="C16" s="507">
        <v>10500</v>
      </c>
      <c r="D16" s="507">
        <v>10500</v>
      </c>
      <c r="E16" s="933" t="s">
        <v>835</v>
      </c>
      <c r="F16" s="509"/>
      <c r="G16" s="504"/>
      <c r="H16" s="504">
        <v>16217</v>
      </c>
    </row>
    <row r="17" spans="1:8" ht="12.75">
      <c r="A17" s="505" t="s">
        <v>102</v>
      </c>
      <c r="B17" s="506">
        <f>SUM(B18:B24)</f>
        <v>1283090</v>
      </c>
      <c r="C17" s="506">
        <f>SUM(C18:C24)</f>
        <v>1284633</v>
      </c>
      <c r="D17" s="506">
        <f>SUM(D18:D24)</f>
        <v>1271658</v>
      </c>
      <c r="E17" s="933"/>
      <c r="F17" s="509"/>
      <c r="G17" s="504"/>
      <c r="H17" s="504"/>
    </row>
    <row r="18" spans="1:8" ht="25.5">
      <c r="A18" s="510" t="s">
        <v>367</v>
      </c>
      <c r="B18" s="507">
        <v>655254</v>
      </c>
      <c r="C18" s="507">
        <v>655254</v>
      </c>
      <c r="D18" s="507">
        <v>564268</v>
      </c>
      <c r="E18" s="934"/>
      <c r="F18" s="508"/>
      <c r="G18" s="504"/>
      <c r="H18" s="504"/>
    </row>
    <row r="19" spans="1:8" ht="12.75">
      <c r="A19" s="510" t="s">
        <v>54</v>
      </c>
      <c r="B19" s="507">
        <v>264033</v>
      </c>
      <c r="C19" s="507">
        <v>179344</v>
      </c>
      <c r="D19" s="507">
        <v>224959</v>
      </c>
      <c r="E19" s="935"/>
      <c r="F19" s="511"/>
      <c r="G19" s="504"/>
      <c r="H19" s="504"/>
    </row>
    <row r="20" spans="1:8" ht="12.75">
      <c r="A20" s="510" t="s">
        <v>55</v>
      </c>
      <c r="B20" s="507">
        <v>18215</v>
      </c>
      <c r="C20" s="507">
        <v>104447</v>
      </c>
      <c r="D20" s="507">
        <v>104447</v>
      </c>
      <c r="E20" s="930"/>
      <c r="F20" s="508"/>
      <c r="G20" s="504"/>
      <c r="H20" s="504"/>
    </row>
    <row r="21" spans="1:8" ht="12.75">
      <c r="A21" s="510" t="s">
        <v>105</v>
      </c>
      <c r="B21" s="507">
        <v>82011</v>
      </c>
      <c r="C21" s="507">
        <v>82011</v>
      </c>
      <c r="D21" s="507">
        <v>82011</v>
      </c>
      <c r="E21" s="936"/>
      <c r="F21" s="508"/>
      <c r="G21" s="504"/>
      <c r="H21" s="504"/>
    </row>
    <row r="22" spans="1:8" ht="12.75">
      <c r="A22" s="510" t="s">
        <v>229</v>
      </c>
      <c r="B22" s="507">
        <v>236336</v>
      </c>
      <c r="C22" s="507">
        <v>236336</v>
      </c>
      <c r="D22" s="507">
        <v>268684</v>
      </c>
      <c r="E22" s="937"/>
      <c r="F22" s="511"/>
      <c r="G22" s="504"/>
      <c r="H22" s="504"/>
    </row>
    <row r="23" spans="1:8" ht="12.75">
      <c r="A23" s="510" t="s">
        <v>106</v>
      </c>
      <c r="B23" s="507">
        <v>5000</v>
      </c>
      <c r="C23" s="512">
        <v>5000</v>
      </c>
      <c r="D23" s="512">
        <v>5048</v>
      </c>
      <c r="E23" s="938"/>
      <c r="F23" s="513"/>
      <c r="G23" s="504"/>
      <c r="H23" s="504"/>
    </row>
    <row r="24" spans="1:8" ht="12.75">
      <c r="A24" s="510" t="s">
        <v>197</v>
      </c>
      <c r="B24" s="507">
        <v>22241</v>
      </c>
      <c r="C24" s="512">
        <v>22241</v>
      </c>
      <c r="D24" s="512">
        <v>22241</v>
      </c>
      <c r="E24" s="938"/>
      <c r="F24" s="513"/>
      <c r="G24" s="504"/>
      <c r="H24" s="504"/>
    </row>
    <row r="25" spans="1:8" ht="12.75">
      <c r="A25" s="505" t="s">
        <v>109</v>
      </c>
      <c r="B25" s="501">
        <f>SUM(B26:B28)</f>
        <v>178693</v>
      </c>
      <c r="C25" s="501">
        <f>SUM(C26:C28)</f>
        <v>178693</v>
      </c>
      <c r="D25" s="501">
        <f>SUM(D26:D28)</f>
        <v>178944</v>
      </c>
      <c r="E25" s="558"/>
      <c r="F25" s="514"/>
      <c r="G25" s="504"/>
      <c r="H25" s="504"/>
    </row>
    <row r="26" spans="1:8" ht="12.75">
      <c r="A26" s="515" t="s">
        <v>110</v>
      </c>
      <c r="B26" s="507">
        <v>154763</v>
      </c>
      <c r="C26" s="507">
        <v>154763</v>
      </c>
      <c r="D26" s="507">
        <v>154763</v>
      </c>
      <c r="E26" s="930"/>
      <c r="F26" s="508"/>
      <c r="G26" s="504"/>
      <c r="H26" s="504"/>
    </row>
    <row r="27" spans="1:256" ht="12.75">
      <c r="A27" s="515" t="s">
        <v>111</v>
      </c>
      <c r="B27" s="507">
        <v>3840</v>
      </c>
      <c r="C27" s="507">
        <v>3840</v>
      </c>
      <c r="D27" s="507">
        <v>4091</v>
      </c>
      <c r="E27" s="930"/>
      <c r="F27" s="508"/>
      <c r="G27" s="504"/>
      <c r="H27" s="504"/>
      <c r="IU27" s="516"/>
      <c r="IV27" s="516"/>
    </row>
    <row r="28" spans="1:256" ht="12.75">
      <c r="A28" s="515" t="s">
        <v>56</v>
      </c>
      <c r="B28" s="507">
        <v>20090</v>
      </c>
      <c r="C28" s="507">
        <v>20090</v>
      </c>
      <c r="D28" s="507">
        <v>20090</v>
      </c>
      <c r="E28" s="930"/>
      <c r="F28" s="508"/>
      <c r="G28" s="504"/>
      <c r="H28" s="504"/>
      <c r="IU28" s="516"/>
      <c r="IV28" s="516"/>
    </row>
    <row r="29" spans="1:256" ht="12.75">
      <c r="A29" s="517" t="s">
        <v>516</v>
      </c>
      <c r="B29" s="501">
        <f>SUM(B30:B31)</f>
        <v>677154</v>
      </c>
      <c r="C29" s="501">
        <f>SUM(C30:C31)</f>
        <v>677154</v>
      </c>
      <c r="D29" s="501">
        <f>SUM(D30:D31)</f>
        <v>677154</v>
      </c>
      <c r="E29" s="930"/>
      <c r="F29" s="508"/>
      <c r="G29" s="504"/>
      <c r="H29" s="504"/>
      <c r="IU29" s="516"/>
      <c r="IV29" s="516"/>
    </row>
    <row r="30" spans="1:256" ht="12.75">
      <c r="A30" s="515" t="s">
        <v>57</v>
      </c>
      <c r="B30" s="507">
        <v>120000</v>
      </c>
      <c r="C30" s="507">
        <v>120000</v>
      </c>
      <c r="D30" s="507">
        <v>120000</v>
      </c>
      <c r="E30" s="930"/>
      <c r="F30" s="508"/>
      <c r="G30" s="504"/>
      <c r="H30" s="504"/>
      <c r="IU30" s="516"/>
      <c r="IV30" s="516"/>
    </row>
    <row r="31" spans="1:256" ht="13.5" thickBot="1">
      <c r="A31" s="518" t="s">
        <v>58</v>
      </c>
      <c r="B31" s="519">
        <v>557154</v>
      </c>
      <c r="C31" s="519">
        <v>557154</v>
      </c>
      <c r="D31" s="519">
        <v>557154</v>
      </c>
      <c r="E31" s="939"/>
      <c r="F31" s="520"/>
      <c r="G31" s="521"/>
      <c r="H31" s="521"/>
      <c r="IU31" s="516"/>
      <c r="IV31" s="516"/>
    </row>
    <row r="32" spans="1:8" s="516" customFormat="1" ht="13.5" thickBot="1">
      <c r="A32" s="523" t="s">
        <v>517</v>
      </c>
      <c r="B32" s="524">
        <f>SUM(B5+B9+B12+B17+B25-B29)</f>
        <v>4078229</v>
      </c>
      <c r="C32" s="524">
        <f>SUM(C5+C9+C12+C17+C25-C29)</f>
        <v>4195533</v>
      </c>
      <c r="D32" s="524">
        <f>SUM(D5+D9+D12+D17+D25-D29)</f>
        <v>4199007</v>
      </c>
      <c r="E32" s="537" t="s">
        <v>518</v>
      </c>
      <c r="F32" s="525">
        <f>SUM(F5+F6+F7+F8+F9)</f>
        <v>4128229</v>
      </c>
      <c r="G32" s="526">
        <f>SUM(G5+G6+G7+G8+G9)</f>
        <v>4364237</v>
      </c>
      <c r="H32" s="568">
        <f>SUM(H5+H6+H7+H8+H9)</f>
        <v>4374427</v>
      </c>
    </row>
    <row r="33" spans="1:8" s="516" customFormat="1" ht="13.5" thickBot="1">
      <c r="A33" s="528" t="s">
        <v>519</v>
      </c>
      <c r="B33" s="526">
        <f>B32-F32</f>
        <v>-50000</v>
      </c>
      <c r="C33" s="526">
        <f>C32-G32</f>
        <v>-168704</v>
      </c>
      <c r="D33" s="526">
        <f>D32-H32</f>
        <v>-175420</v>
      </c>
      <c r="E33" s="528"/>
      <c r="F33" s="495"/>
      <c r="G33" s="529"/>
      <c r="H33" s="529"/>
    </row>
    <row r="34" spans="1:8" s="516" customFormat="1" ht="12.75">
      <c r="A34" s="530" t="s">
        <v>520</v>
      </c>
      <c r="B34" s="531">
        <v>1637807</v>
      </c>
      <c r="C34" s="531">
        <v>1648013</v>
      </c>
      <c r="D34" s="531">
        <v>1660781</v>
      </c>
      <c r="E34" s="528"/>
      <c r="F34" s="495"/>
      <c r="G34" s="499"/>
      <c r="H34" s="499"/>
    </row>
    <row r="35" spans="1:8" s="516" customFormat="1" ht="12.75">
      <c r="A35" s="532" t="s">
        <v>48</v>
      </c>
      <c r="B35" s="496">
        <f>SUM(B36)</f>
        <v>50000</v>
      </c>
      <c r="C35" s="496">
        <f>SUM(C36)</f>
        <v>105938</v>
      </c>
      <c r="D35" s="496">
        <f>SUM(D36)</f>
        <v>105938</v>
      </c>
      <c r="E35" s="927"/>
      <c r="F35" s="533"/>
      <c r="G35" s="504"/>
      <c r="H35" s="504"/>
    </row>
    <row r="36" spans="1:8" s="516" customFormat="1" ht="13.5" thickBot="1">
      <c r="A36" s="534" t="s">
        <v>49</v>
      </c>
      <c r="B36" s="535">
        <v>50000</v>
      </c>
      <c r="C36" s="535">
        <v>105938</v>
      </c>
      <c r="D36" s="535">
        <v>105938</v>
      </c>
      <c r="E36" s="940"/>
      <c r="F36" s="536"/>
      <c r="G36" s="521"/>
      <c r="H36" s="521"/>
    </row>
    <row r="37" spans="1:8" s="516" customFormat="1" ht="13.5" thickBot="1">
      <c r="A37" s="537" t="s">
        <v>523</v>
      </c>
      <c r="B37" s="526">
        <f>SUM(B34:B35)</f>
        <v>1687807</v>
      </c>
      <c r="C37" s="526">
        <f>SUM(C34:C35)</f>
        <v>1753951</v>
      </c>
      <c r="D37" s="526">
        <f>SUM(D34:D35)</f>
        <v>1766719</v>
      </c>
      <c r="E37" s="537" t="s">
        <v>524</v>
      </c>
      <c r="F37" s="538">
        <v>1637807</v>
      </c>
      <c r="G37" s="539">
        <v>1648013</v>
      </c>
      <c r="H37" s="539">
        <v>1660781</v>
      </c>
    </row>
    <row r="38" spans="1:8" s="516" customFormat="1" ht="13.5" thickBot="1">
      <c r="A38" s="540" t="s">
        <v>525</v>
      </c>
      <c r="B38" s="541">
        <f>SUM(B32+B37)</f>
        <v>5766036</v>
      </c>
      <c r="C38" s="541">
        <f>SUM(C32+C37)</f>
        <v>5949484</v>
      </c>
      <c r="D38" s="541">
        <f>SUM(D32+D37)</f>
        <v>5965726</v>
      </c>
      <c r="E38" s="540" t="s">
        <v>525</v>
      </c>
      <c r="F38" s="538">
        <f>SUM(F32:F37)</f>
        <v>5766036</v>
      </c>
      <c r="G38" s="526">
        <f>SUM(G32:G37)</f>
        <v>6012250</v>
      </c>
      <c r="H38" s="526">
        <f>SUM(H32:H37)</f>
        <v>6035208</v>
      </c>
    </row>
    <row r="39" spans="1:5" s="516" customFormat="1" ht="12.75">
      <c r="A39" s="542"/>
      <c r="B39" s="543"/>
      <c r="C39" s="543"/>
      <c r="D39" s="543"/>
      <c r="E39" s="542"/>
    </row>
    <row r="40" spans="1:8" s="486" customFormat="1" ht="15" customHeight="1">
      <c r="A40" s="967" t="s">
        <v>8</v>
      </c>
      <c r="B40" s="967"/>
      <c r="C40" s="967"/>
      <c r="D40" s="967"/>
      <c r="E40" s="967"/>
      <c r="F40" s="967"/>
      <c r="G40" s="942"/>
      <c r="H40" s="942"/>
    </row>
    <row r="41" ht="14.25" customHeight="1" thickBot="1">
      <c r="E41" s="544"/>
    </row>
    <row r="42" spans="1:8" s="486" customFormat="1" ht="12.75">
      <c r="A42" s="961" t="s">
        <v>510</v>
      </c>
      <c r="B42" s="962"/>
      <c r="C42" s="963"/>
      <c r="D42" s="964"/>
      <c r="E42" s="961" t="s">
        <v>511</v>
      </c>
      <c r="F42" s="962"/>
      <c r="G42" s="965"/>
      <c r="H42" s="966"/>
    </row>
    <row r="43" spans="1:8" s="486" customFormat="1" ht="13.5" thickBot="1">
      <c r="A43" s="545" t="s">
        <v>122</v>
      </c>
      <c r="B43" s="491" t="s">
        <v>163</v>
      </c>
      <c r="C43" s="546" t="s">
        <v>765</v>
      </c>
      <c r="D43" s="546" t="s">
        <v>944</v>
      </c>
      <c r="E43" s="547" t="s">
        <v>122</v>
      </c>
      <c r="F43" s="490" t="s">
        <v>123</v>
      </c>
      <c r="G43" s="490" t="s">
        <v>765</v>
      </c>
      <c r="H43" s="490" t="s">
        <v>944</v>
      </c>
    </row>
    <row r="44" spans="1:8" s="486" customFormat="1" ht="12.75">
      <c r="A44" s="493" t="s">
        <v>90</v>
      </c>
      <c r="B44" s="495">
        <f>SUM(B45:B48)</f>
        <v>2315462</v>
      </c>
      <c r="C44" s="495">
        <f>SUM(C45:C48)</f>
        <v>2308540</v>
      </c>
      <c r="D44" s="495">
        <f>SUM(D45:D48)</f>
        <v>2312333</v>
      </c>
      <c r="E44" s="528" t="s">
        <v>526</v>
      </c>
      <c r="F44" s="494">
        <v>2447222</v>
      </c>
      <c r="G44" s="494">
        <v>2534724</v>
      </c>
      <c r="H44" s="548">
        <v>2579369</v>
      </c>
    </row>
    <row r="45" spans="1:8" s="486" customFormat="1" ht="12.75">
      <c r="A45" s="552" t="s">
        <v>84</v>
      </c>
      <c r="B45" s="553"/>
      <c r="C45" s="553"/>
      <c r="D45" s="553">
        <v>49795</v>
      </c>
      <c r="E45" s="550" t="s">
        <v>527</v>
      </c>
      <c r="F45" s="506">
        <v>283400</v>
      </c>
      <c r="G45" s="506">
        <v>305538</v>
      </c>
      <c r="H45" s="551">
        <v>388751</v>
      </c>
    </row>
    <row r="46" spans="1:8" s="486" customFormat="1" ht="12.75">
      <c r="A46" s="510" t="s">
        <v>43</v>
      </c>
      <c r="B46" s="549">
        <v>0</v>
      </c>
      <c r="C46" s="549">
        <v>0</v>
      </c>
      <c r="D46" s="549">
        <v>0</v>
      </c>
      <c r="E46" s="554" t="s">
        <v>528</v>
      </c>
      <c r="F46" s="506">
        <f>SUM(F50+F49+F48+F47)</f>
        <v>1407334</v>
      </c>
      <c r="G46" s="506">
        <f>SUM(G50+G49+G48+G47)</f>
        <v>1401521</v>
      </c>
      <c r="H46" s="506">
        <f>SUM(H50+H49+H48+H47)</f>
        <v>1380971</v>
      </c>
    </row>
    <row r="47" spans="1:8" ht="12.75">
      <c r="A47" s="552" t="s">
        <v>89</v>
      </c>
      <c r="B47" s="553">
        <v>1691228</v>
      </c>
      <c r="C47" s="553">
        <v>1684306</v>
      </c>
      <c r="D47" s="553">
        <v>1638304</v>
      </c>
      <c r="E47" s="556" t="s">
        <v>42</v>
      </c>
      <c r="F47" s="504">
        <v>808</v>
      </c>
      <c r="G47" s="504">
        <v>808</v>
      </c>
      <c r="H47" s="502">
        <v>808</v>
      </c>
    </row>
    <row r="48" spans="1:8" ht="12.75">
      <c r="A48" s="552" t="s">
        <v>59</v>
      </c>
      <c r="B48" s="553">
        <v>624234</v>
      </c>
      <c r="C48" s="555">
        <v>624234</v>
      </c>
      <c r="D48" s="555">
        <v>624234</v>
      </c>
      <c r="E48" s="558" t="s">
        <v>43</v>
      </c>
      <c r="F48" s="504">
        <v>4500</v>
      </c>
      <c r="G48" s="504">
        <v>4500</v>
      </c>
      <c r="H48" s="502">
        <v>4350</v>
      </c>
    </row>
    <row r="49" spans="1:8" ht="12.75">
      <c r="A49" s="505" t="s">
        <v>107</v>
      </c>
      <c r="B49" s="557">
        <f>SUM(B50:B51)</f>
        <v>7494</v>
      </c>
      <c r="C49" s="557">
        <f>SUM(C50:C51)</f>
        <v>7494</v>
      </c>
      <c r="D49" s="557">
        <f>SUM(D50:D51)</f>
        <v>67494</v>
      </c>
      <c r="E49" s="558" t="s">
        <v>68</v>
      </c>
      <c r="F49" s="507">
        <v>73761</v>
      </c>
      <c r="G49" s="504">
        <v>51760</v>
      </c>
      <c r="H49" s="502">
        <v>76891</v>
      </c>
    </row>
    <row r="50" spans="1:8" ht="12.75">
      <c r="A50" s="510" t="s">
        <v>199</v>
      </c>
      <c r="B50" s="549">
        <v>7494</v>
      </c>
      <c r="C50" s="549">
        <v>7494</v>
      </c>
      <c r="D50" s="549">
        <v>67494</v>
      </c>
      <c r="E50" s="558" t="s">
        <v>479</v>
      </c>
      <c r="F50" s="507">
        <f>SUM(F51:F53)</f>
        <v>1328265</v>
      </c>
      <c r="G50" s="507">
        <f>SUM(G51:G53)</f>
        <v>1344453</v>
      </c>
      <c r="H50" s="507">
        <f>SUM(H51:H53)</f>
        <v>1298922</v>
      </c>
    </row>
    <row r="51" spans="1:8" ht="12.75">
      <c r="A51" s="510" t="s">
        <v>230</v>
      </c>
      <c r="B51" s="549"/>
      <c r="C51" s="549"/>
      <c r="D51" s="549"/>
      <c r="E51" s="559" t="s">
        <v>69</v>
      </c>
      <c r="F51" s="560">
        <v>50000</v>
      </c>
      <c r="G51" s="561">
        <v>66188</v>
      </c>
      <c r="H51" s="502">
        <v>24688</v>
      </c>
    </row>
    <row r="52" spans="1:8" ht="12.75">
      <c r="A52" s="505" t="s">
        <v>112</v>
      </c>
      <c r="B52" s="557">
        <f>SUM(B53:B54)</f>
        <v>110123</v>
      </c>
      <c r="C52" s="557">
        <f>SUM(C53:C54)</f>
        <v>110123</v>
      </c>
      <c r="D52" s="557">
        <f>SUM(D53:D54)</f>
        <v>117129</v>
      </c>
      <c r="E52" s="559" t="s">
        <v>70</v>
      </c>
      <c r="F52" s="560">
        <v>0</v>
      </c>
      <c r="G52" s="561">
        <v>0</v>
      </c>
      <c r="H52" s="502">
        <v>0</v>
      </c>
    </row>
    <row r="53" spans="1:8" ht="12.75">
      <c r="A53" s="510" t="s">
        <v>60</v>
      </c>
      <c r="B53" s="553">
        <v>109523</v>
      </c>
      <c r="C53" s="553">
        <v>109523</v>
      </c>
      <c r="D53" s="553">
        <v>116529</v>
      </c>
      <c r="E53" s="559" t="s">
        <v>71</v>
      </c>
      <c r="F53" s="560">
        <v>1278265</v>
      </c>
      <c r="G53" s="561">
        <v>1278265</v>
      </c>
      <c r="H53" s="502">
        <v>1274234</v>
      </c>
    </row>
    <row r="54" spans="1:8" ht="12.75">
      <c r="A54" s="510" t="s">
        <v>61</v>
      </c>
      <c r="B54" s="553">
        <v>600</v>
      </c>
      <c r="C54" s="553">
        <v>600</v>
      </c>
      <c r="D54" s="553">
        <v>600</v>
      </c>
      <c r="E54" s="559"/>
      <c r="F54" s="560"/>
      <c r="G54" s="561"/>
      <c r="H54" s="502"/>
    </row>
    <row r="55" spans="1:8" ht="12.75">
      <c r="A55" s="517" t="s">
        <v>529</v>
      </c>
      <c r="B55" s="501">
        <f>SUM(B56:B57)</f>
        <v>677154</v>
      </c>
      <c r="C55" s="501">
        <f>SUM(C56:C57)</f>
        <v>677154</v>
      </c>
      <c r="D55" s="501">
        <f>SUM(D56:D57)</f>
        <v>677154</v>
      </c>
      <c r="E55" s="559"/>
      <c r="F55" s="562"/>
      <c r="G55" s="504"/>
      <c r="H55" s="502"/>
    </row>
    <row r="56" spans="1:8" ht="12.75">
      <c r="A56" s="515" t="s">
        <v>57</v>
      </c>
      <c r="B56" s="507">
        <v>120000</v>
      </c>
      <c r="C56" s="507">
        <v>120000</v>
      </c>
      <c r="D56" s="507">
        <v>120000</v>
      </c>
      <c r="E56" s="559"/>
      <c r="F56" s="562"/>
      <c r="G56" s="504"/>
      <c r="H56" s="502"/>
    </row>
    <row r="57" spans="1:8" ht="13.5" thickBot="1">
      <c r="A57" s="563" t="s">
        <v>58</v>
      </c>
      <c r="B57" s="564">
        <v>557154</v>
      </c>
      <c r="C57" s="564">
        <v>557154</v>
      </c>
      <c r="D57" s="564">
        <v>557154</v>
      </c>
      <c r="E57" s="565"/>
      <c r="F57" s="566"/>
      <c r="G57" s="521"/>
      <c r="H57" s="522"/>
    </row>
    <row r="58" spans="1:8" ht="13.5" thickBot="1">
      <c r="A58" s="567" t="s">
        <v>517</v>
      </c>
      <c r="B58" s="538">
        <f>SUM(B44+B49+B52+B55)</f>
        <v>3110233</v>
      </c>
      <c r="C58" s="538">
        <f>SUM(C44+C49+C52+C55)</f>
        <v>3103311</v>
      </c>
      <c r="D58" s="538">
        <f>SUM(D44+D49+D52+D55)</f>
        <v>3174110</v>
      </c>
      <c r="E58" s="537" t="s">
        <v>518</v>
      </c>
      <c r="F58" s="568">
        <f>SUM(F44+F45+F46)</f>
        <v>4137956</v>
      </c>
      <c r="G58" s="568">
        <f>SUM(G44+G45+G46)</f>
        <v>4241783</v>
      </c>
      <c r="H58" s="568">
        <f>SUM(H44+H45+H46)</f>
        <v>4349091</v>
      </c>
    </row>
    <row r="59" spans="1:8" ht="13.5" thickBot="1">
      <c r="A59" s="567" t="s">
        <v>519</v>
      </c>
      <c r="B59" s="526">
        <f>B58-F58</f>
        <v>-1027723</v>
      </c>
      <c r="C59" s="526">
        <f>C58-G58</f>
        <v>-1138472</v>
      </c>
      <c r="D59" s="526">
        <f>D58-H58</f>
        <v>-1174981</v>
      </c>
      <c r="E59" s="537"/>
      <c r="F59" s="526"/>
      <c r="G59" s="529"/>
      <c r="H59" s="527"/>
    </row>
    <row r="60" spans="1:8" ht="12.75">
      <c r="A60" s="493" t="s">
        <v>48</v>
      </c>
      <c r="B60" s="495">
        <f>SUM(B61)</f>
        <v>300000</v>
      </c>
      <c r="C60" s="495">
        <f>SUM(C61)</f>
        <v>438318</v>
      </c>
      <c r="D60" s="495">
        <f>SUM(D61)</f>
        <v>438318</v>
      </c>
      <c r="E60" s="528"/>
      <c r="F60" s="569"/>
      <c r="G60" s="499"/>
      <c r="H60" s="497"/>
    </row>
    <row r="61" spans="1:8" ht="12.75">
      <c r="A61" s="510" t="s">
        <v>506</v>
      </c>
      <c r="B61" s="549">
        <v>300000</v>
      </c>
      <c r="C61" s="549">
        <v>438318</v>
      </c>
      <c r="D61" s="549">
        <v>438318</v>
      </c>
      <c r="E61" s="550" t="s">
        <v>576</v>
      </c>
      <c r="F61" s="506">
        <v>80158</v>
      </c>
      <c r="G61" s="504">
        <v>44961</v>
      </c>
      <c r="H61" s="502">
        <v>44961</v>
      </c>
    </row>
    <row r="62" spans="1:8" ht="12.75">
      <c r="A62" s="570" t="s">
        <v>50</v>
      </c>
      <c r="B62" s="557">
        <f>SUM(B63:B64)</f>
        <v>904031</v>
      </c>
      <c r="C62" s="557">
        <f>SUM(C63:C64)</f>
        <v>904031</v>
      </c>
      <c r="D62" s="557">
        <f>SUM(D63:D64)</f>
        <v>900000</v>
      </c>
      <c r="E62" s="550"/>
      <c r="F62" s="506"/>
      <c r="G62" s="504"/>
      <c r="H62" s="502"/>
    </row>
    <row r="63" spans="1:8" ht="12.75">
      <c r="A63" s="510" t="s">
        <v>530</v>
      </c>
      <c r="B63" s="549">
        <v>250000</v>
      </c>
      <c r="C63" s="549">
        <v>250000</v>
      </c>
      <c r="D63" s="549">
        <v>250000</v>
      </c>
      <c r="E63" s="550" t="s">
        <v>577</v>
      </c>
      <c r="F63" s="506">
        <v>96150</v>
      </c>
      <c r="G63" s="504">
        <v>96150</v>
      </c>
      <c r="H63" s="502">
        <v>48894</v>
      </c>
    </row>
    <row r="64" spans="1:8" ht="13.5" thickBot="1">
      <c r="A64" s="571" t="s">
        <v>508</v>
      </c>
      <c r="B64" s="572">
        <v>654031</v>
      </c>
      <c r="C64" s="572">
        <v>654031</v>
      </c>
      <c r="D64" s="572">
        <v>650000</v>
      </c>
      <c r="E64" s="573"/>
      <c r="F64" s="574"/>
      <c r="G64" s="521"/>
      <c r="H64" s="522"/>
    </row>
    <row r="65" spans="1:8" ht="30" customHeight="1" thickBot="1">
      <c r="A65" s="537" t="s">
        <v>523</v>
      </c>
      <c r="B65" s="526">
        <f>SUM(B62,B60)</f>
        <v>1204031</v>
      </c>
      <c r="C65" s="526">
        <f>SUM(C62,C60)</f>
        <v>1342349</v>
      </c>
      <c r="D65" s="526">
        <f>SUM(D62,D60)</f>
        <v>1338318</v>
      </c>
      <c r="E65" s="537" t="s">
        <v>524</v>
      </c>
      <c r="F65" s="526">
        <f>SUM(F61:F63)</f>
        <v>176308</v>
      </c>
      <c r="G65" s="526">
        <f>SUM(G61:G63)</f>
        <v>141111</v>
      </c>
      <c r="H65" s="526">
        <f>SUM(H61:H63)</f>
        <v>93855</v>
      </c>
    </row>
    <row r="66" spans="1:8" ht="13.5" thickBot="1">
      <c r="A66" s="523" t="s">
        <v>525</v>
      </c>
      <c r="B66" s="575">
        <f>SUM(B58+B65)</f>
        <v>4314264</v>
      </c>
      <c r="C66" s="575">
        <f>SUM(C58+C65)</f>
        <v>4445660</v>
      </c>
      <c r="D66" s="575">
        <f>SUM(D58+D65)</f>
        <v>4512428</v>
      </c>
      <c r="E66" s="523" t="s">
        <v>525</v>
      </c>
      <c r="F66" s="524">
        <f>SUM(F58+F65)</f>
        <v>4314264</v>
      </c>
      <c r="G66" s="524">
        <f>SUM(G58+G65)</f>
        <v>4382894</v>
      </c>
      <c r="H66" s="524">
        <f>SUM(H58+H65)</f>
        <v>4442946</v>
      </c>
    </row>
    <row r="67" spans="1:6" ht="12.75">
      <c r="A67" s="576"/>
      <c r="B67" s="577"/>
      <c r="C67" s="577"/>
      <c r="D67" s="577"/>
      <c r="E67" s="576"/>
      <c r="F67" s="577"/>
    </row>
    <row r="68" spans="1:8" ht="12.75">
      <c r="A68" s="578" t="s">
        <v>531</v>
      </c>
      <c r="B68" s="579">
        <f>SUM(B38,B66)</f>
        <v>10080300</v>
      </c>
      <c r="C68" s="579">
        <f>SUM(C38,C66)</f>
        <v>10395144</v>
      </c>
      <c r="D68" s="579">
        <f>SUM(D38,D66)</f>
        <v>10478154</v>
      </c>
      <c r="E68" s="578" t="s">
        <v>532</v>
      </c>
      <c r="F68" s="580">
        <f>SUM(F38,F66)</f>
        <v>10080300</v>
      </c>
      <c r="G68" s="580">
        <f>SUM(G38,G66)</f>
        <v>10395144</v>
      </c>
      <c r="H68" s="580">
        <f>SUM(H38,H66)</f>
        <v>10478154</v>
      </c>
    </row>
  </sheetData>
  <sheetProtection selectLockedCells="1" selectUnlockedCells="1"/>
  <mergeCells count="6">
    <mergeCell ref="A3:D3"/>
    <mergeCell ref="A42:D42"/>
    <mergeCell ref="E3:H3"/>
    <mergeCell ref="E42:H42"/>
    <mergeCell ref="A1:H1"/>
    <mergeCell ref="A40:H40"/>
  </mergeCells>
  <printOptions horizontalCentered="1"/>
  <pageMargins left="0.35433070866141736" right="0.35433070866141736" top="0.8020833333333334" bottom="0.61875" header="0.5118110236220472" footer="0.5118110236220472"/>
  <pageSetup horizontalDpi="300" verticalDpi="300" orientation="landscape" paperSize="9" scale="54" r:id="rId1"/>
  <headerFooter alignWithMargins="0">
    <oddHeader>&amp;L2. melléklet a 18/2014.(IX.1.) önkormányzati rendelethez
"2. melléklet az 1/2014.(I.31.) önkormányzati rendelethez"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view="pageLayout" zoomScaleNormal="66" zoomScaleSheetLayoutView="75" workbookViewId="0" topLeftCell="A1">
      <selection activeCell="A2" sqref="A2:P2"/>
    </sheetView>
  </sheetViews>
  <sheetFormatPr defaultColWidth="9.00390625" defaultRowHeight="12.75"/>
  <cols>
    <col min="1" max="1" width="88.75390625" style="293" customWidth="1"/>
    <col min="2" max="3" width="15.625" style="293" customWidth="1"/>
    <col min="4" max="4" width="16.75390625" style="293" customWidth="1"/>
    <col min="5" max="5" width="12.25390625" style="293" customWidth="1"/>
    <col min="6" max="6" width="15.125" style="293" customWidth="1"/>
    <col min="7" max="7" width="16.75390625" style="293" customWidth="1"/>
    <col min="8" max="8" width="13.375" style="293" customWidth="1"/>
    <col min="9" max="9" width="15.875" style="293" customWidth="1"/>
    <col min="10" max="10" width="16.75390625" style="293" customWidth="1"/>
    <col min="11" max="11" width="13.125" style="293" customWidth="1"/>
    <col min="12" max="12" width="15.625" style="293" customWidth="1"/>
    <col min="13" max="13" width="16.75390625" style="293" customWidth="1"/>
    <col min="14" max="14" width="14.375" style="293" customWidth="1"/>
    <col min="15" max="15" width="14.75390625" style="293" customWidth="1"/>
    <col min="16" max="16" width="16.75390625" style="293" customWidth="1"/>
    <col min="17" max="16384" width="9.125" style="293" customWidth="1"/>
  </cols>
  <sheetData>
    <row r="1" ht="15.75">
      <c r="A1" s="396"/>
    </row>
    <row r="2" spans="1:16" ht="15.75">
      <c r="A2" s="968" t="s">
        <v>0</v>
      </c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42"/>
      <c r="P2" s="942"/>
    </row>
    <row r="3" ht="16.5" thickBot="1"/>
    <row r="4" spans="1:16" ht="87" customHeight="1">
      <c r="A4" s="975" t="s">
        <v>82</v>
      </c>
      <c r="B4" s="972" t="s">
        <v>164</v>
      </c>
      <c r="C4" s="973"/>
      <c r="D4" s="974"/>
      <c r="E4" s="972" t="s">
        <v>170</v>
      </c>
      <c r="F4" s="973"/>
      <c r="G4" s="974"/>
      <c r="H4" s="972" t="s">
        <v>35</v>
      </c>
      <c r="I4" s="973"/>
      <c r="J4" s="974"/>
      <c r="K4" s="972" t="s">
        <v>171</v>
      </c>
      <c r="L4" s="973"/>
      <c r="M4" s="974"/>
      <c r="N4" s="969" t="s">
        <v>501</v>
      </c>
      <c r="O4" s="970"/>
      <c r="P4" s="971"/>
    </row>
    <row r="5" spans="1:16" ht="18.75" customHeight="1">
      <c r="A5" s="976"/>
      <c r="B5" s="270" t="s">
        <v>163</v>
      </c>
      <c r="C5" s="270" t="s">
        <v>765</v>
      </c>
      <c r="D5" s="270" t="s">
        <v>944</v>
      </c>
      <c r="E5" s="270" t="s">
        <v>163</v>
      </c>
      <c r="F5" s="270" t="s">
        <v>765</v>
      </c>
      <c r="G5" s="270" t="s">
        <v>944</v>
      </c>
      <c r="H5" s="270" t="s">
        <v>163</v>
      </c>
      <c r="I5" s="270" t="s">
        <v>765</v>
      </c>
      <c r="J5" s="270" t="s">
        <v>944</v>
      </c>
      <c r="K5" s="270" t="s">
        <v>163</v>
      </c>
      <c r="L5" s="271" t="s">
        <v>765</v>
      </c>
      <c r="M5" s="270" t="s">
        <v>944</v>
      </c>
      <c r="N5" s="271" t="s">
        <v>123</v>
      </c>
      <c r="O5" s="581" t="s">
        <v>765</v>
      </c>
      <c r="P5" s="272" t="s">
        <v>944</v>
      </c>
    </row>
    <row r="6" spans="1:16" s="396" customFormat="1" ht="18" customHeight="1">
      <c r="A6" s="397" t="s">
        <v>83</v>
      </c>
      <c r="B6" s="398">
        <f aca="true" t="shared" si="0" ref="B6:M6">SUM(B7:B9)</f>
        <v>1221389</v>
      </c>
      <c r="C6" s="398">
        <f t="shared" si="0"/>
        <v>1322815</v>
      </c>
      <c r="D6" s="398">
        <f t="shared" si="0"/>
        <v>1277869</v>
      </c>
      <c r="E6" s="398">
        <f t="shared" si="0"/>
        <v>0</v>
      </c>
      <c r="F6" s="398">
        <f t="shared" si="0"/>
        <v>0</v>
      </c>
      <c r="G6" s="398">
        <f t="shared" si="0"/>
        <v>0</v>
      </c>
      <c r="H6" s="398">
        <f t="shared" si="0"/>
        <v>0</v>
      </c>
      <c r="I6" s="398">
        <f t="shared" si="0"/>
        <v>0</v>
      </c>
      <c r="J6" s="398">
        <f t="shared" si="0"/>
        <v>0</v>
      </c>
      <c r="K6" s="398">
        <f t="shared" si="0"/>
        <v>0</v>
      </c>
      <c r="L6" s="398">
        <f t="shared" si="0"/>
        <v>0</v>
      </c>
      <c r="M6" s="398">
        <f t="shared" si="0"/>
        <v>0</v>
      </c>
      <c r="N6" s="399">
        <f>SUM(B6+E6+H6+K6)</f>
        <v>1221389</v>
      </c>
      <c r="O6" s="421">
        <f>SUM(C6+F6+I6+L6)</f>
        <v>1322815</v>
      </c>
      <c r="P6" s="800">
        <f>SUM(D6+G6+J6+M6)</f>
        <v>1277869</v>
      </c>
    </row>
    <row r="7" spans="1:16" ht="18" customHeight="1">
      <c r="A7" s="400" t="s">
        <v>84</v>
      </c>
      <c r="B7" s="401">
        <v>41769</v>
      </c>
      <c r="C7" s="401">
        <v>108539</v>
      </c>
      <c r="D7" s="401">
        <v>63635</v>
      </c>
      <c r="E7" s="401"/>
      <c r="F7" s="401"/>
      <c r="G7" s="401"/>
      <c r="H7" s="401"/>
      <c r="I7" s="401"/>
      <c r="J7" s="401"/>
      <c r="K7" s="401"/>
      <c r="L7" s="402"/>
      <c r="M7" s="402"/>
      <c r="N7" s="399">
        <f aca="true" t="shared" si="1" ref="N7:N56">SUM(B7+E7+H7+K7)</f>
        <v>41769</v>
      </c>
      <c r="O7" s="421">
        <f aca="true" t="shared" si="2" ref="O7:O55">SUM(C7+F7+I7+L7)</f>
        <v>108539</v>
      </c>
      <c r="P7" s="800">
        <f aca="true" t="shared" si="3" ref="P7:P56">SUM(D7+G7+J7+M7)</f>
        <v>63635</v>
      </c>
    </row>
    <row r="8" spans="1:16" s="406" customFormat="1" ht="18" customHeight="1">
      <c r="A8" s="403" t="s">
        <v>85</v>
      </c>
      <c r="B8" s="401">
        <v>1086770</v>
      </c>
      <c r="C8" s="401">
        <v>1121426</v>
      </c>
      <c r="D8" s="401">
        <v>1121384</v>
      </c>
      <c r="E8" s="404"/>
      <c r="F8" s="404"/>
      <c r="G8" s="404"/>
      <c r="H8" s="404"/>
      <c r="I8" s="404"/>
      <c r="J8" s="404"/>
      <c r="K8" s="404"/>
      <c r="L8" s="405"/>
      <c r="M8" s="405"/>
      <c r="N8" s="399">
        <f t="shared" si="1"/>
        <v>1086770</v>
      </c>
      <c r="O8" s="421">
        <f t="shared" si="2"/>
        <v>1121426</v>
      </c>
      <c r="P8" s="800">
        <f t="shared" si="3"/>
        <v>1121384</v>
      </c>
    </row>
    <row r="9" spans="1:16" s="406" customFormat="1" ht="18" customHeight="1">
      <c r="A9" s="403" t="s">
        <v>86</v>
      </c>
      <c r="B9" s="401">
        <v>92850</v>
      </c>
      <c r="C9" s="401">
        <v>92850</v>
      </c>
      <c r="D9" s="401">
        <v>92850</v>
      </c>
      <c r="E9" s="404"/>
      <c r="F9" s="404"/>
      <c r="G9" s="404"/>
      <c r="H9" s="404"/>
      <c r="I9" s="404"/>
      <c r="J9" s="404"/>
      <c r="K9" s="404"/>
      <c r="L9" s="405"/>
      <c r="M9" s="405"/>
      <c r="N9" s="399">
        <f t="shared" si="1"/>
        <v>92850</v>
      </c>
      <c r="O9" s="421">
        <f t="shared" si="2"/>
        <v>92850</v>
      </c>
      <c r="P9" s="800">
        <f t="shared" si="3"/>
        <v>92850</v>
      </c>
    </row>
    <row r="10" spans="1:16" ht="18" customHeight="1">
      <c r="A10" s="407" t="s">
        <v>87</v>
      </c>
      <c r="B10" s="398">
        <f aca="true" t="shared" si="4" ref="B10:M10">SUM(B11:B12)</f>
        <v>143448</v>
      </c>
      <c r="C10" s="398">
        <f t="shared" si="4"/>
        <v>192056</v>
      </c>
      <c r="D10" s="398">
        <f t="shared" si="4"/>
        <v>198556</v>
      </c>
      <c r="E10" s="398">
        <f t="shared" si="4"/>
        <v>21030</v>
      </c>
      <c r="F10" s="398">
        <f t="shared" si="4"/>
        <v>25363</v>
      </c>
      <c r="G10" s="398">
        <f t="shared" si="4"/>
        <v>29909</v>
      </c>
      <c r="H10" s="398">
        <f t="shared" si="4"/>
        <v>111933</v>
      </c>
      <c r="I10" s="398">
        <f t="shared" si="4"/>
        <v>116321</v>
      </c>
      <c r="J10" s="398">
        <f t="shared" si="4"/>
        <v>120303</v>
      </c>
      <c r="K10" s="398">
        <f t="shared" si="4"/>
        <v>0</v>
      </c>
      <c r="L10" s="398">
        <f t="shared" si="4"/>
        <v>3008</v>
      </c>
      <c r="M10" s="398">
        <f t="shared" si="4"/>
        <v>3122</v>
      </c>
      <c r="N10" s="399">
        <f t="shared" si="1"/>
        <v>276411</v>
      </c>
      <c r="O10" s="421">
        <f t="shared" si="2"/>
        <v>336748</v>
      </c>
      <c r="P10" s="800">
        <f t="shared" si="3"/>
        <v>351890</v>
      </c>
    </row>
    <row r="11" spans="1:16" ht="18" customHeight="1">
      <c r="A11" s="403" t="s">
        <v>88</v>
      </c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2"/>
      <c r="M11" s="402"/>
      <c r="N11" s="399">
        <f t="shared" si="1"/>
        <v>0</v>
      </c>
      <c r="O11" s="421">
        <f t="shared" si="2"/>
        <v>0</v>
      </c>
      <c r="P11" s="800">
        <f t="shared" si="3"/>
        <v>0</v>
      </c>
    </row>
    <row r="12" spans="1:16" ht="18" customHeight="1">
      <c r="A12" s="403" t="s">
        <v>89</v>
      </c>
      <c r="B12" s="401">
        <v>143448</v>
      </c>
      <c r="C12" s="401">
        <v>192056</v>
      </c>
      <c r="D12" s="401">
        <v>198556</v>
      </c>
      <c r="E12" s="401">
        <v>21030</v>
      </c>
      <c r="F12" s="401">
        <v>25363</v>
      </c>
      <c r="G12" s="401">
        <v>29909</v>
      </c>
      <c r="H12" s="401">
        <v>111933</v>
      </c>
      <c r="I12" s="401">
        <v>116321</v>
      </c>
      <c r="J12" s="401">
        <v>120303</v>
      </c>
      <c r="K12" s="401"/>
      <c r="L12" s="402">
        <v>3008</v>
      </c>
      <c r="M12" s="402">
        <v>3122</v>
      </c>
      <c r="N12" s="399">
        <f t="shared" si="1"/>
        <v>276411</v>
      </c>
      <c r="O12" s="421">
        <f t="shared" si="2"/>
        <v>336748</v>
      </c>
      <c r="P12" s="800">
        <f t="shared" si="3"/>
        <v>351890</v>
      </c>
    </row>
    <row r="13" spans="1:16" s="406" customFormat="1" ht="18" customHeight="1">
      <c r="A13" s="408" t="s">
        <v>90</v>
      </c>
      <c r="B13" s="398">
        <f>SUM(B14:B17)</f>
        <v>2314562</v>
      </c>
      <c r="C13" s="398">
        <f>SUM(C14:C17)</f>
        <v>2261638</v>
      </c>
      <c r="D13" s="398">
        <f>SUM(D14:D17)</f>
        <v>2311433</v>
      </c>
      <c r="E13" s="398">
        <f aca="true" t="shared" si="5" ref="E13:M13">SUM(E15:E17)</f>
        <v>0</v>
      </c>
      <c r="F13" s="398">
        <f t="shared" si="5"/>
        <v>0</v>
      </c>
      <c r="G13" s="398">
        <f t="shared" si="5"/>
        <v>0</v>
      </c>
      <c r="H13" s="398">
        <f t="shared" si="5"/>
        <v>900</v>
      </c>
      <c r="I13" s="398">
        <f t="shared" si="5"/>
        <v>900</v>
      </c>
      <c r="J13" s="398">
        <f t="shared" si="5"/>
        <v>900</v>
      </c>
      <c r="K13" s="398">
        <f t="shared" si="5"/>
        <v>0</v>
      </c>
      <c r="L13" s="398">
        <f t="shared" si="5"/>
        <v>0</v>
      </c>
      <c r="M13" s="398">
        <f t="shared" si="5"/>
        <v>0</v>
      </c>
      <c r="N13" s="399">
        <f t="shared" si="1"/>
        <v>2315462</v>
      </c>
      <c r="O13" s="421">
        <f t="shared" si="2"/>
        <v>2262538</v>
      </c>
      <c r="P13" s="800">
        <f t="shared" si="3"/>
        <v>2312333</v>
      </c>
    </row>
    <row r="14" spans="1:16" s="406" customFormat="1" ht="18" customHeight="1">
      <c r="A14" s="403" t="s">
        <v>834</v>
      </c>
      <c r="B14" s="398"/>
      <c r="C14" s="398"/>
      <c r="D14" s="398">
        <v>49795</v>
      </c>
      <c r="E14" s="398"/>
      <c r="F14" s="398"/>
      <c r="G14" s="398"/>
      <c r="H14" s="398"/>
      <c r="I14" s="398"/>
      <c r="J14" s="398"/>
      <c r="K14" s="398"/>
      <c r="L14" s="399"/>
      <c r="M14" s="399"/>
      <c r="N14" s="399"/>
      <c r="O14" s="421"/>
      <c r="P14" s="800">
        <f t="shared" si="3"/>
        <v>49795</v>
      </c>
    </row>
    <row r="15" spans="1:16" ht="18" customHeight="1">
      <c r="A15" s="403" t="s">
        <v>88</v>
      </c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2"/>
      <c r="M15" s="402"/>
      <c r="N15" s="399">
        <f t="shared" si="1"/>
        <v>0</v>
      </c>
      <c r="O15" s="421">
        <f t="shared" si="2"/>
        <v>0</v>
      </c>
      <c r="P15" s="800">
        <f t="shared" si="3"/>
        <v>0</v>
      </c>
    </row>
    <row r="16" spans="1:16" s="411" customFormat="1" ht="18" customHeight="1">
      <c r="A16" s="403" t="s">
        <v>89</v>
      </c>
      <c r="B16" s="401">
        <v>1690328</v>
      </c>
      <c r="C16" s="401">
        <v>1637404</v>
      </c>
      <c r="D16" s="401">
        <v>1637404</v>
      </c>
      <c r="E16" s="409"/>
      <c r="F16" s="409"/>
      <c r="G16" s="409"/>
      <c r="H16" s="401">
        <v>900</v>
      </c>
      <c r="I16" s="401">
        <v>900</v>
      </c>
      <c r="J16" s="401">
        <v>900</v>
      </c>
      <c r="K16" s="409"/>
      <c r="L16" s="410"/>
      <c r="M16" s="410"/>
      <c r="N16" s="399">
        <f t="shared" si="1"/>
        <v>1691228</v>
      </c>
      <c r="O16" s="421">
        <f t="shared" si="2"/>
        <v>1638304</v>
      </c>
      <c r="P16" s="800">
        <f t="shared" si="3"/>
        <v>1638304</v>
      </c>
    </row>
    <row r="17" spans="1:16" s="411" customFormat="1" ht="18" customHeight="1">
      <c r="A17" s="403" t="s">
        <v>1</v>
      </c>
      <c r="B17" s="401">
        <v>624234</v>
      </c>
      <c r="C17" s="401">
        <v>624234</v>
      </c>
      <c r="D17" s="401">
        <v>624234</v>
      </c>
      <c r="E17" s="409"/>
      <c r="F17" s="409"/>
      <c r="G17" s="409"/>
      <c r="H17" s="409"/>
      <c r="I17" s="409"/>
      <c r="J17" s="409"/>
      <c r="K17" s="409"/>
      <c r="L17" s="410"/>
      <c r="M17" s="410"/>
      <c r="N17" s="399">
        <f t="shared" si="1"/>
        <v>624234</v>
      </c>
      <c r="O17" s="421">
        <f t="shared" si="2"/>
        <v>624234</v>
      </c>
      <c r="P17" s="800">
        <f t="shared" si="3"/>
        <v>624234</v>
      </c>
    </row>
    <row r="18" spans="1:16" s="406" customFormat="1" ht="18" customHeight="1">
      <c r="A18" s="408" t="s">
        <v>91</v>
      </c>
      <c r="B18" s="398">
        <f aca="true" t="shared" si="6" ref="B18:M18">SUM(B19,B23,B27,B28)</f>
        <v>1794800</v>
      </c>
      <c r="C18" s="398">
        <f t="shared" si="6"/>
        <v>1794800</v>
      </c>
      <c r="D18" s="398">
        <f t="shared" si="6"/>
        <v>1794800</v>
      </c>
      <c r="E18" s="398">
        <f t="shared" si="6"/>
        <v>1000</v>
      </c>
      <c r="F18" s="398">
        <f t="shared" si="6"/>
        <v>1000</v>
      </c>
      <c r="G18" s="398">
        <f t="shared" si="6"/>
        <v>1000</v>
      </c>
      <c r="H18" s="398">
        <f t="shared" si="6"/>
        <v>0</v>
      </c>
      <c r="I18" s="398">
        <f t="shared" si="6"/>
        <v>0</v>
      </c>
      <c r="J18" s="398">
        <f t="shared" si="6"/>
        <v>0</v>
      </c>
      <c r="K18" s="398">
        <f t="shared" si="6"/>
        <v>0</v>
      </c>
      <c r="L18" s="398">
        <f t="shared" si="6"/>
        <v>0</v>
      </c>
      <c r="M18" s="398">
        <f t="shared" si="6"/>
        <v>0</v>
      </c>
      <c r="N18" s="399">
        <f t="shared" si="1"/>
        <v>1795800</v>
      </c>
      <c r="O18" s="421">
        <f t="shared" si="2"/>
        <v>1795800</v>
      </c>
      <c r="P18" s="800">
        <f t="shared" si="3"/>
        <v>1795800</v>
      </c>
    </row>
    <row r="19" spans="1:16" s="411" customFormat="1" ht="18" customHeight="1">
      <c r="A19" s="403" t="s">
        <v>92</v>
      </c>
      <c r="B19" s="401">
        <f>SUM(B20:B22)</f>
        <v>446000</v>
      </c>
      <c r="C19" s="401">
        <f>SUM(C20:C22)</f>
        <v>446000</v>
      </c>
      <c r="D19" s="401">
        <f>SUM(D20:D22)</f>
        <v>446000</v>
      </c>
      <c r="E19" s="409"/>
      <c r="F19" s="409"/>
      <c r="G19" s="409"/>
      <c r="H19" s="409"/>
      <c r="I19" s="409"/>
      <c r="J19" s="409"/>
      <c r="K19" s="409"/>
      <c r="L19" s="410"/>
      <c r="M19" s="410"/>
      <c r="N19" s="399">
        <f t="shared" si="1"/>
        <v>446000</v>
      </c>
      <c r="O19" s="421">
        <f t="shared" si="2"/>
        <v>446000</v>
      </c>
      <c r="P19" s="800">
        <f t="shared" si="3"/>
        <v>446000</v>
      </c>
    </row>
    <row r="20" spans="1:16" s="411" customFormat="1" ht="18" customHeight="1">
      <c r="A20" s="412" t="s">
        <v>93</v>
      </c>
      <c r="B20" s="413">
        <v>320000</v>
      </c>
      <c r="C20" s="413">
        <v>320000</v>
      </c>
      <c r="D20" s="413">
        <v>320000</v>
      </c>
      <c r="E20" s="413"/>
      <c r="F20" s="413"/>
      <c r="G20" s="413"/>
      <c r="H20" s="413"/>
      <c r="I20" s="413"/>
      <c r="J20" s="413"/>
      <c r="K20" s="413"/>
      <c r="L20" s="414"/>
      <c r="M20" s="414"/>
      <c r="N20" s="399">
        <f t="shared" si="1"/>
        <v>320000</v>
      </c>
      <c r="O20" s="421">
        <f t="shared" si="2"/>
        <v>320000</v>
      </c>
      <c r="P20" s="800">
        <f t="shared" si="3"/>
        <v>320000</v>
      </c>
    </row>
    <row r="21" spans="1:16" s="411" customFormat="1" ht="18" customHeight="1">
      <c r="A21" s="415" t="s">
        <v>94</v>
      </c>
      <c r="B21" s="409">
        <v>100000</v>
      </c>
      <c r="C21" s="409">
        <v>100000</v>
      </c>
      <c r="D21" s="409">
        <v>100000</v>
      </c>
      <c r="E21" s="409"/>
      <c r="F21" s="409"/>
      <c r="G21" s="409"/>
      <c r="H21" s="409"/>
      <c r="I21" s="409"/>
      <c r="J21" s="409"/>
      <c r="K21" s="409"/>
      <c r="L21" s="410"/>
      <c r="M21" s="410"/>
      <c r="N21" s="399">
        <f t="shared" si="1"/>
        <v>100000</v>
      </c>
      <c r="O21" s="421">
        <f t="shared" si="2"/>
        <v>100000</v>
      </c>
      <c r="P21" s="800">
        <f t="shared" si="3"/>
        <v>100000</v>
      </c>
    </row>
    <row r="22" spans="1:16" s="411" customFormat="1" ht="18" customHeight="1">
      <c r="A22" s="412" t="s">
        <v>95</v>
      </c>
      <c r="B22" s="413">
        <v>26000</v>
      </c>
      <c r="C22" s="413">
        <v>26000</v>
      </c>
      <c r="D22" s="413">
        <v>26000</v>
      </c>
      <c r="E22" s="413"/>
      <c r="F22" s="413"/>
      <c r="G22" s="413"/>
      <c r="H22" s="413"/>
      <c r="I22" s="413"/>
      <c r="J22" s="413"/>
      <c r="K22" s="413"/>
      <c r="L22" s="414"/>
      <c r="M22" s="414"/>
      <c r="N22" s="399">
        <f t="shared" si="1"/>
        <v>26000</v>
      </c>
      <c r="O22" s="421">
        <f t="shared" si="2"/>
        <v>26000</v>
      </c>
      <c r="P22" s="800">
        <f t="shared" si="3"/>
        <v>26000</v>
      </c>
    </row>
    <row r="23" spans="1:16" s="411" customFormat="1" ht="18" customHeight="1">
      <c r="A23" s="403" t="s">
        <v>96</v>
      </c>
      <c r="B23" s="416">
        <f>SUM(B24:B26)</f>
        <v>1338000</v>
      </c>
      <c r="C23" s="416">
        <f>SUM(C24:C26)</f>
        <v>1338000</v>
      </c>
      <c r="D23" s="416">
        <f>SUM(D24:D26)</f>
        <v>1338000</v>
      </c>
      <c r="E23" s="413"/>
      <c r="F23" s="413"/>
      <c r="G23" s="413"/>
      <c r="H23" s="413"/>
      <c r="I23" s="413"/>
      <c r="J23" s="413"/>
      <c r="K23" s="413"/>
      <c r="L23" s="414"/>
      <c r="M23" s="414"/>
      <c r="N23" s="399">
        <f t="shared" si="1"/>
        <v>1338000</v>
      </c>
      <c r="O23" s="421">
        <f t="shared" si="2"/>
        <v>1338000</v>
      </c>
      <c r="P23" s="800">
        <f t="shared" si="3"/>
        <v>1338000</v>
      </c>
    </row>
    <row r="24" spans="1:16" s="411" customFormat="1" ht="18" customHeight="1">
      <c r="A24" s="412" t="s">
        <v>97</v>
      </c>
      <c r="B24" s="413">
        <v>1225000</v>
      </c>
      <c r="C24" s="413">
        <v>1225000</v>
      </c>
      <c r="D24" s="413">
        <v>1225000</v>
      </c>
      <c r="E24" s="413"/>
      <c r="F24" s="413"/>
      <c r="G24" s="413"/>
      <c r="H24" s="413"/>
      <c r="I24" s="413"/>
      <c r="J24" s="413"/>
      <c r="K24" s="413"/>
      <c r="L24" s="414"/>
      <c r="M24" s="414"/>
      <c r="N24" s="399">
        <f t="shared" si="1"/>
        <v>1225000</v>
      </c>
      <c r="O24" s="421">
        <f t="shared" si="2"/>
        <v>1225000</v>
      </c>
      <c r="P24" s="800">
        <f t="shared" si="3"/>
        <v>1225000</v>
      </c>
    </row>
    <row r="25" spans="1:16" s="411" customFormat="1" ht="18" customHeight="1">
      <c r="A25" s="412" t="s">
        <v>98</v>
      </c>
      <c r="B25" s="413">
        <v>110000</v>
      </c>
      <c r="C25" s="413">
        <v>110000</v>
      </c>
      <c r="D25" s="413">
        <v>110000</v>
      </c>
      <c r="E25" s="413"/>
      <c r="F25" s="413"/>
      <c r="G25" s="413"/>
      <c r="H25" s="413"/>
      <c r="I25" s="413"/>
      <c r="J25" s="413"/>
      <c r="K25" s="413"/>
      <c r="L25" s="414"/>
      <c r="M25" s="414"/>
      <c r="N25" s="399">
        <f t="shared" si="1"/>
        <v>110000</v>
      </c>
      <c r="O25" s="421">
        <f t="shared" si="2"/>
        <v>110000</v>
      </c>
      <c r="P25" s="800">
        <f t="shared" si="3"/>
        <v>110000</v>
      </c>
    </row>
    <row r="26" spans="1:16" s="411" customFormat="1" ht="18" customHeight="1">
      <c r="A26" s="412" t="s">
        <v>99</v>
      </c>
      <c r="B26" s="413">
        <v>3000</v>
      </c>
      <c r="C26" s="413">
        <v>3000</v>
      </c>
      <c r="D26" s="413">
        <v>3000</v>
      </c>
      <c r="E26" s="413"/>
      <c r="F26" s="413"/>
      <c r="G26" s="413"/>
      <c r="H26" s="413"/>
      <c r="I26" s="413"/>
      <c r="J26" s="413"/>
      <c r="K26" s="413"/>
      <c r="L26" s="414"/>
      <c r="M26" s="414"/>
      <c r="N26" s="399">
        <f t="shared" si="1"/>
        <v>3000</v>
      </c>
      <c r="O26" s="421">
        <f t="shared" si="2"/>
        <v>3000</v>
      </c>
      <c r="P26" s="800">
        <f t="shared" si="3"/>
        <v>3000</v>
      </c>
    </row>
    <row r="27" spans="1:16" ht="18" customHeight="1">
      <c r="A27" s="403" t="s">
        <v>100</v>
      </c>
      <c r="B27" s="416">
        <v>300</v>
      </c>
      <c r="C27" s="416">
        <v>300</v>
      </c>
      <c r="D27" s="416">
        <v>300</v>
      </c>
      <c r="E27" s="416">
        <v>1000</v>
      </c>
      <c r="F27" s="416">
        <v>1000</v>
      </c>
      <c r="G27" s="416">
        <v>1000</v>
      </c>
      <c r="H27" s="416"/>
      <c r="I27" s="416"/>
      <c r="J27" s="416"/>
      <c r="K27" s="416"/>
      <c r="L27" s="417"/>
      <c r="M27" s="417"/>
      <c r="N27" s="399">
        <f t="shared" si="1"/>
        <v>1300</v>
      </c>
      <c r="O27" s="421">
        <f t="shared" si="2"/>
        <v>1300</v>
      </c>
      <c r="P27" s="800">
        <f t="shared" si="3"/>
        <v>1300</v>
      </c>
    </row>
    <row r="28" spans="1:16" s="411" customFormat="1" ht="18" customHeight="1">
      <c r="A28" s="418" t="s">
        <v>101</v>
      </c>
      <c r="B28" s="416">
        <v>10500</v>
      </c>
      <c r="C28" s="416">
        <v>10500</v>
      </c>
      <c r="D28" s="416">
        <v>10500</v>
      </c>
      <c r="E28" s="416"/>
      <c r="F28" s="416"/>
      <c r="G28" s="416"/>
      <c r="H28" s="416"/>
      <c r="I28" s="416"/>
      <c r="J28" s="416"/>
      <c r="K28" s="416"/>
      <c r="L28" s="417"/>
      <c r="M28" s="417"/>
      <c r="N28" s="399">
        <f t="shared" si="1"/>
        <v>10500</v>
      </c>
      <c r="O28" s="421">
        <f t="shared" si="2"/>
        <v>10500</v>
      </c>
      <c r="P28" s="800">
        <f t="shared" si="3"/>
        <v>10500</v>
      </c>
    </row>
    <row r="29" spans="1:16" s="411" customFormat="1" ht="18" customHeight="1">
      <c r="A29" s="407" t="s">
        <v>102</v>
      </c>
      <c r="B29" s="419">
        <f>SUM(B30:B31,B33:B38)</f>
        <v>1069106</v>
      </c>
      <c r="C29" s="419">
        <f>SUM(C30+C31+C33+C35+C36+C37+C38)</f>
        <v>1069106</v>
      </c>
      <c r="D29" s="419">
        <f aca="true" t="shared" si="7" ref="D29:M29">SUM(D30+D31+D33+D35+D36+D37+D38)</f>
        <v>1011406</v>
      </c>
      <c r="E29" s="419">
        <f t="shared" si="7"/>
        <v>6310</v>
      </c>
      <c r="F29" s="419">
        <f t="shared" si="7"/>
        <v>7253</v>
      </c>
      <c r="G29" s="419">
        <f t="shared" si="7"/>
        <v>7263</v>
      </c>
      <c r="H29" s="419">
        <f t="shared" si="7"/>
        <v>164817</v>
      </c>
      <c r="I29" s="419">
        <f t="shared" si="7"/>
        <v>165417</v>
      </c>
      <c r="J29" s="419">
        <f t="shared" si="7"/>
        <v>210132</v>
      </c>
      <c r="K29" s="419">
        <f t="shared" si="7"/>
        <v>42857</v>
      </c>
      <c r="L29" s="419">
        <f t="shared" si="7"/>
        <v>42857</v>
      </c>
      <c r="M29" s="419">
        <f t="shared" si="7"/>
        <v>42857</v>
      </c>
      <c r="N29" s="399">
        <f t="shared" si="1"/>
        <v>1283090</v>
      </c>
      <c r="O29" s="421">
        <f t="shared" si="2"/>
        <v>1284633</v>
      </c>
      <c r="P29" s="800">
        <f t="shared" si="3"/>
        <v>1271658</v>
      </c>
    </row>
    <row r="30" spans="1:16" ht="18" customHeight="1">
      <c r="A30" s="403" t="s">
        <v>345</v>
      </c>
      <c r="B30" s="416">
        <f>579136+42372</f>
        <v>621508</v>
      </c>
      <c r="C30" s="416">
        <v>621508</v>
      </c>
      <c r="D30" s="416">
        <v>562508</v>
      </c>
      <c r="E30" s="416"/>
      <c r="F30" s="416"/>
      <c r="G30" s="416"/>
      <c r="H30" s="416"/>
      <c r="I30" s="416"/>
      <c r="J30" s="416"/>
      <c r="K30" s="416">
        <v>33746</v>
      </c>
      <c r="L30" s="417">
        <v>33746</v>
      </c>
      <c r="M30" s="417">
        <v>1760</v>
      </c>
      <c r="N30" s="399">
        <f t="shared" si="1"/>
        <v>655254</v>
      </c>
      <c r="O30" s="421">
        <f t="shared" si="2"/>
        <v>655254</v>
      </c>
      <c r="P30" s="800">
        <f t="shared" si="3"/>
        <v>564268</v>
      </c>
    </row>
    <row r="31" spans="1:16" ht="18" customHeight="1">
      <c r="A31" s="403" t="s">
        <v>103</v>
      </c>
      <c r="B31" s="416">
        <v>214770</v>
      </c>
      <c r="C31" s="416">
        <v>128538</v>
      </c>
      <c r="D31" s="416">
        <v>129838</v>
      </c>
      <c r="E31" s="416">
        <v>6310</v>
      </c>
      <c r="F31" s="416">
        <v>7253</v>
      </c>
      <c r="G31" s="416">
        <v>7263</v>
      </c>
      <c r="H31" s="416">
        <v>42953</v>
      </c>
      <c r="I31" s="416">
        <v>43553</v>
      </c>
      <c r="J31" s="416">
        <v>55920</v>
      </c>
      <c r="K31" s="416"/>
      <c r="L31" s="417"/>
      <c r="M31" s="417">
        <v>31938</v>
      </c>
      <c r="N31" s="399">
        <f t="shared" si="1"/>
        <v>264033</v>
      </c>
      <c r="O31" s="421">
        <f t="shared" si="2"/>
        <v>179344</v>
      </c>
      <c r="P31" s="800">
        <f t="shared" si="3"/>
        <v>224959</v>
      </c>
    </row>
    <row r="32" spans="1:16" ht="18" customHeight="1">
      <c r="A32" s="403" t="s">
        <v>104</v>
      </c>
      <c r="B32" s="416">
        <v>46000</v>
      </c>
      <c r="C32" s="416">
        <v>0</v>
      </c>
      <c r="D32" s="416">
        <v>0</v>
      </c>
      <c r="E32" s="416"/>
      <c r="F32" s="416"/>
      <c r="G32" s="416"/>
      <c r="H32" s="416"/>
      <c r="I32" s="416"/>
      <c r="J32" s="416"/>
      <c r="K32" s="416"/>
      <c r="L32" s="417"/>
      <c r="M32" s="417"/>
      <c r="N32" s="399">
        <f t="shared" si="1"/>
        <v>46000</v>
      </c>
      <c r="O32" s="421">
        <f t="shared" si="2"/>
        <v>0</v>
      </c>
      <c r="P32" s="800">
        <f t="shared" si="3"/>
        <v>0</v>
      </c>
    </row>
    <row r="33" spans="1:16" ht="18" customHeight="1">
      <c r="A33" s="403" t="s">
        <v>228</v>
      </c>
      <c r="B33" s="416">
        <v>18215</v>
      </c>
      <c r="C33" s="416">
        <v>104447</v>
      </c>
      <c r="D33" s="416">
        <v>104447</v>
      </c>
      <c r="E33" s="416"/>
      <c r="F33" s="416"/>
      <c r="G33" s="416"/>
      <c r="H33" s="416"/>
      <c r="I33" s="416"/>
      <c r="J33" s="416"/>
      <c r="K33" s="416"/>
      <c r="L33" s="417"/>
      <c r="M33" s="417"/>
      <c r="N33" s="399">
        <f t="shared" si="1"/>
        <v>18215</v>
      </c>
      <c r="O33" s="421">
        <f t="shared" si="2"/>
        <v>104447</v>
      </c>
      <c r="P33" s="800">
        <f t="shared" si="3"/>
        <v>104447</v>
      </c>
    </row>
    <row r="34" spans="1:16" ht="18" customHeight="1">
      <c r="A34" s="403" t="s">
        <v>104</v>
      </c>
      <c r="B34" s="416"/>
      <c r="C34" s="416">
        <v>46000</v>
      </c>
      <c r="D34" s="416">
        <v>46000</v>
      </c>
      <c r="E34" s="416"/>
      <c r="F34" s="416"/>
      <c r="G34" s="416"/>
      <c r="H34" s="416"/>
      <c r="I34" s="416"/>
      <c r="J34" s="416"/>
      <c r="K34" s="416"/>
      <c r="L34" s="417"/>
      <c r="M34" s="417"/>
      <c r="N34" s="399">
        <f t="shared" si="1"/>
        <v>0</v>
      </c>
      <c r="O34" s="421">
        <f t="shared" si="2"/>
        <v>46000</v>
      </c>
      <c r="P34" s="800">
        <f t="shared" si="3"/>
        <v>46000</v>
      </c>
    </row>
    <row r="35" spans="1:16" ht="18" customHeight="1">
      <c r="A35" s="403" t="s">
        <v>105</v>
      </c>
      <c r="B35" s="416"/>
      <c r="C35" s="416"/>
      <c r="D35" s="416"/>
      <c r="E35" s="416"/>
      <c r="F35" s="416"/>
      <c r="G35" s="416"/>
      <c r="H35" s="416">
        <v>82011</v>
      </c>
      <c r="I35" s="416">
        <v>82011</v>
      </c>
      <c r="J35" s="416">
        <v>82011</v>
      </c>
      <c r="K35" s="416"/>
      <c r="L35" s="417"/>
      <c r="M35" s="417"/>
      <c r="N35" s="399">
        <f t="shared" si="1"/>
        <v>82011</v>
      </c>
      <c r="O35" s="421">
        <f t="shared" si="2"/>
        <v>82011</v>
      </c>
      <c r="P35" s="800">
        <f t="shared" si="3"/>
        <v>82011</v>
      </c>
    </row>
    <row r="36" spans="1:16" ht="18" customHeight="1">
      <c r="A36" s="420" t="s">
        <v>229</v>
      </c>
      <c r="B36" s="416">
        <v>187372</v>
      </c>
      <c r="C36" s="416">
        <v>187372</v>
      </c>
      <c r="D36" s="416">
        <v>187372</v>
      </c>
      <c r="E36" s="416"/>
      <c r="F36" s="416"/>
      <c r="G36" s="416"/>
      <c r="H36" s="416">
        <v>39853</v>
      </c>
      <c r="I36" s="416">
        <v>39853</v>
      </c>
      <c r="J36" s="416">
        <v>72201</v>
      </c>
      <c r="K36" s="416">
        <v>9111</v>
      </c>
      <c r="L36" s="417">
        <v>9111</v>
      </c>
      <c r="M36" s="417">
        <v>9111</v>
      </c>
      <c r="N36" s="399">
        <f t="shared" si="1"/>
        <v>236336</v>
      </c>
      <c r="O36" s="421">
        <f t="shared" si="2"/>
        <v>236336</v>
      </c>
      <c r="P36" s="800">
        <f t="shared" si="3"/>
        <v>268684</v>
      </c>
    </row>
    <row r="37" spans="1:16" ht="18" customHeight="1">
      <c r="A37" s="403" t="s">
        <v>106</v>
      </c>
      <c r="B37" s="416">
        <v>5000</v>
      </c>
      <c r="C37" s="416">
        <v>5000</v>
      </c>
      <c r="D37" s="416">
        <v>5000</v>
      </c>
      <c r="E37" s="416"/>
      <c r="F37" s="416"/>
      <c r="G37" s="416"/>
      <c r="H37" s="416"/>
      <c r="I37" s="416"/>
      <c r="J37" s="416"/>
      <c r="K37" s="416"/>
      <c r="L37" s="417"/>
      <c r="M37" s="417">
        <v>48</v>
      </c>
      <c r="N37" s="399">
        <f t="shared" si="1"/>
        <v>5000</v>
      </c>
      <c r="O37" s="421">
        <f t="shared" si="2"/>
        <v>5000</v>
      </c>
      <c r="P37" s="800">
        <f t="shared" si="3"/>
        <v>5048</v>
      </c>
    </row>
    <row r="38" spans="1:16" ht="18" customHeight="1">
      <c r="A38" s="403" t="s">
        <v>197</v>
      </c>
      <c r="B38" s="416">
        <v>22241</v>
      </c>
      <c r="C38" s="416">
        <v>22241</v>
      </c>
      <c r="D38" s="416">
        <v>22241</v>
      </c>
      <c r="E38" s="416"/>
      <c r="F38" s="416"/>
      <c r="G38" s="416"/>
      <c r="H38" s="416"/>
      <c r="I38" s="416"/>
      <c r="J38" s="416"/>
      <c r="K38" s="416"/>
      <c r="L38" s="417"/>
      <c r="M38" s="417"/>
      <c r="N38" s="399">
        <f t="shared" si="1"/>
        <v>22241</v>
      </c>
      <c r="O38" s="421">
        <f t="shared" si="2"/>
        <v>22241</v>
      </c>
      <c r="P38" s="800">
        <f t="shared" si="3"/>
        <v>22241</v>
      </c>
    </row>
    <row r="39" spans="1:16" s="396" customFormat="1" ht="18" customHeight="1">
      <c r="A39" s="408" t="s">
        <v>107</v>
      </c>
      <c r="B39" s="419">
        <f>SUM(B40:B41)</f>
        <v>7494</v>
      </c>
      <c r="C39" s="419">
        <f>SUM(C40:C41)</f>
        <v>7494</v>
      </c>
      <c r="D39" s="419">
        <f aca="true" t="shared" si="8" ref="D39:M39">SUM(D40:D41)</f>
        <v>67494</v>
      </c>
      <c r="E39" s="419">
        <f t="shared" si="8"/>
        <v>0</v>
      </c>
      <c r="F39" s="419">
        <f t="shared" si="8"/>
        <v>0</v>
      </c>
      <c r="G39" s="419">
        <f t="shared" si="8"/>
        <v>0</v>
      </c>
      <c r="H39" s="419">
        <f t="shared" si="8"/>
        <v>0</v>
      </c>
      <c r="I39" s="419">
        <f t="shared" si="8"/>
        <v>0</v>
      </c>
      <c r="J39" s="419">
        <f t="shared" si="8"/>
        <v>0</v>
      </c>
      <c r="K39" s="419">
        <f t="shared" si="8"/>
        <v>0</v>
      </c>
      <c r="L39" s="419">
        <f t="shared" si="8"/>
        <v>0</v>
      </c>
      <c r="M39" s="419">
        <f t="shared" si="8"/>
        <v>0</v>
      </c>
      <c r="N39" s="399">
        <f t="shared" si="1"/>
        <v>7494</v>
      </c>
      <c r="O39" s="421">
        <f t="shared" si="2"/>
        <v>7494</v>
      </c>
      <c r="P39" s="800">
        <f t="shared" si="3"/>
        <v>67494</v>
      </c>
    </row>
    <row r="40" spans="1:16" ht="18" customHeight="1">
      <c r="A40" s="403" t="s">
        <v>198</v>
      </c>
      <c r="B40" s="416">
        <v>7494</v>
      </c>
      <c r="C40" s="416">
        <v>7494</v>
      </c>
      <c r="D40" s="416">
        <v>67494</v>
      </c>
      <c r="E40" s="416"/>
      <c r="F40" s="416"/>
      <c r="G40" s="416"/>
      <c r="H40" s="416"/>
      <c r="I40" s="416"/>
      <c r="J40" s="416"/>
      <c r="K40" s="416"/>
      <c r="L40" s="417"/>
      <c r="M40" s="417"/>
      <c r="N40" s="399">
        <f t="shared" si="1"/>
        <v>7494</v>
      </c>
      <c r="O40" s="421">
        <f t="shared" si="2"/>
        <v>7494</v>
      </c>
      <c r="P40" s="800">
        <f t="shared" si="3"/>
        <v>67494</v>
      </c>
    </row>
    <row r="41" spans="1:16" ht="18" customHeight="1">
      <c r="A41" s="403" t="s">
        <v>230</v>
      </c>
      <c r="B41" s="416"/>
      <c r="C41" s="416"/>
      <c r="D41" s="416"/>
      <c r="E41" s="416"/>
      <c r="F41" s="416"/>
      <c r="G41" s="416"/>
      <c r="H41" s="416"/>
      <c r="I41" s="416"/>
      <c r="J41" s="416"/>
      <c r="K41" s="416"/>
      <c r="L41" s="417"/>
      <c r="M41" s="417"/>
      <c r="N41" s="399">
        <f t="shared" si="1"/>
        <v>0</v>
      </c>
      <c r="O41" s="421">
        <f t="shared" si="2"/>
        <v>0</v>
      </c>
      <c r="P41" s="800">
        <f t="shared" si="3"/>
        <v>0</v>
      </c>
    </row>
    <row r="42" spans="1:16" s="396" customFormat="1" ht="18" customHeight="1">
      <c r="A42" s="408" t="s">
        <v>109</v>
      </c>
      <c r="B42" s="419">
        <f>SUM(B43:B45)</f>
        <v>178693</v>
      </c>
      <c r="C42" s="419">
        <f>SUM(C43:C45)</f>
        <v>178693</v>
      </c>
      <c r="D42" s="419">
        <f aca="true" t="shared" si="9" ref="D42:M42">SUM(D43:D45)</f>
        <v>178632</v>
      </c>
      <c r="E42" s="419">
        <f t="shared" si="9"/>
        <v>0</v>
      </c>
      <c r="F42" s="419">
        <f t="shared" si="9"/>
        <v>0</v>
      </c>
      <c r="G42" s="419">
        <f t="shared" si="9"/>
        <v>0</v>
      </c>
      <c r="H42" s="419">
        <f t="shared" si="9"/>
        <v>0</v>
      </c>
      <c r="I42" s="419">
        <f t="shared" si="9"/>
        <v>0</v>
      </c>
      <c r="J42" s="419">
        <f t="shared" si="9"/>
        <v>312</v>
      </c>
      <c r="K42" s="419">
        <f t="shared" si="9"/>
        <v>0</v>
      </c>
      <c r="L42" s="419">
        <f t="shared" si="9"/>
        <v>0</v>
      </c>
      <c r="M42" s="419">
        <f t="shared" si="9"/>
        <v>0</v>
      </c>
      <c r="N42" s="399">
        <f t="shared" si="1"/>
        <v>178693</v>
      </c>
      <c r="O42" s="421">
        <f t="shared" si="2"/>
        <v>178693</v>
      </c>
      <c r="P42" s="800">
        <f t="shared" si="3"/>
        <v>178944</v>
      </c>
    </row>
    <row r="43" spans="1:16" ht="18" customHeight="1">
      <c r="A43" s="420" t="s">
        <v>110</v>
      </c>
      <c r="B43" s="416">
        <v>154763</v>
      </c>
      <c r="C43" s="416">
        <v>154763</v>
      </c>
      <c r="D43" s="416">
        <v>154763</v>
      </c>
      <c r="E43" s="416"/>
      <c r="F43" s="416"/>
      <c r="G43" s="416"/>
      <c r="H43" s="416"/>
      <c r="I43" s="416"/>
      <c r="J43" s="416"/>
      <c r="K43" s="416"/>
      <c r="L43" s="417"/>
      <c r="M43" s="417"/>
      <c r="N43" s="399">
        <f t="shared" si="1"/>
        <v>154763</v>
      </c>
      <c r="O43" s="421">
        <f t="shared" si="2"/>
        <v>154763</v>
      </c>
      <c r="P43" s="800">
        <f t="shared" si="3"/>
        <v>154763</v>
      </c>
    </row>
    <row r="44" spans="1:16" ht="18" customHeight="1">
      <c r="A44" s="420" t="s">
        <v>111</v>
      </c>
      <c r="B44" s="416">
        <v>3840</v>
      </c>
      <c r="C44" s="416">
        <v>3840</v>
      </c>
      <c r="D44" s="416">
        <v>3779</v>
      </c>
      <c r="E44" s="416"/>
      <c r="F44" s="416"/>
      <c r="G44" s="416"/>
      <c r="H44" s="416"/>
      <c r="I44" s="416"/>
      <c r="J44" s="416">
        <v>312</v>
      </c>
      <c r="K44" s="416"/>
      <c r="L44" s="417"/>
      <c r="M44" s="417"/>
      <c r="N44" s="399">
        <f t="shared" si="1"/>
        <v>3840</v>
      </c>
      <c r="O44" s="421">
        <f t="shared" si="2"/>
        <v>3840</v>
      </c>
      <c r="P44" s="800">
        <f t="shared" si="3"/>
        <v>4091</v>
      </c>
    </row>
    <row r="45" spans="1:16" ht="18" customHeight="1">
      <c r="A45" s="420" t="s">
        <v>203</v>
      </c>
      <c r="B45" s="416">
        <v>20090</v>
      </c>
      <c r="C45" s="416">
        <v>20090</v>
      </c>
      <c r="D45" s="416">
        <v>20090</v>
      </c>
      <c r="E45" s="416"/>
      <c r="F45" s="416"/>
      <c r="G45" s="416"/>
      <c r="H45" s="416"/>
      <c r="I45" s="416"/>
      <c r="J45" s="416"/>
      <c r="K45" s="416"/>
      <c r="L45" s="417"/>
      <c r="M45" s="417"/>
      <c r="N45" s="399">
        <f t="shared" si="1"/>
        <v>20090</v>
      </c>
      <c r="O45" s="421">
        <f t="shared" si="2"/>
        <v>20090</v>
      </c>
      <c r="P45" s="800">
        <f t="shared" si="3"/>
        <v>20090</v>
      </c>
    </row>
    <row r="46" spans="1:16" s="396" customFormat="1" ht="18" customHeight="1">
      <c r="A46" s="422" t="s">
        <v>112</v>
      </c>
      <c r="B46" s="419">
        <f aca="true" t="shared" si="10" ref="B46:M46">SUM(B47:B48)</f>
        <v>109123</v>
      </c>
      <c r="C46" s="419">
        <f t="shared" si="10"/>
        <v>109123</v>
      </c>
      <c r="D46" s="419">
        <f t="shared" si="10"/>
        <v>116129</v>
      </c>
      <c r="E46" s="419">
        <f t="shared" si="10"/>
        <v>1000</v>
      </c>
      <c r="F46" s="419">
        <f t="shared" si="10"/>
        <v>1000</v>
      </c>
      <c r="G46" s="419">
        <f t="shared" si="10"/>
        <v>1000</v>
      </c>
      <c r="H46" s="419">
        <f t="shared" si="10"/>
        <v>0</v>
      </c>
      <c r="I46" s="419">
        <f t="shared" si="10"/>
        <v>0</v>
      </c>
      <c r="J46" s="419">
        <f t="shared" si="10"/>
        <v>0</v>
      </c>
      <c r="K46" s="419">
        <f t="shared" si="10"/>
        <v>0</v>
      </c>
      <c r="L46" s="419">
        <f t="shared" si="10"/>
        <v>0</v>
      </c>
      <c r="M46" s="419">
        <f t="shared" si="10"/>
        <v>0</v>
      </c>
      <c r="N46" s="399">
        <f t="shared" si="1"/>
        <v>110123</v>
      </c>
      <c r="O46" s="421">
        <f t="shared" si="2"/>
        <v>110123</v>
      </c>
      <c r="P46" s="800">
        <f t="shared" si="3"/>
        <v>117129</v>
      </c>
    </row>
    <row r="47" spans="1:16" ht="18" customHeight="1">
      <c r="A47" s="420" t="s">
        <v>113</v>
      </c>
      <c r="B47" s="416">
        <v>108523</v>
      </c>
      <c r="C47" s="416">
        <v>108523</v>
      </c>
      <c r="D47" s="416">
        <v>115529</v>
      </c>
      <c r="E47" s="416">
        <v>1000</v>
      </c>
      <c r="F47" s="416">
        <v>1000</v>
      </c>
      <c r="G47" s="416">
        <v>1000</v>
      </c>
      <c r="H47" s="416"/>
      <c r="I47" s="416"/>
      <c r="J47" s="416"/>
      <c r="K47" s="416"/>
      <c r="L47" s="417"/>
      <c r="M47" s="417"/>
      <c r="N47" s="399">
        <f t="shared" si="1"/>
        <v>109523</v>
      </c>
      <c r="O47" s="421">
        <f t="shared" si="2"/>
        <v>109523</v>
      </c>
      <c r="P47" s="800">
        <f t="shared" si="3"/>
        <v>116529</v>
      </c>
    </row>
    <row r="48" spans="1:16" ht="18" customHeight="1">
      <c r="A48" s="420" t="s">
        <v>114</v>
      </c>
      <c r="B48" s="416">
        <v>600</v>
      </c>
      <c r="C48" s="416">
        <v>600</v>
      </c>
      <c r="D48" s="416">
        <v>600</v>
      </c>
      <c r="E48" s="416"/>
      <c r="F48" s="416"/>
      <c r="G48" s="416"/>
      <c r="H48" s="416"/>
      <c r="I48" s="416"/>
      <c r="J48" s="416"/>
      <c r="K48" s="416"/>
      <c r="L48" s="417"/>
      <c r="M48" s="417"/>
      <c r="N48" s="399">
        <f t="shared" si="1"/>
        <v>600</v>
      </c>
      <c r="O48" s="421">
        <f t="shared" si="2"/>
        <v>600</v>
      </c>
      <c r="P48" s="800">
        <f t="shared" si="3"/>
        <v>600</v>
      </c>
    </row>
    <row r="49" spans="1:16" s="406" customFormat="1" ht="18" customHeight="1">
      <c r="A49" s="422" t="s">
        <v>115</v>
      </c>
      <c r="B49" s="419">
        <f aca="true" t="shared" si="11" ref="B49:M49">SUM(B6,B10,B13,B18,B29,B39,B42,B46)</f>
        <v>6838615</v>
      </c>
      <c r="C49" s="419">
        <f t="shared" si="11"/>
        <v>6935725</v>
      </c>
      <c r="D49" s="419">
        <f t="shared" si="11"/>
        <v>6956319</v>
      </c>
      <c r="E49" s="419">
        <f t="shared" si="11"/>
        <v>29340</v>
      </c>
      <c r="F49" s="419">
        <f t="shared" si="11"/>
        <v>34616</v>
      </c>
      <c r="G49" s="419">
        <f t="shared" si="11"/>
        <v>39172</v>
      </c>
      <c r="H49" s="419">
        <f t="shared" si="11"/>
        <v>277650</v>
      </c>
      <c r="I49" s="419">
        <f t="shared" si="11"/>
        <v>282638</v>
      </c>
      <c r="J49" s="419">
        <f t="shared" si="11"/>
        <v>331647</v>
      </c>
      <c r="K49" s="419">
        <f t="shared" si="11"/>
        <v>42857</v>
      </c>
      <c r="L49" s="419">
        <f t="shared" si="11"/>
        <v>45865</v>
      </c>
      <c r="M49" s="419">
        <f t="shared" si="11"/>
        <v>45979</v>
      </c>
      <c r="N49" s="399">
        <f t="shared" si="1"/>
        <v>7188462</v>
      </c>
      <c r="O49" s="421">
        <f t="shared" si="2"/>
        <v>7298844</v>
      </c>
      <c r="P49" s="800">
        <f t="shared" si="3"/>
        <v>7373117</v>
      </c>
    </row>
    <row r="50" spans="1:16" s="406" customFormat="1" ht="18" customHeight="1">
      <c r="A50" s="407" t="s">
        <v>116</v>
      </c>
      <c r="B50" s="419">
        <f aca="true" t="shared" si="12" ref="B50:L50">SUM(B51:B52)</f>
        <v>904031</v>
      </c>
      <c r="C50" s="419">
        <f t="shared" si="12"/>
        <v>904031</v>
      </c>
      <c r="D50" s="419">
        <f t="shared" si="12"/>
        <v>900000</v>
      </c>
      <c r="E50" s="419">
        <f t="shared" si="12"/>
        <v>0</v>
      </c>
      <c r="F50" s="419">
        <f t="shared" si="12"/>
        <v>0</v>
      </c>
      <c r="G50" s="419"/>
      <c r="H50" s="419">
        <f t="shared" si="12"/>
        <v>0</v>
      </c>
      <c r="I50" s="419">
        <f t="shared" si="12"/>
        <v>0</v>
      </c>
      <c r="J50" s="419"/>
      <c r="K50" s="419">
        <f t="shared" si="12"/>
        <v>0</v>
      </c>
      <c r="L50" s="419">
        <f t="shared" si="12"/>
        <v>0</v>
      </c>
      <c r="M50" s="421"/>
      <c r="N50" s="399">
        <f t="shared" si="1"/>
        <v>904031</v>
      </c>
      <c r="O50" s="421">
        <f t="shared" si="2"/>
        <v>904031</v>
      </c>
      <c r="P50" s="800">
        <f t="shared" si="3"/>
        <v>900000</v>
      </c>
    </row>
    <row r="51" spans="1:16" s="411" customFormat="1" ht="18" customHeight="1">
      <c r="A51" s="418" t="s">
        <v>502</v>
      </c>
      <c r="B51" s="416">
        <v>250000</v>
      </c>
      <c r="C51" s="416">
        <v>250000</v>
      </c>
      <c r="D51" s="416">
        <v>250000</v>
      </c>
      <c r="E51" s="413"/>
      <c r="F51" s="413"/>
      <c r="G51" s="413"/>
      <c r="H51" s="413"/>
      <c r="I51" s="413"/>
      <c r="J51" s="413"/>
      <c r="K51" s="413"/>
      <c r="L51" s="414"/>
      <c r="M51" s="414"/>
      <c r="N51" s="399">
        <f t="shared" si="1"/>
        <v>250000</v>
      </c>
      <c r="O51" s="421">
        <f t="shared" si="2"/>
        <v>250000</v>
      </c>
      <c r="P51" s="800">
        <f t="shared" si="3"/>
        <v>250000</v>
      </c>
    </row>
    <row r="52" spans="1:16" s="411" customFormat="1" ht="18" customHeight="1">
      <c r="A52" s="418" t="s">
        <v>508</v>
      </c>
      <c r="B52" s="416">
        <v>654031</v>
      </c>
      <c r="C52" s="416">
        <v>654031</v>
      </c>
      <c r="D52" s="416">
        <v>650000</v>
      </c>
      <c r="E52" s="413"/>
      <c r="F52" s="413"/>
      <c r="G52" s="413"/>
      <c r="H52" s="413"/>
      <c r="I52" s="413"/>
      <c r="J52" s="413"/>
      <c r="K52" s="413"/>
      <c r="L52" s="414"/>
      <c r="M52" s="414"/>
      <c r="N52" s="399">
        <f t="shared" si="1"/>
        <v>654031</v>
      </c>
      <c r="O52" s="421">
        <f t="shared" si="2"/>
        <v>654031</v>
      </c>
      <c r="P52" s="800">
        <f t="shared" si="3"/>
        <v>650000</v>
      </c>
    </row>
    <row r="53" spans="1:16" s="406" customFormat="1" ht="18" customHeight="1">
      <c r="A53" s="422" t="s">
        <v>117</v>
      </c>
      <c r="B53" s="419">
        <v>350000</v>
      </c>
      <c r="C53" s="419">
        <v>437067</v>
      </c>
      <c r="D53" s="419">
        <v>437067</v>
      </c>
      <c r="E53" s="423"/>
      <c r="F53" s="419">
        <v>12502</v>
      </c>
      <c r="G53" s="419">
        <v>12502</v>
      </c>
      <c r="H53" s="423"/>
      <c r="I53" s="419">
        <v>44513</v>
      </c>
      <c r="J53" s="419">
        <v>44513</v>
      </c>
      <c r="K53" s="423"/>
      <c r="L53" s="421">
        <v>50174</v>
      </c>
      <c r="M53" s="421">
        <v>50174</v>
      </c>
      <c r="N53" s="399">
        <f t="shared" si="1"/>
        <v>350000</v>
      </c>
      <c r="O53" s="421">
        <f t="shared" si="2"/>
        <v>544256</v>
      </c>
      <c r="P53" s="800">
        <f t="shared" si="3"/>
        <v>544256</v>
      </c>
    </row>
    <row r="54" spans="1:16" s="396" customFormat="1" ht="18" customHeight="1">
      <c r="A54" s="422" t="s">
        <v>118</v>
      </c>
      <c r="B54" s="419"/>
      <c r="C54" s="419"/>
      <c r="D54" s="419"/>
      <c r="E54" s="419">
        <v>703219</v>
      </c>
      <c r="F54" s="419">
        <v>707020</v>
      </c>
      <c r="G54" s="419">
        <v>711313</v>
      </c>
      <c r="H54" s="419">
        <v>789701</v>
      </c>
      <c r="I54" s="419">
        <v>795509</v>
      </c>
      <c r="J54" s="419">
        <v>800675</v>
      </c>
      <c r="K54" s="419">
        <v>144887</v>
      </c>
      <c r="L54" s="421">
        <v>145484</v>
      </c>
      <c r="M54" s="421">
        <v>148793</v>
      </c>
      <c r="N54" s="399">
        <f t="shared" si="1"/>
        <v>1637807</v>
      </c>
      <c r="O54" s="421">
        <f t="shared" si="2"/>
        <v>1648013</v>
      </c>
      <c r="P54" s="800">
        <f t="shared" si="3"/>
        <v>1660781</v>
      </c>
    </row>
    <row r="55" spans="1:16" s="426" customFormat="1" ht="18" customHeight="1">
      <c r="A55" s="424" t="s">
        <v>119</v>
      </c>
      <c r="B55" s="425">
        <f>SUM(B50+B53+B54)</f>
        <v>1254031</v>
      </c>
      <c r="C55" s="425">
        <f>SUM(C50+C53+C54)</f>
        <v>1341098</v>
      </c>
      <c r="D55" s="425">
        <f>SUM(D50+D53+D54)</f>
        <v>1337067</v>
      </c>
      <c r="E55" s="425">
        <f aca="true" t="shared" si="13" ref="E55:M55">SUM(E50+E53+E54)</f>
        <v>703219</v>
      </c>
      <c r="F55" s="425">
        <f t="shared" si="13"/>
        <v>719522</v>
      </c>
      <c r="G55" s="425">
        <f t="shared" si="13"/>
        <v>723815</v>
      </c>
      <c r="H55" s="425">
        <f t="shared" si="13"/>
        <v>789701</v>
      </c>
      <c r="I55" s="425">
        <f t="shared" si="13"/>
        <v>840022</v>
      </c>
      <c r="J55" s="425">
        <f t="shared" si="13"/>
        <v>845188</v>
      </c>
      <c r="K55" s="425">
        <f t="shared" si="13"/>
        <v>144887</v>
      </c>
      <c r="L55" s="425">
        <f t="shared" si="13"/>
        <v>195658</v>
      </c>
      <c r="M55" s="425">
        <f t="shared" si="13"/>
        <v>198967</v>
      </c>
      <c r="N55" s="399">
        <f t="shared" si="1"/>
        <v>2891838</v>
      </c>
      <c r="O55" s="421">
        <f t="shared" si="2"/>
        <v>3096300</v>
      </c>
      <c r="P55" s="800">
        <f t="shared" si="3"/>
        <v>3105037</v>
      </c>
    </row>
    <row r="56" spans="1:16" s="396" customFormat="1" ht="18" customHeight="1" thickBot="1">
      <c r="A56" s="427" t="s">
        <v>120</v>
      </c>
      <c r="B56" s="428">
        <f aca="true" t="shared" si="14" ref="B56:M56">SUM(B49,B55)</f>
        <v>8092646</v>
      </c>
      <c r="C56" s="428">
        <f t="shared" si="14"/>
        <v>8276823</v>
      </c>
      <c r="D56" s="428">
        <f t="shared" si="14"/>
        <v>8293386</v>
      </c>
      <c r="E56" s="428">
        <f t="shared" si="14"/>
        <v>732559</v>
      </c>
      <c r="F56" s="428">
        <f t="shared" si="14"/>
        <v>754138</v>
      </c>
      <c r="G56" s="428">
        <f t="shared" si="14"/>
        <v>762987</v>
      </c>
      <c r="H56" s="428">
        <f t="shared" si="14"/>
        <v>1067351</v>
      </c>
      <c r="I56" s="428">
        <f t="shared" si="14"/>
        <v>1122660</v>
      </c>
      <c r="J56" s="428">
        <f t="shared" si="14"/>
        <v>1176835</v>
      </c>
      <c r="K56" s="428">
        <f t="shared" si="14"/>
        <v>187744</v>
      </c>
      <c r="L56" s="428">
        <f t="shared" si="14"/>
        <v>241523</v>
      </c>
      <c r="M56" s="428">
        <f t="shared" si="14"/>
        <v>244946</v>
      </c>
      <c r="N56" s="429">
        <f t="shared" si="1"/>
        <v>10080300</v>
      </c>
      <c r="O56" s="430">
        <f>SUM(C56+F56+I56+L56)</f>
        <v>10395144</v>
      </c>
      <c r="P56" s="802">
        <f t="shared" si="3"/>
        <v>10478154</v>
      </c>
    </row>
    <row r="57" ht="15.75">
      <c r="P57" s="801"/>
    </row>
    <row r="58" ht="15.75">
      <c r="P58" s="801"/>
    </row>
    <row r="59" ht="15.75">
      <c r="P59" s="801"/>
    </row>
    <row r="60" ht="15.75">
      <c r="P60" s="801"/>
    </row>
    <row r="61" ht="15.75">
      <c r="P61" s="801"/>
    </row>
    <row r="62" ht="15.75">
      <c r="P62" s="801"/>
    </row>
    <row r="63" ht="15.75">
      <c r="P63" s="801"/>
    </row>
    <row r="64" ht="15.75">
      <c r="P64" s="801"/>
    </row>
    <row r="65" ht="15.75">
      <c r="P65" s="801"/>
    </row>
    <row r="66" ht="15.75">
      <c r="P66" s="801"/>
    </row>
  </sheetData>
  <sheetProtection/>
  <mergeCells count="7">
    <mergeCell ref="A2:P2"/>
    <mergeCell ref="N4:P4"/>
    <mergeCell ref="K4:M4"/>
    <mergeCell ref="A4:A5"/>
    <mergeCell ref="B4:D4"/>
    <mergeCell ref="E4:G4"/>
    <mergeCell ref="H4:J4"/>
  </mergeCells>
  <printOptions horizontalCentered="1"/>
  <pageMargins left="0.07874015748031496" right="0.07874015748031496" top="0.4724409448818898" bottom="0.2362204724409449" header="0.2362204724409449" footer="0.15748031496062992"/>
  <pageSetup fitToHeight="1" fitToWidth="1" horizontalDpi="600" verticalDpi="600" orientation="landscape" paperSize="9" scale="46" r:id="rId1"/>
  <headerFooter alignWithMargins="0">
    <oddHeader>&amp;L&amp;11 3. melléklet a 18/2014.(IX.1.) önkormányzati rendelethez
"3. melléklet az 1/2014.(I.31.) önkormányzati rendelethez"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4"/>
  <sheetViews>
    <sheetView view="pageLayout" zoomScaleSheetLayoutView="100" workbookViewId="0" topLeftCell="C1">
      <selection activeCell="C2" sqref="C2:R2"/>
    </sheetView>
  </sheetViews>
  <sheetFormatPr defaultColWidth="9.00390625" defaultRowHeight="25.5" customHeight="1"/>
  <cols>
    <col min="1" max="1" width="0.12890625" style="585" hidden="1" customWidth="1"/>
    <col min="2" max="2" width="0" style="585" hidden="1" customWidth="1"/>
    <col min="3" max="3" width="56.75390625" style="585" customWidth="1"/>
    <col min="4" max="4" width="13.125" style="585" customWidth="1"/>
    <col min="5" max="5" width="13.75390625" style="585" customWidth="1"/>
    <col min="6" max="6" width="15.125" style="585" customWidth="1"/>
    <col min="7" max="7" width="12.625" style="585" customWidth="1"/>
    <col min="8" max="8" width="13.875" style="585" customWidth="1"/>
    <col min="9" max="9" width="15.125" style="585" customWidth="1"/>
    <col min="10" max="10" width="12.75390625" style="585" customWidth="1"/>
    <col min="11" max="11" width="13.125" style="585" customWidth="1"/>
    <col min="12" max="12" width="15.125" style="585" customWidth="1"/>
    <col min="13" max="13" width="11.625" style="585" customWidth="1"/>
    <col min="14" max="14" width="12.375" style="585" customWidth="1"/>
    <col min="15" max="15" width="15.125" style="585" customWidth="1"/>
    <col min="16" max="16" width="12.625" style="585" customWidth="1"/>
    <col min="17" max="17" width="13.875" style="585" customWidth="1"/>
    <col min="18" max="18" width="15.00390625" style="585" customWidth="1"/>
    <col min="19" max="16384" width="9.125" style="585" customWidth="1"/>
  </cols>
  <sheetData>
    <row r="1" spans="3:18" s="582" customFormat="1" ht="18" customHeight="1">
      <c r="C1" s="977" t="s">
        <v>2</v>
      </c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42"/>
      <c r="R1" s="942"/>
    </row>
    <row r="2" spans="3:18" s="582" customFormat="1" ht="18" customHeight="1">
      <c r="C2" s="978" t="s">
        <v>33</v>
      </c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9"/>
      <c r="Q2" s="942"/>
      <c r="R2" s="942"/>
    </row>
    <row r="3" spans="3:15" s="582" customFormat="1" ht="18" customHeight="1" thickBot="1"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</row>
    <row r="4" spans="1:26" ht="65.25" customHeight="1">
      <c r="A4" s="584"/>
      <c r="B4" s="582"/>
      <c r="C4" s="986" t="s">
        <v>34</v>
      </c>
      <c r="D4" s="980" t="s">
        <v>164</v>
      </c>
      <c r="E4" s="981"/>
      <c r="F4" s="982"/>
      <c r="G4" s="980" t="s">
        <v>170</v>
      </c>
      <c r="H4" s="981"/>
      <c r="I4" s="982"/>
      <c r="J4" s="980" t="s">
        <v>35</v>
      </c>
      <c r="K4" s="981"/>
      <c r="L4" s="982"/>
      <c r="M4" s="980" t="s">
        <v>36</v>
      </c>
      <c r="N4" s="981"/>
      <c r="O4" s="982"/>
      <c r="P4" s="983" t="s">
        <v>501</v>
      </c>
      <c r="Q4" s="984"/>
      <c r="R4" s="985"/>
      <c r="S4" s="582"/>
      <c r="T4" s="582"/>
      <c r="U4" s="582"/>
      <c r="V4" s="582"/>
      <c r="W4" s="582"/>
      <c r="X4" s="582"/>
      <c r="Y4" s="582"/>
      <c r="Z4" s="582"/>
    </row>
    <row r="5" spans="1:26" ht="18.75" customHeight="1">
      <c r="A5" s="586"/>
      <c r="B5" s="587"/>
      <c r="C5" s="987"/>
      <c r="D5" s="588" t="s">
        <v>163</v>
      </c>
      <c r="E5" s="588" t="s">
        <v>765</v>
      </c>
      <c r="F5" s="589" t="s">
        <v>944</v>
      </c>
      <c r="G5" s="588" t="s">
        <v>163</v>
      </c>
      <c r="H5" s="588" t="s">
        <v>765</v>
      </c>
      <c r="I5" s="589" t="s">
        <v>944</v>
      </c>
      <c r="J5" s="588" t="s">
        <v>163</v>
      </c>
      <c r="K5" s="588" t="s">
        <v>765</v>
      </c>
      <c r="L5" s="589" t="s">
        <v>944</v>
      </c>
      <c r="M5" s="588" t="s">
        <v>163</v>
      </c>
      <c r="N5" s="589" t="s">
        <v>765</v>
      </c>
      <c r="O5" s="589" t="s">
        <v>944</v>
      </c>
      <c r="P5" s="590" t="s">
        <v>123</v>
      </c>
      <c r="Q5" s="591" t="s">
        <v>765</v>
      </c>
      <c r="R5" s="592" t="s">
        <v>944</v>
      </c>
      <c r="S5" s="582"/>
      <c r="T5" s="582"/>
      <c r="U5" s="582"/>
      <c r="V5" s="582"/>
      <c r="W5" s="582"/>
      <c r="X5" s="582"/>
      <c r="Y5" s="582"/>
      <c r="Z5" s="582"/>
    </row>
    <row r="6" spans="1:26" s="599" customFormat="1" ht="19.5" customHeight="1">
      <c r="A6" s="593"/>
      <c r="B6" s="594"/>
      <c r="C6" s="595" t="s">
        <v>37</v>
      </c>
      <c r="D6" s="596">
        <v>193853</v>
      </c>
      <c r="E6" s="596">
        <v>207023</v>
      </c>
      <c r="F6" s="596">
        <v>216832</v>
      </c>
      <c r="G6" s="596">
        <v>359636</v>
      </c>
      <c r="H6" s="597">
        <v>374529</v>
      </c>
      <c r="I6" s="597">
        <v>378222</v>
      </c>
      <c r="J6" s="597">
        <v>413886</v>
      </c>
      <c r="K6" s="597">
        <v>429908</v>
      </c>
      <c r="L6" s="597">
        <v>440891</v>
      </c>
      <c r="M6" s="597">
        <v>82636</v>
      </c>
      <c r="N6" s="597">
        <v>84732</v>
      </c>
      <c r="O6" s="597">
        <v>85089</v>
      </c>
      <c r="P6" s="598">
        <f>SUM(D6+G6+J6+M6)</f>
        <v>1050011</v>
      </c>
      <c r="Q6" s="598">
        <f>SUM(E6+H6+K6+N6)</f>
        <v>1096192</v>
      </c>
      <c r="R6" s="793">
        <f>SUM(F6+I6+L6+O6)</f>
        <v>1121034</v>
      </c>
      <c r="S6" s="594"/>
      <c r="T6" s="594"/>
      <c r="U6" s="594"/>
      <c r="V6" s="594"/>
      <c r="W6" s="594"/>
      <c r="X6" s="594"/>
      <c r="Y6" s="594"/>
      <c r="Z6" s="594"/>
    </row>
    <row r="7" spans="1:26" s="599" customFormat="1" ht="19.5" customHeight="1">
      <c r="A7" s="593"/>
      <c r="B7" s="594"/>
      <c r="C7" s="595" t="s">
        <v>38</v>
      </c>
      <c r="D7" s="596">
        <v>44709</v>
      </c>
      <c r="E7" s="596">
        <v>47857</v>
      </c>
      <c r="F7" s="596">
        <v>46850</v>
      </c>
      <c r="G7" s="596">
        <v>101463</v>
      </c>
      <c r="H7" s="600">
        <v>105568</v>
      </c>
      <c r="I7" s="600">
        <v>105663</v>
      </c>
      <c r="J7" s="600">
        <v>110056</v>
      </c>
      <c r="K7" s="600">
        <v>114677</v>
      </c>
      <c r="L7" s="600">
        <v>117587</v>
      </c>
      <c r="M7" s="600">
        <v>23816</v>
      </c>
      <c r="N7" s="600">
        <v>24265</v>
      </c>
      <c r="O7" s="600">
        <v>24331</v>
      </c>
      <c r="P7" s="598">
        <f aca="true" t="shared" si="0" ref="P7:P33">SUM(D7+G7+J7+M7)</f>
        <v>280044</v>
      </c>
      <c r="Q7" s="598">
        <f aca="true" t="shared" si="1" ref="Q7:Q33">SUM(E7+H7+K7+N7)</f>
        <v>292367</v>
      </c>
      <c r="R7" s="793">
        <f aca="true" t="shared" si="2" ref="R7:R33">SUM(F7+I7+L7+O7)</f>
        <v>294431</v>
      </c>
      <c r="S7" s="594"/>
      <c r="T7" s="594"/>
      <c r="U7" s="594"/>
      <c r="V7" s="594"/>
      <c r="W7" s="594"/>
      <c r="X7" s="594"/>
      <c r="Y7" s="594"/>
      <c r="Z7" s="594"/>
    </row>
    <row r="8" spans="1:26" s="599" customFormat="1" ht="19.5" customHeight="1">
      <c r="A8" s="593"/>
      <c r="B8" s="594"/>
      <c r="C8" s="601" t="s">
        <v>39</v>
      </c>
      <c r="D8" s="602">
        <v>896883</v>
      </c>
      <c r="E8" s="602">
        <v>914379</v>
      </c>
      <c r="F8" s="602">
        <v>937226</v>
      </c>
      <c r="G8" s="602">
        <v>130447</v>
      </c>
      <c r="H8" s="602">
        <v>133028</v>
      </c>
      <c r="I8" s="602">
        <v>136155</v>
      </c>
      <c r="J8" s="602">
        <v>505133</v>
      </c>
      <c r="K8" s="602">
        <v>535411</v>
      </c>
      <c r="L8" s="602">
        <v>553931</v>
      </c>
      <c r="M8" s="596">
        <v>79492</v>
      </c>
      <c r="N8" s="600">
        <v>106921</v>
      </c>
      <c r="O8" s="600">
        <v>109921</v>
      </c>
      <c r="P8" s="598">
        <f t="shared" si="0"/>
        <v>1611955</v>
      </c>
      <c r="Q8" s="598">
        <f t="shared" si="1"/>
        <v>1689739</v>
      </c>
      <c r="R8" s="793">
        <f t="shared" si="2"/>
        <v>1737233</v>
      </c>
      <c r="S8" s="594"/>
      <c r="T8" s="594"/>
      <c r="U8" s="594"/>
      <c r="V8" s="594"/>
      <c r="W8" s="594"/>
      <c r="X8" s="594"/>
      <c r="Y8" s="594"/>
      <c r="Z8" s="594"/>
    </row>
    <row r="9" spans="1:26" s="599" customFormat="1" ht="19.5" customHeight="1">
      <c r="A9" s="593"/>
      <c r="B9" s="594"/>
      <c r="C9" s="595" t="s">
        <v>46</v>
      </c>
      <c r="D9" s="602">
        <v>64150</v>
      </c>
      <c r="E9" s="602">
        <v>64150</v>
      </c>
      <c r="F9" s="602">
        <v>65700</v>
      </c>
      <c r="G9" s="602">
        <v>119955</v>
      </c>
      <c r="H9" s="603">
        <v>119955</v>
      </c>
      <c r="I9" s="603">
        <v>119955</v>
      </c>
      <c r="J9" s="603"/>
      <c r="K9" s="603"/>
      <c r="L9" s="603">
        <v>67</v>
      </c>
      <c r="M9" s="596"/>
      <c r="N9" s="600"/>
      <c r="O9" s="600"/>
      <c r="P9" s="598">
        <f t="shared" si="0"/>
        <v>184105</v>
      </c>
      <c r="Q9" s="598">
        <f t="shared" si="1"/>
        <v>184105</v>
      </c>
      <c r="R9" s="793">
        <f t="shared" si="2"/>
        <v>185722</v>
      </c>
      <c r="S9" s="594"/>
      <c r="T9" s="594"/>
      <c r="U9" s="594"/>
      <c r="V9" s="594"/>
      <c r="W9" s="594"/>
      <c r="X9" s="594"/>
      <c r="Y9" s="594"/>
      <c r="Z9" s="594"/>
    </row>
    <row r="10" spans="1:26" s="599" customFormat="1" ht="19.5" customHeight="1">
      <c r="A10" s="593"/>
      <c r="B10" s="594"/>
      <c r="C10" s="601" t="s">
        <v>41</v>
      </c>
      <c r="D10" s="602">
        <f aca="true" t="shared" si="3" ref="D10:O10">SUM(D11+D12+D13+D17)</f>
        <v>1002114</v>
      </c>
      <c r="E10" s="602">
        <f t="shared" si="3"/>
        <v>1051444</v>
      </c>
      <c r="F10" s="602">
        <f t="shared" si="3"/>
        <v>1030686</v>
      </c>
      <c r="G10" s="602">
        <f t="shared" si="3"/>
        <v>0</v>
      </c>
      <c r="H10" s="602">
        <f t="shared" si="3"/>
        <v>0</v>
      </c>
      <c r="I10" s="602">
        <f t="shared" si="3"/>
        <v>933</v>
      </c>
      <c r="J10" s="602">
        <f t="shared" si="3"/>
        <v>0</v>
      </c>
      <c r="K10" s="602">
        <f t="shared" si="3"/>
        <v>4388</v>
      </c>
      <c r="L10" s="602">
        <f t="shared" si="3"/>
        <v>4388</v>
      </c>
      <c r="M10" s="602">
        <f t="shared" si="3"/>
        <v>0</v>
      </c>
      <c r="N10" s="602">
        <f t="shared" si="3"/>
        <v>0</v>
      </c>
      <c r="O10" s="602">
        <f t="shared" si="3"/>
        <v>0</v>
      </c>
      <c r="P10" s="598">
        <f t="shared" si="0"/>
        <v>1002114</v>
      </c>
      <c r="Q10" s="598">
        <f t="shared" si="1"/>
        <v>1055832</v>
      </c>
      <c r="R10" s="793">
        <f t="shared" si="2"/>
        <v>1036007</v>
      </c>
      <c r="S10" s="594"/>
      <c r="T10" s="594"/>
      <c r="U10" s="594"/>
      <c r="V10" s="594"/>
      <c r="W10" s="594"/>
      <c r="X10" s="594"/>
      <c r="Y10" s="594"/>
      <c r="Z10" s="594"/>
    </row>
    <row r="11" spans="1:26" ht="19.5" customHeight="1">
      <c r="A11" s="584"/>
      <c r="B11" s="582"/>
      <c r="C11" s="604" t="s">
        <v>43</v>
      </c>
      <c r="D11" s="605">
        <v>6000</v>
      </c>
      <c r="E11" s="605">
        <v>6000</v>
      </c>
      <c r="F11" s="605">
        <v>6000</v>
      </c>
      <c r="G11" s="605"/>
      <c r="H11" s="606"/>
      <c r="I11" s="606"/>
      <c r="J11" s="606"/>
      <c r="K11" s="606"/>
      <c r="L11" s="606"/>
      <c r="M11" s="606"/>
      <c r="N11" s="606"/>
      <c r="O11" s="606"/>
      <c r="P11" s="598">
        <f t="shared" si="0"/>
        <v>6000</v>
      </c>
      <c r="Q11" s="598">
        <f t="shared" si="1"/>
        <v>6000</v>
      </c>
      <c r="R11" s="793">
        <f t="shared" si="2"/>
        <v>6000</v>
      </c>
      <c r="S11" s="582"/>
      <c r="T11" s="582"/>
      <c r="U11" s="582"/>
      <c r="V11" s="582"/>
      <c r="W11" s="582"/>
      <c r="X11" s="582"/>
      <c r="Y11" s="582"/>
      <c r="Z11" s="582"/>
    </row>
    <row r="12" spans="1:26" ht="19.5" customHeight="1">
      <c r="A12" s="584"/>
      <c r="B12" s="582"/>
      <c r="C12" s="604" t="s">
        <v>44</v>
      </c>
      <c r="D12" s="605">
        <v>834414</v>
      </c>
      <c r="E12" s="605">
        <v>857548</v>
      </c>
      <c r="F12" s="605">
        <v>869271</v>
      </c>
      <c r="G12" s="605"/>
      <c r="H12" s="606"/>
      <c r="I12" s="606"/>
      <c r="J12" s="606"/>
      <c r="K12" s="606">
        <v>4388</v>
      </c>
      <c r="L12" s="606">
        <v>4388</v>
      </c>
      <c r="M12" s="606"/>
      <c r="N12" s="606"/>
      <c r="O12" s="606"/>
      <c r="P12" s="598">
        <f t="shared" si="0"/>
        <v>834414</v>
      </c>
      <c r="Q12" s="598">
        <f t="shared" si="1"/>
        <v>861936</v>
      </c>
      <c r="R12" s="793">
        <f t="shared" si="2"/>
        <v>873659</v>
      </c>
      <c r="S12" s="582"/>
      <c r="T12" s="582"/>
      <c r="U12" s="582"/>
      <c r="V12" s="582"/>
      <c r="W12" s="582"/>
      <c r="X12" s="582"/>
      <c r="Y12" s="582"/>
      <c r="Z12" s="582"/>
    </row>
    <row r="13" spans="1:26" s="599" customFormat="1" ht="19.5" customHeight="1">
      <c r="A13" s="593"/>
      <c r="B13" s="594"/>
      <c r="C13" s="607" t="s">
        <v>153</v>
      </c>
      <c r="D13" s="605">
        <f aca="true" t="shared" si="4" ref="D13:O13">SUM(D14:D16)</f>
        <v>161700</v>
      </c>
      <c r="E13" s="605">
        <f t="shared" si="4"/>
        <v>187896</v>
      </c>
      <c r="F13" s="605">
        <f t="shared" si="4"/>
        <v>140131</v>
      </c>
      <c r="G13" s="605">
        <f t="shared" si="4"/>
        <v>0</v>
      </c>
      <c r="H13" s="605">
        <f t="shared" si="4"/>
        <v>0</v>
      </c>
      <c r="I13" s="605">
        <f t="shared" si="4"/>
        <v>0</v>
      </c>
      <c r="J13" s="605">
        <f t="shared" si="4"/>
        <v>0</v>
      </c>
      <c r="K13" s="605">
        <f t="shared" si="4"/>
        <v>0</v>
      </c>
      <c r="L13" s="605">
        <f t="shared" si="4"/>
        <v>0</v>
      </c>
      <c r="M13" s="605">
        <f t="shared" si="4"/>
        <v>0</v>
      </c>
      <c r="N13" s="605">
        <f t="shared" si="4"/>
        <v>0</v>
      </c>
      <c r="O13" s="605">
        <f t="shared" si="4"/>
        <v>0</v>
      </c>
      <c r="P13" s="598">
        <f t="shared" si="0"/>
        <v>161700</v>
      </c>
      <c r="Q13" s="598">
        <f t="shared" si="1"/>
        <v>187896</v>
      </c>
      <c r="R13" s="793">
        <f t="shared" si="2"/>
        <v>140131</v>
      </c>
      <c r="S13" s="594"/>
      <c r="T13" s="594"/>
      <c r="U13" s="594"/>
      <c r="V13" s="594"/>
      <c r="W13" s="594"/>
      <c r="X13" s="594"/>
      <c r="Y13" s="594"/>
      <c r="Z13" s="594"/>
    </row>
    <row r="14" spans="1:26" s="613" customFormat="1" ht="19.5" customHeight="1">
      <c r="A14" s="608"/>
      <c r="B14" s="609"/>
      <c r="C14" s="610" t="s">
        <v>45</v>
      </c>
      <c r="D14" s="611">
        <v>13000</v>
      </c>
      <c r="E14" s="611">
        <v>10189</v>
      </c>
      <c r="F14" s="611">
        <v>5958</v>
      </c>
      <c r="G14" s="611"/>
      <c r="H14" s="612"/>
      <c r="I14" s="612"/>
      <c r="J14" s="612"/>
      <c r="K14" s="612"/>
      <c r="L14" s="612"/>
      <c r="M14" s="612"/>
      <c r="N14" s="612"/>
      <c r="O14" s="612"/>
      <c r="P14" s="598">
        <f t="shared" si="0"/>
        <v>13000</v>
      </c>
      <c r="Q14" s="598">
        <f t="shared" si="1"/>
        <v>10189</v>
      </c>
      <c r="R14" s="793">
        <f t="shared" si="2"/>
        <v>5958</v>
      </c>
      <c r="S14" s="609"/>
      <c r="T14" s="609"/>
      <c r="U14" s="609"/>
      <c r="V14" s="609"/>
      <c r="W14" s="609"/>
      <c r="X14" s="609"/>
      <c r="Y14" s="609"/>
      <c r="Z14" s="609"/>
    </row>
    <row r="15" spans="1:26" s="613" customFormat="1" ht="19.5" customHeight="1">
      <c r="A15" s="608"/>
      <c r="B15" s="609"/>
      <c r="C15" s="610" t="s">
        <v>707</v>
      </c>
      <c r="D15" s="611">
        <v>125400</v>
      </c>
      <c r="E15" s="611">
        <v>124250</v>
      </c>
      <c r="F15" s="611">
        <v>81927</v>
      </c>
      <c r="G15" s="611"/>
      <c r="H15" s="612"/>
      <c r="I15" s="612"/>
      <c r="J15" s="612"/>
      <c r="K15" s="612"/>
      <c r="L15" s="612"/>
      <c r="M15" s="612"/>
      <c r="N15" s="612"/>
      <c r="O15" s="612"/>
      <c r="P15" s="598">
        <f t="shared" si="0"/>
        <v>125400</v>
      </c>
      <c r="Q15" s="598">
        <f t="shared" si="1"/>
        <v>124250</v>
      </c>
      <c r="R15" s="793">
        <f t="shared" si="2"/>
        <v>81927</v>
      </c>
      <c r="S15" s="609"/>
      <c r="T15" s="609"/>
      <c r="U15" s="609"/>
      <c r="V15" s="609"/>
      <c r="W15" s="609"/>
      <c r="X15" s="609"/>
      <c r="Y15" s="609"/>
      <c r="Z15" s="609"/>
    </row>
    <row r="16" spans="1:26" s="613" customFormat="1" ht="19.5" customHeight="1">
      <c r="A16" s="608"/>
      <c r="B16" s="609"/>
      <c r="C16" s="610" t="s">
        <v>64</v>
      </c>
      <c r="D16" s="611">
        <f>11800+11500</f>
        <v>23300</v>
      </c>
      <c r="E16" s="611">
        <v>53457</v>
      </c>
      <c r="F16" s="611">
        <v>52246</v>
      </c>
      <c r="G16" s="611"/>
      <c r="H16" s="612"/>
      <c r="I16" s="612"/>
      <c r="J16" s="612"/>
      <c r="K16" s="612"/>
      <c r="L16" s="612"/>
      <c r="M16" s="612"/>
      <c r="N16" s="612"/>
      <c r="O16" s="612"/>
      <c r="P16" s="598">
        <f t="shared" si="0"/>
        <v>23300</v>
      </c>
      <c r="Q16" s="598">
        <f t="shared" si="1"/>
        <v>53457</v>
      </c>
      <c r="R16" s="793">
        <f t="shared" si="2"/>
        <v>52246</v>
      </c>
      <c r="S16" s="609"/>
      <c r="T16" s="609"/>
      <c r="U16" s="609"/>
      <c r="V16" s="609"/>
      <c r="W16" s="609"/>
      <c r="X16" s="609"/>
      <c r="Y16" s="609"/>
      <c r="Z16" s="609"/>
    </row>
    <row r="17" spans="1:26" s="613" customFormat="1" ht="19.5" customHeight="1">
      <c r="A17" s="608"/>
      <c r="B17" s="609"/>
      <c r="C17" s="610" t="s">
        <v>835</v>
      </c>
      <c r="D17" s="611"/>
      <c r="E17" s="611"/>
      <c r="F17" s="611">
        <v>15284</v>
      </c>
      <c r="G17" s="611"/>
      <c r="H17" s="612"/>
      <c r="I17" s="612">
        <v>933</v>
      </c>
      <c r="J17" s="612"/>
      <c r="K17" s="612"/>
      <c r="L17" s="612"/>
      <c r="M17" s="612"/>
      <c r="N17" s="612"/>
      <c r="O17" s="612"/>
      <c r="P17" s="598">
        <f t="shared" si="0"/>
        <v>0</v>
      </c>
      <c r="Q17" s="598">
        <f t="shared" si="1"/>
        <v>0</v>
      </c>
      <c r="R17" s="793">
        <f t="shared" si="2"/>
        <v>16217</v>
      </c>
      <c r="S17" s="609"/>
      <c r="T17" s="609"/>
      <c r="U17" s="609"/>
      <c r="V17" s="609"/>
      <c r="W17" s="609"/>
      <c r="X17" s="609"/>
      <c r="Y17" s="609"/>
      <c r="Z17" s="609"/>
    </row>
    <row r="18" spans="1:26" s="599" customFormat="1" ht="19.5" customHeight="1" thickBot="1">
      <c r="A18" s="614"/>
      <c r="B18" s="615"/>
      <c r="C18" s="595" t="s">
        <v>65</v>
      </c>
      <c r="D18" s="596">
        <v>2418569</v>
      </c>
      <c r="E18" s="596">
        <v>2495689</v>
      </c>
      <c r="F18" s="596">
        <v>2527109</v>
      </c>
      <c r="G18" s="596">
        <v>20058</v>
      </c>
      <c r="H18" s="600">
        <v>20058</v>
      </c>
      <c r="I18" s="600">
        <v>20088</v>
      </c>
      <c r="J18" s="600">
        <v>6795</v>
      </c>
      <c r="K18" s="600">
        <v>6795</v>
      </c>
      <c r="L18" s="600">
        <v>19990</v>
      </c>
      <c r="M18" s="600">
        <v>1800</v>
      </c>
      <c r="N18" s="600">
        <v>12182</v>
      </c>
      <c r="O18" s="600">
        <v>12182</v>
      </c>
      <c r="P18" s="598">
        <f t="shared" si="0"/>
        <v>2447222</v>
      </c>
      <c r="Q18" s="598">
        <f t="shared" si="1"/>
        <v>2534724</v>
      </c>
      <c r="R18" s="793">
        <f t="shared" si="2"/>
        <v>2579369</v>
      </c>
      <c r="S18" s="594"/>
      <c r="T18" s="594"/>
      <c r="U18" s="594"/>
      <c r="V18" s="594"/>
      <c r="W18" s="594"/>
      <c r="X18" s="594"/>
      <c r="Y18" s="594"/>
      <c r="Z18" s="594"/>
    </row>
    <row r="19" spans="1:26" s="599" customFormat="1" ht="19.5" customHeight="1">
      <c r="A19" s="594"/>
      <c r="B19" s="594"/>
      <c r="C19" s="595" t="s">
        <v>66</v>
      </c>
      <c r="D19" s="596">
        <v>251919</v>
      </c>
      <c r="E19" s="596">
        <v>260634</v>
      </c>
      <c r="F19" s="596">
        <v>334376</v>
      </c>
      <c r="G19" s="596">
        <v>0</v>
      </c>
      <c r="H19" s="600">
        <v>0</v>
      </c>
      <c r="I19" s="600">
        <v>971</v>
      </c>
      <c r="J19" s="600">
        <v>31481</v>
      </c>
      <c r="K19" s="600">
        <v>31481</v>
      </c>
      <c r="L19" s="600">
        <v>39981</v>
      </c>
      <c r="M19" s="600">
        <v>0</v>
      </c>
      <c r="N19" s="600">
        <v>13423</v>
      </c>
      <c r="O19" s="600">
        <v>13423</v>
      </c>
      <c r="P19" s="598">
        <f t="shared" si="0"/>
        <v>283400</v>
      </c>
      <c r="Q19" s="598">
        <f t="shared" si="1"/>
        <v>305538</v>
      </c>
      <c r="R19" s="793">
        <f t="shared" si="2"/>
        <v>388751</v>
      </c>
      <c r="S19" s="594"/>
      <c r="T19" s="594"/>
      <c r="U19" s="594"/>
      <c r="V19" s="594"/>
      <c r="W19" s="594"/>
      <c r="X19" s="594"/>
      <c r="Y19" s="594"/>
      <c r="Z19" s="594"/>
    </row>
    <row r="20" spans="1:26" s="599" customFormat="1" ht="19.5" customHeight="1">
      <c r="A20" s="594"/>
      <c r="B20" s="594"/>
      <c r="C20" s="595" t="s">
        <v>67</v>
      </c>
      <c r="D20" s="596">
        <f aca="true" t="shared" si="5" ref="D20:O20">SUM(D21:D24)</f>
        <v>1406334</v>
      </c>
      <c r="E20" s="596">
        <f t="shared" si="5"/>
        <v>1446523</v>
      </c>
      <c r="F20" s="596">
        <f t="shared" si="5"/>
        <v>1379971</v>
      </c>
      <c r="G20" s="596">
        <f t="shared" si="5"/>
        <v>1000</v>
      </c>
      <c r="H20" s="596">
        <f t="shared" si="5"/>
        <v>1000</v>
      </c>
      <c r="I20" s="596">
        <f t="shared" si="5"/>
        <v>1000</v>
      </c>
      <c r="J20" s="596">
        <f t="shared" si="5"/>
        <v>0</v>
      </c>
      <c r="K20" s="596">
        <f t="shared" si="5"/>
        <v>0</v>
      </c>
      <c r="L20" s="596">
        <f t="shared" si="5"/>
        <v>0</v>
      </c>
      <c r="M20" s="596">
        <f t="shared" si="5"/>
        <v>0</v>
      </c>
      <c r="N20" s="596">
        <f t="shared" si="5"/>
        <v>0</v>
      </c>
      <c r="O20" s="596">
        <f t="shared" si="5"/>
        <v>0</v>
      </c>
      <c r="P20" s="598">
        <f t="shared" si="0"/>
        <v>1407334</v>
      </c>
      <c r="Q20" s="598">
        <f t="shared" si="1"/>
        <v>1447523</v>
      </c>
      <c r="R20" s="793">
        <f t="shared" si="2"/>
        <v>1380971</v>
      </c>
      <c r="S20" s="594"/>
      <c r="T20" s="594"/>
      <c r="U20" s="594"/>
      <c r="V20" s="594"/>
      <c r="W20" s="594"/>
      <c r="X20" s="594"/>
      <c r="Y20" s="594"/>
      <c r="Z20" s="594"/>
    </row>
    <row r="21" spans="1:26" s="599" customFormat="1" ht="19.5" customHeight="1">
      <c r="A21" s="594"/>
      <c r="B21" s="594"/>
      <c r="C21" s="607" t="s">
        <v>42</v>
      </c>
      <c r="D21" s="605">
        <v>808</v>
      </c>
      <c r="E21" s="605">
        <v>808</v>
      </c>
      <c r="F21" s="605">
        <v>808</v>
      </c>
      <c r="G21" s="596"/>
      <c r="H21" s="600"/>
      <c r="I21" s="600"/>
      <c r="J21" s="600"/>
      <c r="K21" s="600"/>
      <c r="L21" s="600"/>
      <c r="M21" s="600"/>
      <c r="N21" s="600"/>
      <c r="O21" s="600"/>
      <c r="P21" s="598">
        <f t="shared" si="0"/>
        <v>808</v>
      </c>
      <c r="Q21" s="598">
        <f t="shared" si="1"/>
        <v>808</v>
      </c>
      <c r="R21" s="793">
        <f t="shared" si="2"/>
        <v>808</v>
      </c>
      <c r="S21" s="594"/>
      <c r="T21" s="594"/>
      <c r="U21" s="594"/>
      <c r="V21" s="594"/>
      <c r="W21" s="594"/>
      <c r="X21" s="594"/>
      <c r="Y21" s="594"/>
      <c r="Z21" s="594"/>
    </row>
    <row r="22" spans="1:26" ht="19.5" customHeight="1">
      <c r="A22" s="582"/>
      <c r="B22" s="582"/>
      <c r="C22" s="604" t="s">
        <v>43</v>
      </c>
      <c r="D22" s="605">
        <v>3500</v>
      </c>
      <c r="E22" s="605">
        <v>3500</v>
      </c>
      <c r="F22" s="605">
        <v>3350</v>
      </c>
      <c r="G22" s="605">
        <v>1000</v>
      </c>
      <c r="H22" s="606">
        <v>1000</v>
      </c>
      <c r="I22" s="606">
        <v>1000</v>
      </c>
      <c r="J22" s="606"/>
      <c r="K22" s="606"/>
      <c r="L22" s="606"/>
      <c r="M22" s="606"/>
      <c r="N22" s="606"/>
      <c r="O22" s="606"/>
      <c r="P22" s="598">
        <f t="shared" si="0"/>
        <v>4500</v>
      </c>
      <c r="Q22" s="598">
        <f t="shared" si="1"/>
        <v>4500</v>
      </c>
      <c r="R22" s="793">
        <f t="shared" si="2"/>
        <v>4350</v>
      </c>
      <c r="S22" s="582"/>
      <c r="T22" s="582"/>
      <c r="U22" s="582"/>
      <c r="V22" s="582"/>
      <c r="W22" s="582"/>
      <c r="X22" s="582"/>
      <c r="Y22" s="582"/>
      <c r="Z22" s="582"/>
    </row>
    <row r="23" spans="1:26" s="599" customFormat="1" ht="19.5" customHeight="1">
      <c r="A23" s="594"/>
      <c r="B23" s="594"/>
      <c r="C23" s="604" t="s">
        <v>68</v>
      </c>
      <c r="D23" s="605">
        <v>73761</v>
      </c>
      <c r="E23" s="605">
        <v>97762</v>
      </c>
      <c r="F23" s="605">
        <v>76891</v>
      </c>
      <c r="G23" s="596"/>
      <c r="H23" s="600"/>
      <c r="I23" s="600"/>
      <c r="J23" s="600"/>
      <c r="K23" s="600"/>
      <c r="L23" s="600"/>
      <c r="M23" s="600"/>
      <c r="N23" s="600"/>
      <c r="O23" s="600"/>
      <c r="P23" s="598">
        <f t="shared" si="0"/>
        <v>73761</v>
      </c>
      <c r="Q23" s="598">
        <f t="shared" si="1"/>
        <v>97762</v>
      </c>
      <c r="R23" s="793">
        <f t="shared" si="2"/>
        <v>76891</v>
      </c>
      <c r="S23" s="594"/>
      <c r="T23" s="594"/>
      <c r="U23" s="594"/>
      <c r="V23" s="594"/>
      <c r="W23" s="594"/>
      <c r="X23" s="594"/>
      <c r="Y23" s="594"/>
      <c r="Z23" s="594"/>
    </row>
    <row r="24" spans="1:26" s="599" customFormat="1" ht="19.5" customHeight="1">
      <c r="A24" s="594"/>
      <c r="B24" s="594"/>
      <c r="C24" s="604" t="s">
        <v>158</v>
      </c>
      <c r="D24" s="605">
        <f>SUM(D25:D27)</f>
        <v>1328265</v>
      </c>
      <c r="E24" s="605">
        <f>SUM(E25:E27)</f>
        <v>1344453</v>
      </c>
      <c r="F24" s="605">
        <f>SUM(F25:F27)</f>
        <v>1298922</v>
      </c>
      <c r="G24" s="605">
        <f aca="true" t="shared" si="6" ref="G24:O24">SUM(G25:G27)</f>
        <v>0</v>
      </c>
      <c r="H24" s="605">
        <f t="shared" si="6"/>
        <v>0</v>
      </c>
      <c r="I24" s="605">
        <f t="shared" si="6"/>
        <v>0</v>
      </c>
      <c r="J24" s="605">
        <f t="shared" si="6"/>
        <v>0</v>
      </c>
      <c r="K24" s="605">
        <f t="shared" si="6"/>
        <v>0</v>
      </c>
      <c r="L24" s="605">
        <f t="shared" si="6"/>
        <v>0</v>
      </c>
      <c r="M24" s="605">
        <f t="shared" si="6"/>
        <v>0</v>
      </c>
      <c r="N24" s="605">
        <f t="shared" si="6"/>
        <v>0</v>
      </c>
      <c r="O24" s="605">
        <f t="shared" si="6"/>
        <v>0</v>
      </c>
      <c r="P24" s="598">
        <f t="shared" si="0"/>
        <v>1328265</v>
      </c>
      <c r="Q24" s="598">
        <f t="shared" si="1"/>
        <v>1344453</v>
      </c>
      <c r="R24" s="793">
        <f t="shared" si="2"/>
        <v>1298922</v>
      </c>
      <c r="S24" s="594"/>
      <c r="T24" s="594"/>
      <c r="U24" s="594"/>
      <c r="V24" s="594"/>
      <c r="W24" s="594"/>
      <c r="X24" s="594"/>
      <c r="Y24" s="594"/>
      <c r="Z24" s="594"/>
    </row>
    <row r="25" spans="1:26" s="618" customFormat="1" ht="19.5" customHeight="1">
      <c r="A25" s="616"/>
      <c r="B25" s="616"/>
      <c r="C25" s="617" t="s">
        <v>69</v>
      </c>
      <c r="D25" s="611">
        <v>50000</v>
      </c>
      <c r="E25" s="611">
        <v>66188</v>
      </c>
      <c r="F25" s="611">
        <v>24688</v>
      </c>
      <c r="G25" s="611"/>
      <c r="H25" s="612"/>
      <c r="I25" s="612"/>
      <c r="J25" s="612"/>
      <c r="K25" s="612"/>
      <c r="L25" s="612"/>
      <c r="M25" s="612"/>
      <c r="N25" s="612"/>
      <c r="O25" s="612"/>
      <c r="P25" s="598">
        <f t="shared" si="0"/>
        <v>50000</v>
      </c>
      <c r="Q25" s="598">
        <f t="shared" si="1"/>
        <v>66188</v>
      </c>
      <c r="R25" s="793">
        <f t="shared" si="2"/>
        <v>24688</v>
      </c>
      <c r="S25" s="616"/>
      <c r="T25" s="616"/>
      <c r="U25" s="616"/>
      <c r="V25" s="616"/>
      <c r="W25" s="616"/>
      <c r="X25" s="616"/>
      <c r="Y25" s="616"/>
      <c r="Z25" s="616"/>
    </row>
    <row r="26" spans="1:26" s="618" customFormat="1" ht="19.5" customHeight="1">
      <c r="A26" s="616"/>
      <c r="B26" s="616"/>
      <c r="C26" s="617" t="s">
        <v>70</v>
      </c>
      <c r="D26" s="611">
        <v>0</v>
      </c>
      <c r="E26" s="611">
        <v>0</v>
      </c>
      <c r="F26" s="611"/>
      <c r="G26" s="611"/>
      <c r="H26" s="612"/>
      <c r="I26" s="612"/>
      <c r="J26" s="612"/>
      <c r="K26" s="612"/>
      <c r="L26" s="612"/>
      <c r="M26" s="612"/>
      <c r="N26" s="612"/>
      <c r="O26" s="612"/>
      <c r="P26" s="598">
        <f t="shared" si="0"/>
        <v>0</v>
      </c>
      <c r="Q26" s="598">
        <f t="shared" si="1"/>
        <v>0</v>
      </c>
      <c r="R26" s="793">
        <f t="shared" si="2"/>
        <v>0</v>
      </c>
      <c r="S26" s="616"/>
      <c r="T26" s="616"/>
      <c r="U26" s="616"/>
      <c r="V26" s="616"/>
      <c r="W26" s="616"/>
      <c r="X26" s="616"/>
      <c r="Y26" s="616"/>
      <c r="Z26" s="616"/>
    </row>
    <row r="27" spans="1:26" s="618" customFormat="1" ht="19.5" customHeight="1">
      <c r="A27" s="616"/>
      <c r="B27" s="616"/>
      <c r="C27" s="610" t="s">
        <v>71</v>
      </c>
      <c r="D27" s="611">
        <v>1278265</v>
      </c>
      <c r="E27" s="611">
        <v>1278265</v>
      </c>
      <c r="F27" s="611">
        <v>1274234</v>
      </c>
      <c r="G27" s="611"/>
      <c r="H27" s="611"/>
      <c r="I27" s="611"/>
      <c r="J27" s="611"/>
      <c r="K27" s="611"/>
      <c r="L27" s="611"/>
      <c r="M27" s="611"/>
      <c r="N27" s="612"/>
      <c r="O27" s="612"/>
      <c r="P27" s="598">
        <f t="shared" si="0"/>
        <v>1278265</v>
      </c>
      <c r="Q27" s="598">
        <f t="shared" si="1"/>
        <v>1278265</v>
      </c>
      <c r="R27" s="793">
        <f t="shared" si="2"/>
        <v>1274234</v>
      </c>
      <c r="S27" s="616"/>
      <c r="T27" s="616"/>
      <c r="U27" s="616"/>
      <c r="V27" s="616"/>
      <c r="W27" s="616"/>
      <c r="X27" s="616"/>
      <c r="Y27" s="616"/>
      <c r="Z27" s="616"/>
    </row>
    <row r="28" spans="1:26" s="599" customFormat="1" ht="19.5" customHeight="1">
      <c r="A28" s="594"/>
      <c r="B28" s="594"/>
      <c r="C28" s="595" t="s">
        <v>72</v>
      </c>
      <c r="D28" s="596">
        <f aca="true" t="shared" si="7" ref="D28:O28">SUM(D6,D7,D8,D9,D18,D19,D20,D10)</f>
        <v>6278531</v>
      </c>
      <c r="E28" s="596">
        <f t="shared" si="7"/>
        <v>6487699</v>
      </c>
      <c r="F28" s="596">
        <f t="shared" si="7"/>
        <v>6538750</v>
      </c>
      <c r="G28" s="596">
        <f t="shared" si="7"/>
        <v>732559</v>
      </c>
      <c r="H28" s="596">
        <f t="shared" si="7"/>
        <v>754138</v>
      </c>
      <c r="I28" s="596">
        <f t="shared" si="7"/>
        <v>762987</v>
      </c>
      <c r="J28" s="596">
        <f t="shared" si="7"/>
        <v>1067351</v>
      </c>
      <c r="K28" s="596">
        <f t="shared" si="7"/>
        <v>1122660</v>
      </c>
      <c r="L28" s="596">
        <f t="shared" si="7"/>
        <v>1176835</v>
      </c>
      <c r="M28" s="596">
        <f t="shared" si="7"/>
        <v>187744</v>
      </c>
      <c r="N28" s="596">
        <f t="shared" si="7"/>
        <v>241523</v>
      </c>
      <c r="O28" s="596">
        <f t="shared" si="7"/>
        <v>244946</v>
      </c>
      <c r="P28" s="598">
        <f t="shared" si="0"/>
        <v>8266185</v>
      </c>
      <c r="Q28" s="598">
        <f t="shared" si="1"/>
        <v>8606020</v>
      </c>
      <c r="R28" s="793">
        <f t="shared" si="2"/>
        <v>8723518</v>
      </c>
      <c r="S28" s="594"/>
      <c r="T28" s="594"/>
      <c r="U28" s="594"/>
      <c r="V28" s="594"/>
      <c r="W28" s="594"/>
      <c r="X28" s="594"/>
      <c r="Y28" s="594"/>
      <c r="Z28" s="594"/>
    </row>
    <row r="29" spans="3:26" s="599" customFormat="1" ht="19.5" customHeight="1">
      <c r="C29" s="595" t="s">
        <v>576</v>
      </c>
      <c r="D29" s="596">
        <v>80158</v>
      </c>
      <c r="E29" s="596">
        <v>44961</v>
      </c>
      <c r="F29" s="596">
        <v>44961</v>
      </c>
      <c r="G29" s="596"/>
      <c r="H29" s="619"/>
      <c r="I29" s="619"/>
      <c r="J29" s="619"/>
      <c r="K29" s="619"/>
      <c r="L29" s="619"/>
      <c r="M29" s="619"/>
      <c r="N29" s="619"/>
      <c r="O29" s="619"/>
      <c r="P29" s="598">
        <f t="shared" si="0"/>
        <v>80158</v>
      </c>
      <c r="Q29" s="598">
        <f t="shared" si="1"/>
        <v>44961</v>
      </c>
      <c r="R29" s="793">
        <f t="shared" si="2"/>
        <v>44961</v>
      </c>
      <c r="S29" s="594"/>
      <c r="T29" s="594"/>
      <c r="U29" s="594"/>
      <c r="V29" s="594"/>
      <c r="W29" s="594"/>
      <c r="X29" s="594"/>
      <c r="Y29" s="594"/>
      <c r="Z29" s="594"/>
    </row>
    <row r="30" spans="3:26" s="599" customFormat="1" ht="19.5" customHeight="1">
      <c r="C30" s="595" t="s">
        <v>577</v>
      </c>
      <c r="D30" s="596">
        <v>96150</v>
      </c>
      <c r="E30" s="596">
        <v>96150</v>
      </c>
      <c r="F30" s="596">
        <v>48894</v>
      </c>
      <c r="G30" s="596"/>
      <c r="H30" s="619"/>
      <c r="I30" s="619"/>
      <c r="J30" s="619"/>
      <c r="K30" s="619"/>
      <c r="L30" s="619"/>
      <c r="M30" s="619"/>
      <c r="N30" s="619"/>
      <c r="O30" s="619"/>
      <c r="P30" s="598">
        <f t="shared" si="0"/>
        <v>96150</v>
      </c>
      <c r="Q30" s="598">
        <f t="shared" si="1"/>
        <v>96150</v>
      </c>
      <c r="R30" s="793">
        <f t="shared" si="2"/>
        <v>48894</v>
      </c>
      <c r="S30" s="594"/>
      <c r="T30" s="594"/>
      <c r="U30" s="594"/>
      <c r="V30" s="594"/>
      <c r="W30" s="594"/>
      <c r="X30" s="594"/>
      <c r="Y30" s="594"/>
      <c r="Z30" s="594"/>
    </row>
    <row r="31" spans="3:26" s="599" customFormat="1" ht="19.5" customHeight="1">
      <c r="C31" s="595" t="s">
        <v>478</v>
      </c>
      <c r="D31" s="596">
        <v>1637807</v>
      </c>
      <c r="E31" s="596">
        <v>1648013</v>
      </c>
      <c r="F31" s="596">
        <v>1660781</v>
      </c>
      <c r="G31" s="596"/>
      <c r="H31" s="619"/>
      <c r="I31" s="619"/>
      <c r="J31" s="619"/>
      <c r="K31" s="619"/>
      <c r="L31" s="619"/>
      <c r="M31" s="619"/>
      <c r="N31" s="619"/>
      <c r="O31" s="619"/>
      <c r="P31" s="598">
        <f t="shared" si="0"/>
        <v>1637807</v>
      </c>
      <c r="Q31" s="598">
        <f t="shared" si="1"/>
        <v>1648013</v>
      </c>
      <c r="R31" s="793">
        <f t="shared" si="2"/>
        <v>1660781</v>
      </c>
      <c r="S31" s="594"/>
      <c r="T31" s="594"/>
      <c r="U31" s="594"/>
      <c r="V31" s="594"/>
      <c r="W31" s="594"/>
      <c r="X31" s="594"/>
      <c r="Y31" s="594"/>
      <c r="Z31" s="594"/>
    </row>
    <row r="32" spans="3:26" s="599" customFormat="1" ht="19.5" customHeight="1">
      <c r="C32" s="595" t="s">
        <v>73</v>
      </c>
      <c r="D32" s="596">
        <f aca="true" t="shared" si="8" ref="D32:O32">SUM(D29:D31)</f>
        <v>1814115</v>
      </c>
      <c r="E32" s="596">
        <f t="shared" si="8"/>
        <v>1789124</v>
      </c>
      <c r="F32" s="596">
        <f t="shared" si="8"/>
        <v>1754636</v>
      </c>
      <c r="G32" s="596">
        <f t="shared" si="8"/>
        <v>0</v>
      </c>
      <c r="H32" s="596">
        <f t="shared" si="8"/>
        <v>0</v>
      </c>
      <c r="I32" s="596">
        <f t="shared" si="8"/>
        <v>0</v>
      </c>
      <c r="J32" s="596">
        <f t="shared" si="8"/>
        <v>0</v>
      </c>
      <c r="K32" s="596">
        <f t="shared" si="8"/>
        <v>0</v>
      </c>
      <c r="L32" s="596">
        <f t="shared" si="8"/>
        <v>0</v>
      </c>
      <c r="M32" s="596">
        <f t="shared" si="8"/>
        <v>0</v>
      </c>
      <c r="N32" s="596">
        <f t="shared" si="8"/>
        <v>0</v>
      </c>
      <c r="O32" s="596">
        <f t="shared" si="8"/>
        <v>0</v>
      </c>
      <c r="P32" s="598">
        <f t="shared" si="0"/>
        <v>1814115</v>
      </c>
      <c r="Q32" s="598">
        <f t="shared" si="1"/>
        <v>1789124</v>
      </c>
      <c r="R32" s="793">
        <f t="shared" si="2"/>
        <v>1754636</v>
      </c>
      <c r="S32" s="594"/>
      <c r="T32" s="594"/>
      <c r="U32" s="594"/>
      <c r="V32" s="594"/>
      <c r="W32" s="594"/>
      <c r="X32" s="594"/>
      <c r="Y32" s="594"/>
      <c r="Z32" s="594"/>
    </row>
    <row r="33" spans="3:26" s="599" customFormat="1" ht="19.5" customHeight="1" thickBot="1">
      <c r="C33" s="620" t="s">
        <v>74</v>
      </c>
      <c r="D33" s="621">
        <f aca="true" t="shared" si="9" ref="D33:O33">SUM(D28,D32)</f>
        <v>8092646</v>
      </c>
      <c r="E33" s="621">
        <f t="shared" si="9"/>
        <v>8276823</v>
      </c>
      <c r="F33" s="621">
        <f t="shared" si="9"/>
        <v>8293386</v>
      </c>
      <c r="G33" s="621">
        <f t="shared" si="9"/>
        <v>732559</v>
      </c>
      <c r="H33" s="621">
        <f t="shared" si="9"/>
        <v>754138</v>
      </c>
      <c r="I33" s="621">
        <f t="shared" si="9"/>
        <v>762987</v>
      </c>
      <c r="J33" s="621">
        <f t="shared" si="9"/>
        <v>1067351</v>
      </c>
      <c r="K33" s="621">
        <f t="shared" si="9"/>
        <v>1122660</v>
      </c>
      <c r="L33" s="621">
        <f t="shared" si="9"/>
        <v>1176835</v>
      </c>
      <c r="M33" s="621">
        <f t="shared" si="9"/>
        <v>187744</v>
      </c>
      <c r="N33" s="621">
        <f t="shared" si="9"/>
        <v>241523</v>
      </c>
      <c r="O33" s="621">
        <f t="shared" si="9"/>
        <v>244946</v>
      </c>
      <c r="P33" s="622">
        <f t="shared" si="0"/>
        <v>10080300</v>
      </c>
      <c r="Q33" s="622">
        <f t="shared" si="1"/>
        <v>10395144</v>
      </c>
      <c r="R33" s="794">
        <f t="shared" si="2"/>
        <v>10478154</v>
      </c>
      <c r="S33" s="594"/>
      <c r="T33" s="594"/>
      <c r="U33" s="594"/>
      <c r="V33" s="594"/>
      <c r="W33" s="594"/>
      <c r="X33" s="594"/>
      <c r="Y33" s="594"/>
      <c r="Z33" s="594"/>
    </row>
    <row r="34" s="582" customFormat="1" ht="25.5" customHeight="1"/>
    <row r="35" s="582" customFormat="1" ht="25.5" customHeight="1"/>
    <row r="36" spans="3:26" ht="25.5" customHeight="1">
      <c r="C36" s="582"/>
      <c r="D36" s="582"/>
      <c r="E36" s="582"/>
      <c r="F36" s="582"/>
      <c r="G36" s="582"/>
      <c r="H36" s="582"/>
      <c r="I36" s="582"/>
      <c r="J36" s="582"/>
      <c r="K36" s="582"/>
      <c r="L36" s="582"/>
      <c r="M36" s="582"/>
      <c r="N36" s="582"/>
      <c r="O36" s="582"/>
      <c r="P36" s="582"/>
      <c r="Q36" s="582"/>
      <c r="R36" s="582"/>
      <c r="S36" s="582"/>
      <c r="T36" s="582"/>
      <c r="U36" s="582"/>
      <c r="V36" s="582"/>
      <c r="W36" s="582"/>
      <c r="X36" s="582"/>
      <c r="Y36" s="582"/>
      <c r="Z36" s="582"/>
    </row>
    <row r="37" spans="3:26" ht="25.5" customHeight="1">
      <c r="C37" s="582"/>
      <c r="D37" s="582"/>
      <c r="E37" s="582"/>
      <c r="F37" s="582"/>
      <c r="G37" s="582"/>
      <c r="H37" s="582"/>
      <c r="I37" s="582"/>
      <c r="J37" s="582"/>
      <c r="K37" s="582"/>
      <c r="L37" s="582"/>
      <c r="M37" s="582"/>
      <c r="N37" s="582"/>
      <c r="O37" s="582"/>
      <c r="P37" s="582"/>
      <c r="Q37" s="582"/>
      <c r="R37" s="582"/>
      <c r="S37" s="582"/>
      <c r="T37" s="582"/>
      <c r="U37" s="582"/>
      <c r="V37" s="582"/>
      <c r="W37" s="582"/>
      <c r="X37" s="582"/>
      <c r="Y37" s="582"/>
      <c r="Z37" s="582"/>
    </row>
    <row r="38" spans="3:26" ht="25.5" customHeight="1">
      <c r="C38" s="582"/>
      <c r="D38" s="582"/>
      <c r="E38" s="582"/>
      <c r="F38" s="582"/>
      <c r="G38" s="582"/>
      <c r="H38" s="582"/>
      <c r="I38" s="582"/>
      <c r="J38" s="582"/>
      <c r="K38" s="582"/>
      <c r="L38" s="582"/>
      <c r="M38" s="582"/>
      <c r="N38" s="582"/>
      <c r="O38" s="582"/>
      <c r="P38" s="582"/>
      <c r="Q38" s="582"/>
      <c r="R38" s="582"/>
      <c r="S38" s="582"/>
      <c r="T38" s="582"/>
      <c r="U38" s="582"/>
      <c r="V38" s="582"/>
      <c r="W38" s="582"/>
      <c r="X38" s="582"/>
      <c r="Y38" s="582"/>
      <c r="Z38" s="582"/>
    </row>
    <row r="39" spans="3:26" ht="25.5" customHeight="1">
      <c r="C39" s="582"/>
      <c r="D39" s="582"/>
      <c r="E39" s="582"/>
      <c r="F39" s="582"/>
      <c r="G39" s="582"/>
      <c r="H39" s="582"/>
      <c r="I39" s="582"/>
      <c r="J39" s="582"/>
      <c r="K39" s="582"/>
      <c r="L39" s="582"/>
      <c r="M39" s="582"/>
      <c r="N39" s="582"/>
      <c r="O39" s="582"/>
      <c r="P39" s="582"/>
      <c r="Q39" s="582"/>
      <c r="R39" s="582"/>
      <c r="S39" s="582"/>
      <c r="T39" s="582"/>
      <c r="U39" s="582"/>
      <c r="V39" s="582"/>
      <c r="W39" s="582"/>
      <c r="X39" s="582"/>
      <c r="Y39" s="582"/>
      <c r="Z39" s="582"/>
    </row>
    <row r="40" spans="3:26" ht="25.5" customHeight="1">
      <c r="C40" s="582"/>
      <c r="D40" s="582"/>
      <c r="E40" s="582"/>
      <c r="F40" s="582"/>
      <c r="G40" s="582"/>
      <c r="H40" s="582"/>
      <c r="I40" s="582"/>
      <c r="J40" s="582"/>
      <c r="K40" s="582"/>
      <c r="L40" s="582"/>
      <c r="M40" s="582"/>
      <c r="N40" s="582"/>
      <c r="O40" s="582"/>
      <c r="P40" s="582"/>
      <c r="Q40" s="582"/>
      <c r="R40" s="582"/>
      <c r="S40" s="582"/>
      <c r="T40" s="582"/>
      <c r="U40" s="582"/>
      <c r="V40" s="582"/>
      <c r="W40" s="582"/>
      <c r="X40" s="582"/>
      <c r="Y40" s="582"/>
      <c r="Z40" s="582"/>
    </row>
    <row r="41" spans="3:26" ht="25.5" customHeight="1">
      <c r="C41" s="582"/>
      <c r="D41" s="582"/>
      <c r="E41" s="582"/>
      <c r="F41" s="582"/>
      <c r="G41" s="582"/>
      <c r="H41" s="582"/>
      <c r="I41" s="582"/>
      <c r="J41" s="582"/>
      <c r="K41" s="582"/>
      <c r="L41" s="582"/>
      <c r="M41" s="582"/>
      <c r="N41" s="582"/>
      <c r="O41" s="582"/>
      <c r="P41" s="582"/>
      <c r="Q41" s="582"/>
      <c r="R41" s="582"/>
      <c r="S41" s="582"/>
      <c r="T41" s="582"/>
      <c r="U41" s="582"/>
      <c r="V41" s="582"/>
      <c r="W41" s="582"/>
      <c r="X41" s="582"/>
      <c r="Y41" s="582"/>
      <c r="Z41" s="582"/>
    </row>
    <row r="42" spans="3:26" ht="25.5" customHeight="1">
      <c r="C42" s="582"/>
      <c r="D42" s="582"/>
      <c r="E42" s="582"/>
      <c r="F42" s="582"/>
      <c r="G42" s="582"/>
      <c r="H42" s="582"/>
      <c r="I42" s="582"/>
      <c r="J42" s="582"/>
      <c r="K42" s="582"/>
      <c r="L42" s="582"/>
      <c r="M42" s="582"/>
      <c r="N42" s="582"/>
      <c r="O42" s="582"/>
      <c r="P42" s="582"/>
      <c r="Q42" s="582"/>
      <c r="R42" s="582"/>
      <c r="S42" s="582"/>
      <c r="T42" s="582"/>
      <c r="U42" s="582"/>
      <c r="V42" s="582"/>
      <c r="W42" s="582"/>
      <c r="X42" s="582"/>
      <c r="Y42" s="582"/>
      <c r="Z42" s="582"/>
    </row>
    <row r="43" spans="3:26" ht="25.5" customHeight="1">
      <c r="C43" s="582"/>
      <c r="D43" s="582"/>
      <c r="E43" s="582"/>
      <c r="F43" s="582"/>
      <c r="G43" s="582"/>
      <c r="H43" s="582"/>
      <c r="I43" s="582"/>
      <c r="J43" s="582"/>
      <c r="K43" s="582"/>
      <c r="L43" s="582"/>
      <c r="M43" s="582"/>
      <c r="N43" s="582"/>
      <c r="O43" s="582"/>
      <c r="P43" s="582"/>
      <c r="Q43" s="582"/>
      <c r="R43" s="582"/>
      <c r="S43" s="582"/>
      <c r="T43" s="582"/>
      <c r="U43" s="582"/>
      <c r="V43" s="582"/>
      <c r="W43" s="582"/>
      <c r="X43" s="582"/>
      <c r="Y43" s="582"/>
      <c r="Z43" s="582"/>
    </row>
    <row r="44" spans="3:26" ht="25.5" customHeight="1">
      <c r="C44" s="582"/>
      <c r="D44" s="582"/>
      <c r="E44" s="582"/>
      <c r="F44" s="582"/>
      <c r="G44" s="582"/>
      <c r="H44" s="582"/>
      <c r="I44" s="582"/>
      <c r="J44" s="582"/>
      <c r="K44" s="582"/>
      <c r="L44" s="582"/>
      <c r="M44" s="582"/>
      <c r="N44" s="582"/>
      <c r="O44" s="582"/>
      <c r="P44" s="582"/>
      <c r="Q44" s="582"/>
      <c r="R44" s="582"/>
      <c r="S44" s="582"/>
      <c r="T44" s="582"/>
      <c r="U44" s="582"/>
      <c r="V44" s="582"/>
      <c r="W44" s="582"/>
      <c r="X44" s="582"/>
      <c r="Y44" s="582"/>
      <c r="Z44" s="582"/>
    </row>
    <row r="45" spans="3:26" ht="25.5" customHeight="1">
      <c r="C45" s="582"/>
      <c r="D45" s="582"/>
      <c r="E45" s="582"/>
      <c r="F45" s="582"/>
      <c r="G45" s="582"/>
      <c r="H45" s="582"/>
      <c r="I45" s="582"/>
      <c r="J45" s="582"/>
      <c r="K45" s="582"/>
      <c r="L45" s="582"/>
      <c r="M45" s="582"/>
      <c r="N45" s="582"/>
      <c r="O45" s="582"/>
      <c r="P45" s="582"/>
      <c r="Q45" s="582"/>
      <c r="R45" s="582"/>
      <c r="S45" s="582"/>
      <c r="T45" s="582"/>
      <c r="U45" s="582"/>
      <c r="V45" s="582"/>
      <c r="W45" s="582"/>
      <c r="X45" s="582"/>
      <c r="Y45" s="582"/>
      <c r="Z45" s="582"/>
    </row>
    <row r="46" spans="3:26" ht="25.5" customHeight="1">
      <c r="C46" s="582"/>
      <c r="D46" s="582"/>
      <c r="E46" s="582"/>
      <c r="F46" s="582"/>
      <c r="G46" s="582"/>
      <c r="H46" s="582"/>
      <c r="I46" s="582"/>
      <c r="J46" s="582"/>
      <c r="K46" s="582"/>
      <c r="L46" s="582"/>
      <c r="M46" s="582"/>
      <c r="N46" s="582"/>
      <c r="O46" s="582"/>
      <c r="P46" s="582"/>
      <c r="Q46" s="582"/>
      <c r="R46" s="582"/>
      <c r="S46" s="582"/>
      <c r="T46" s="582"/>
      <c r="U46" s="582"/>
      <c r="V46" s="582"/>
      <c r="W46" s="582"/>
      <c r="X46" s="582"/>
      <c r="Y46" s="582"/>
      <c r="Z46" s="582"/>
    </row>
    <row r="47" spans="3:26" ht="25.5" customHeight="1">
      <c r="C47" s="582"/>
      <c r="D47" s="582"/>
      <c r="E47" s="582"/>
      <c r="F47" s="582"/>
      <c r="G47" s="582"/>
      <c r="H47" s="582"/>
      <c r="I47" s="582"/>
      <c r="J47" s="582"/>
      <c r="K47" s="582"/>
      <c r="L47" s="582"/>
      <c r="M47" s="582"/>
      <c r="N47" s="582"/>
      <c r="O47" s="582"/>
      <c r="P47" s="582"/>
      <c r="Q47" s="582"/>
      <c r="R47" s="582"/>
      <c r="S47" s="582"/>
      <c r="T47" s="582"/>
      <c r="U47" s="582"/>
      <c r="V47" s="582"/>
      <c r="W47" s="582"/>
      <c r="X47" s="582"/>
      <c r="Y47" s="582"/>
      <c r="Z47" s="582"/>
    </row>
    <row r="48" spans="3:26" ht="25.5" customHeight="1">
      <c r="C48" s="582"/>
      <c r="D48" s="582"/>
      <c r="E48" s="582"/>
      <c r="F48" s="582"/>
      <c r="G48" s="582"/>
      <c r="H48" s="582"/>
      <c r="I48" s="582"/>
      <c r="J48" s="582"/>
      <c r="K48" s="582"/>
      <c r="L48" s="582"/>
      <c r="M48" s="582"/>
      <c r="N48" s="582"/>
      <c r="O48" s="582"/>
      <c r="P48" s="582"/>
      <c r="Q48" s="582"/>
      <c r="R48" s="582"/>
      <c r="S48" s="582"/>
      <c r="T48" s="582"/>
      <c r="U48" s="582"/>
      <c r="V48" s="582"/>
      <c r="W48" s="582"/>
      <c r="X48" s="582"/>
      <c r="Y48" s="582"/>
      <c r="Z48" s="582"/>
    </row>
    <row r="49" spans="3:26" ht="25.5" customHeight="1">
      <c r="C49" s="582"/>
      <c r="D49" s="582"/>
      <c r="E49" s="582"/>
      <c r="F49" s="582"/>
      <c r="G49" s="582"/>
      <c r="H49" s="582"/>
      <c r="I49" s="582"/>
      <c r="J49" s="582"/>
      <c r="K49" s="582"/>
      <c r="L49" s="582"/>
      <c r="M49" s="582"/>
      <c r="N49" s="582"/>
      <c r="O49" s="582"/>
      <c r="P49" s="582"/>
      <c r="Q49" s="582"/>
      <c r="R49" s="582"/>
      <c r="S49" s="582"/>
      <c r="T49" s="582"/>
      <c r="U49" s="582"/>
      <c r="V49" s="582"/>
      <c r="W49" s="582"/>
      <c r="X49" s="582"/>
      <c r="Y49" s="582"/>
      <c r="Z49" s="582"/>
    </row>
    <row r="50" spans="3:26" ht="25.5" customHeight="1">
      <c r="C50" s="582"/>
      <c r="D50" s="582"/>
      <c r="E50" s="582"/>
      <c r="F50" s="582"/>
      <c r="G50" s="582"/>
      <c r="H50" s="582"/>
      <c r="I50" s="582"/>
      <c r="J50" s="582"/>
      <c r="K50" s="582"/>
      <c r="L50" s="582"/>
      <c r="M50" s="582"/>
      <c r="N50" s="582"/>
      <c r="O50" s="582"/>
      <c r="P50" s="582"/>
      <c r="Q50" s="582"/>
      <c r="R50" s="582"/>
      <c r="S50" s="582"/>
      <c r="T50" s="582"/>
      <c r="U50" s="582"/>
      <c r="V50" s="582"/>
      <c r="W50" s="582"/>
      <c r="X50" s="582"/>
      <c r="Y50" s="582"/>
      <c r="Z50" s="582"/>
    </row>
    <row r="51" spans="3:26" ht="25.5" customHeight="1"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</row>
    <row r="52" spans="3:26" ht="25.5" customHeight="1"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</row>
    <row r="53" spans="3:26" ht="25.5" customHeight="1"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</row>
    <row r="54" spans="3:26" ht="25.5" customHeight="1">
      <c r="C54" s="582"/>
      <c r="D54" s="582"/>
      <c r="E54" s="582"/>
      <c r="F54" s="582"/>
      <c r="G54" s="582"/>
      <c r="H54" s="582"/>
      <c r="I54" s="582"/>
      <c r="J54" s="582"/>
      <c r="K54" s="582"/>
      <c r="L54" s="582"/>
      <c r="M54" s="582"/>
      <c r="N54" s="582"/>
      <c r="O54" s="582"/>
      <c r="P54" s="582"/>
      <c r="Q54" s="582"/>
      <c r="R54" s="582"/>
      <c r="S54" s="582"/>
      <c r="T54" s="582"/>
      <c r="U54" s="582"/>
      <c r="V54" s="582"/>
      <c r="W54" s="582"/>
      <c r="X54" s="582"/>
      <c r="Y54" s="582"/>
      <c r="Z54" s="582"/>
    </row>
    <row r="55" spans="3:26" ht="25.5" customHeight="1">
      <c r="C55" s="582"/>
      <c r="D55" s="582"/>
      <c r="E55" s="582"/>
      <c r="F55" s="582"/>
      <c r="G55" s="582"/>
      <c r="H55" s="582"/>
      <c r="I55" s="582"/>
      <c r="J55" s="582"/>
      <c r="K55" s="582"/>
      <c r="L55" s="582"/>
      <c r="M55" s="582"/>
      <c r="N55" s="582"/>
      <c r="O55" s="582"/>
      <c r="P55" s="582"/>
      <c r="Q55" s="582"/>
      <c r="R55" s="582"/>
      <c r="S55" s="582"/>
      <c r="T55" s="582"/>
      <c r="U55" s="582"/>
      <c r="V55" s="582"/>
      <c r="W55" s="582"/>
      <c r="X55" s="582"/>
      <c r="Y55" s="582"/>
      <c r="Z55" s="582"/>
    </row>
    <row r="56" spans="3:26" ht="25.5" customHeight="1">
      <c r="C56" s="582"/>
      <c r="D56" s="582"/>
      <c r="E56" s="582"/>
      <c r="F56" s="582"/>
      <c r="G56" s="582"/>
      <c r="H56" s="582"/>
      <c r="I56" s="582"/>
      <c r="J56" s="582"/>
      <c r="K56" s="582"/>
      <c r="L56" s="582"/>
      <c r="M56" s="582"/>
      <c r="N56" s="582"/>
      <c r="O56" s="582"/>
      <c r="P56" s="582"/>
      <c r="Q56" s="582"/>
      <c r="R56" s="582"/>
      <c r="S56" s="582"/>
      <c r="T56" s="582"/>
      <c r="U56" s="582"/>
      <c r="V56" s="582"/>
      <c r="W56" s="582"/>
      <c r="X56" s="582"/>
      <c r="Y56" s="582"/>
      <c r="Z56" s="582"/>
    </row>
    <row r="57" spans="3:26" ht="25.5" customHeight="1">
      <c r="C57" s="582"/>
      <c r="D57" s="582"/>
      <c r="E57" s="582"/>
      <c r="F57" s="582"/>
      <c r="G57" s="582"/>
      <c r="H57" s="582"/>
      <c r="I57" s="582"/>
      <c r="J57" s="582"/>
      <c r="K57" s="582"/>
      <c r="L57" s="582"/>
      <c r="M57" s="582"/>
      <c r="N57" s="582"/>
      <c r="O57" s="582"/>
      <c r="P57" s="582"/>
      <c r="Q57" s="582"/>
      <c r="R57" s="582"/>
      <c r="S57" s="582"/>
      <c r="T57" s="582"/>
      <c r="U57" s="582"/>
      <c r="V57" s="582"/>
      <c r="W57" s="582"/>
      <c r="X57" s="582"/>
      <c r="Y57" s="582"/>
      <c r="Z57" s="582"/>
    </row>
    <row r="58" spans="3:26" ht="25.5" customHeight="1">
      <c r="C58" s="582"/>
      <c r="D58" s="582"/>
      <c r="E58" s="582"/>
      <c r="F58" s="582"/>
      <c r="G58" s="582"/>
      <c r="H58" s="582"/>
      <c r="I58" s="582"/>
      <c r="J58" s="582"/>
      <c r="K58" s="582"/>
      <c r="L58" s="582"/>
      <c r="M58" s="582"/>
      <c r="N58" s="582"/>
      <c r="O58" s="582"/>
      <c r="P58" s="582"/>
      <c r="Q58" s="582"/>
      <c r="R58" s="582"/>
      <c r="S58" s="582"/>
      <c r="T58" s="582"/>
      <c r="U58" s="582"/>
      <c r="V58" s="582"/>
      <c r="W58" s="582"/>
      <c r="X58" s="582"/>
      <c r="Y58" s="582"/>
      <c r="Z58" s="582"/>
    </row>
    <row r="59" spans="3:26" ht="25.5" customHeight="1">
      <c r="C59" s="582"/>
      <c r="D59" s="582"/>
      <c r="E59" s="582"/>
      <c r="F59" s="582"/>
      <c r="G59" s="582"/>
      <c r="H59" s="582"/>
      <c r="I59" s="582"/>
      <c r="J59" s="582"/>
      <c r="K59" s="582"/>
      <c r="L59" s="582"/>
      <c r="M59" s="582"/>
      <c r="N59" s="582"/>
      <c r="O59" s="582"/>
      <c r="P59" s="582"/>
      <c r="Q59" s="582"/>
      <c r="R59" s="582"/>
      <c r="S59" s="582"/>
      <c r="T59" s="582"/>
      <c r="U59" s="582"/>
      <c r="V59" s="582"/>
      <c r="W59" s="582"/>
      <c r="X59" s="582"/>
      <c r="Y59" s="582"/>
      <c r="Z59" s="582"/>
    </row>
    <row r="60" spans="3:15" ht="25.5" customHeight="1">
      <c r="C60" s="582"/>
      <c r="D60" s="582"/>
      <c r="E60" s="582"/>
      <c r="F60" s="582"/>
      <c r="G60" s="582"/>
      <c r="H60" s="582"/>
      <c r="I60" s="582"/>
      <c r="J60" s="582"/>
      <c r="K60" s="582"/>
      <c r="L60" s="582"/>
      <c r="M60" s="582"/>
      <c r="N60" s="582"/>
      <c r="O60" s="582"/>
    </row>
    <row r="61" spans="3:15" ht="25.5" customHeight="1">
      <c r="C61" s="582"/>
      <c r="D61" s="582"/>
      <c r="E61" s="582"/>
      <c r="F61" s="582"/>
      <c r="G61" s="582"/>
      <c r="H61" s="582"/>
      <c r="I61" s="582"/>
      <c r="J61" s="582"/>
      <c r="K61" s="582"/>
      <c r="L61" s="582"/>
      <c r="M61" s="582"/>
      <c r="N61" s="582"/>
      <c r="O61" s="582"/>
    </row>
    <row r="62" spans="3:15" ht="25.5" customHeight="1">
      <c r="C62" s="582"/>
      <c r="D62" s="582"/>
      <c r="E62" s="582"/>
      <c r="F62" s="582"/>
      <c r="G62" s="582"/>
      <c r="H62" s="582"/>
      <c r="I62" s="582"/>
      <c r="J62" s="582"/>
      <c r="K62" s="582"/>
      <c r="L62" s="582"/>
      <c r="M62" s="582"/>
      <c r="N62" s="582"/>
      <c r="O62" s="582"/>
    </row>
    <row r="63" spans="3:15" ht="25.5" customHeight="1">
      <c r="C63" s="582"/>
      <c r="D63" s="582"/>
      <c r="E63" s="582"/>
      <c r="F63" s="582"/>
      <c r="G63" s="582"/>
      <c r="H63" s="582"/>
      <c r="I63" s="582"/>
      <c r="J63" s="582"/>
      <c r="K63" s="582"/>
      <c r="L63" s="582"/>
      <c r="M63" s="582"/>
      <c r="N63" s="582"/>
      <c r="O63" s="582"/>
    </row>
    <row r="64" spans="3:15" ht="25.5" customHeight="1">
      <c r="C64" s="582"/>
      <c r="D64" s="582"/>
      <c r="E64" s="582"/>
      <c r="F64" s="582"/>
      <c r="G64" s="582"/>
      <c r="H64" s="582"/>
      <c r="I64" s="582"/>
      <c r="J64" s="582"/>
      <c r="K64" s="582"/>
      <c r="L64" s="582"/>
      <c r="M64" s="582"/>
      <c r="N64" s="582"/>
      <c r="O64" s="582"/>
    </row>
    <row r="65" spans="3:15" ht="25.5" customHeight="1">
      <c r="C65" s="582"/>
      <c r="D65" s="582"/>
      <c r="E65" s="582"/>
      <c r="F65" s="582"/>
      <c r="G65" s="582"/>
      <c r="H65" s="582"/>
      <c r="I65" s="582"/>
      <c r="J65" s="582"/>
      <c r="K65" s="582"/>
      <c r="L65" s="582"/>
      <c r="M65" s="582"/>
      <c r="N65" s="582"/>
      <c r="O65" s="582"/>
    </row>
    <row r="66" spans="3:15" ht="25.5" customHeight="1">
      <c r="C66" s="582"/>
      <c r="D66" s="582"/>
      <c r="E66" s="582"/>
      <c r="F66" s="582"/>
      <c r="G66" s="582"/>
      <c r="H66" s="582"/>
      <c r="I66" s="582"/>
      <c r="J66" s="582"/>
      <c r="K66" s="582"/>
      <c r="L66" s="582"/>
      <c r="M66" s="582"/>
      <c r="N66" s="582"/>
      <c r="O66" s="582"/>
    </row>
    <row r="67" spans="3:15" ht="25.5" customHeight="1">
      <c r="C67" s="582"/>
      <c r="D67" s="582"/>
      <c r="E67" s="582"/>
      <c r="F67" s="582"/>
      <c r="G67" s="582"/>
      <c r="H67" s="582"/>
      <c r="I67" s="582"/>
      <c r="J67" s="582"/>
      <c r="K67" s="582"/>
      <c r="L67" s="582"/>
      <c r="M67" s="582"/>
      <c r="N67" s="582"/>
      <c r="O67" s="582"/>
    </row>
    <row r="68" spans="3:15" ht="25.5" customHeight="1">
      <c r="C68" s="582"/>
      <c r="D68" s="582"/>
      <c r="E68" s="582"/>
      <c r="F68" s="582"/>
      <c r="G68" s="582"/>
      <c r="H68" s="582"/>
      <c r="I68" s="582"/>
      <c r="J68" s="582"/>
      <c r="K68" s="582"/>
      <c r="L68" s="582"/>
      <c r="M68" s="582"/>
      <c r="N68" s="582"/>
      <c r="O68" s="582"/>
    </row>
    <row r="69" spans="3:15" ht="25.5" customHeight="1">
      <c r="C69" s="582"/>
      <c r="D69" s="582"/>
      <c r="E69" s="582"/>
      <c r="F69" s="582"/>
      <c r="G69" s="582"/>
      <c r="H69" s="582"/>
      <c r="I69" s="582"/>
      <c r="J69" s="582"/>
      <c r="K69" s="582"/>
      <c r="L69" s="582"/>
      <c r="M69" s="582"/>
      <c r="N69" s="582"/>
      <c r="O69" s="582"/>
    </row>
    <row r="70" spans="3:15" ht="25.5" customHeight="1">
      <c r="C70" s="582"/>
      <c r="D70" s="582"/>
      <c r="E70" s="582"/>
      <c r="F70" s="582"/>
      <c r="G70" s="582"/>
      <c r="H70" s="582"/>
      <c r="I70" s="582"/>
      <c r="J70" s="582"/>
      <c r="K70" s="582"/>
      <c r="L70" s="582"/>
      <c r="M70" s="582"/>
      <c r="N70" s="582"/>
      <c r="O70" s="582"/>
    </row>
    <row r="71" spans="3:15" ht="25.5" customHeight="1">
      <c r="C71" s="582"/>
      <c r="D71" s="582"/>
      <c r="E71" s="582"/>
      <c r="F71" s="582"/>
      <c r="G71" s="582"/>
      <c r="H71" s="582"/>
      <c r="I71" s="582"/>
      <c r="J71" s="582"/>
      <c r="K71" s="582"/>
      <c r="L71" s="582"/>
      <c r="M71" s="582"/>
      <c r="N71" s="582"/>
      <c r="O71" s="582"/>
    </row>
    <row r="72" spans="3:15" ht="25.5" customHeight="1">
      <c r="C72" s="582"/>
      <c r="D72" s="582"/>
      <c r="E72" s="582"/>
      <c r="F72" s="582"/>
      <c r="G72" s="582"/>
      <c r="H72" s="582"/>
      <c r="I72" s="582"/>
      <c r="J72" s="582"/>
      <c r="K72" s="582"/>
      <c r="L72" s="582"/>
      <c r="M72" s="582"/>
      <c r="N72" s="582"/>
      <c r="O72" s="582"/>
    </row>
    <row r="73" spans="3:15" ht="25.5" customHeight="1">
      <c r="C73" s="582"/>
      <c r="D73" s="582"/>
      <c r="E73" s="582"/>
      <c r="F73" s="582"/>
      <c r="G73" s="582"/>
      <c r="H73" s="582"/>
      <c r="I73" s="582"/>
      <c r="J73" s="582"/>
      <c r="K73" s="582"/>
      <c r="L73" s="582"/>
      <c r="M73" s="582"/>
      <c r="N73" s="582"/>
      <c r="O73" s="582"/>
    </row>
    <row r="74" spans="3:15" ht="25.5" customHeight="1">
      <c r="C74" s="582"/>
      <c r="D74" s="582"/>
      <c r="E74" s="582"/>
      <c r="F74" s="582"/>
      <c r="G74" s="582"/>
      <c r="H74" s="582"/>
      <c r="I74" s="582"/>
      <c r="J74" s="582"/>
      <c r="K74" s="582"/>
      <c r="L74" s="582"/>
      <c r="M74" s="582"/>
      <c r="N74" s="582"/>
      <c r="O74" s="582"/>
    </row>
    <row r="75" spans="3:15" ht="25.5" customHeight="1">
      <c r="C75" s="582"/>
      <c r="D75" s="582"/>
      <c r="E75" s="582"/>
      <c r="F75" s="582"/>
      <c r="G75" s="582"/>
      <c r="H75" s="582"/>
      <c r="I75" s="582"/>
      <c r="J75" s="582"/>
      <c r="K75" s="582"/>
      <c r="L75" s="582"/>
      <c r="M75" s="582"/>
      <c r="N75" s="582"/>
      <c r="O75" s="582"/>
    </row>
    <row r="76" spans="3:15" ht="25.5" customHeight="1">
      <c r="C76" s="582"/>
      <c r="D76" s="582"/>
      <c r="E76" s="582"/>
      <c r="F76" s="582"/>
      <c r="G76" s="582"/>
      <c r="H76" s="582"/>
      <c r="I76" s="582"/>
      <c r="J76" s="582"/>
      <c r="K76" s="582"/>
      <c r="L76" s="582"/>
      <c r="M76" s="582"/>
      <c r="N76" s="582"/>
      <c r="O76" s="582"/>
    </row>
    <row r="77" spans="3:15" ht="25.5" customHeight="1">
      <c r="C77" s="582"/>
      <c r="D77" s="582"/>
      <c r="E77" s="582"/>
      <c r="F77" s="582"/>
      <c r="G77" s="582"/>
      <c r="H77" s="582"/>
      <c r="I77" s="582"/>
      <c r="J77" s="582"/>
      <c r="K77" s="582"/>
      <c r="L77" s="582"/>
      <c r="M77" s="582"/>
      <c r="N77" s="582"/>
      <c r="O77" s="582"/>
    </row>
    <row r="78" spans="3:15" ht="25.5" customHeight="1">
      <c r="C78" s="582"/>
      <c r="D78" s="582"/>
      <c r="E78" s="582"/>
      <c r="F78" s="582"/>
      <c r="G78" s="582"/>
      <c r="H78" s="582"/>
      <c r="I78" s="582"/>
      <c r="J78" s="582"/>
      <c r="K78" s="582"/>
      <c r="L78" s="582"/>
      <c r="M78" s="582"/>
      <c r="N78" s="582"/>
      <c r="O78" s="582"/>
    </row>
    <row r="79" spans="3:15" ht="25.5" customHeight="1">
      <c r="C79" s="582"/>
      <c r="D79" s="582"/>
      <c r="E79" s="582"/>
      <c r="F79" s="582"/>
      <c r="G79" s="582"/>
      <c r="H79" s="582"/>
      <c r="I79" s="582"/>
      <c r="J79" s="582"/>
      <c r="K79" s="582"/>
      <c r="L79" s="582"/>
      <c r="M79" s="582"/>
      <c r="N79" s="582"/>
      <c r="O79" s="582"/>
    </row>
    <row r="80" spans="3:15" ht="25.5" customHeight="1">
      <c r="C80" s="582"/>
      <c r="D80" s="582"/>
      <c r="E80" s="582"/>
      <c r="F80" s="582"/>
      <c r="G80" s="582"/>
      <c r="H80" s="582"/>
      <c r="I80" s="582"/>
      <c r="J80" s="582"/>
      <c r="K80" s="582"/>
      <c r="L80" s="582"/>
      <c r="M80" s="582"/>
      <c r="N80" s="582"/>
      <c r="O80" s="582"/>
    </row>
    <row r="81" spans="3:15" ht="25.5" customHeight="1">
      <c r="C81" s="582"/>
      <c r="D81" s="582"/>
      <c r="E81" s="582"/>
      <c r="F81" s="582"/>
      <c r="G81" s="582"/>
      <c r="H81" s="582"/>
      <c r="I81" s="582"/>
      <c r="J81" s="582"/>
      <c r="K81" s="582"/>
      <c r="L81" s="582"/>
      <c r="M81" s="582"/>
      <c r="N81" s="582"/>
      <c r="O81" s="582"/>
    </row>
    <row r="82" spans="3:15" ht="25.5" customHeight="1">
      <c r="C82" s="582"/>
      <c r="D82" s="582"/>
      <c r="E82" s="582"/>
      <c r="F82" s="582"/>
      <c r="G82" s="582"/>
      <c r="H82" s="582"/>
      <c r="I82" s="582"/>
      <c r="J82" s="582"/>
      <c r="K82" s="582"/>
      <c r="L82" s="582"/>
      <c r="M82" s="582"/>
      <c r="N82" s="582"/>
      <c r="O82" s="582"/>
    </row>
    <row r="83" spans="3:15" ht="25.5" customHeight="1">
      <c r="C83" s="582"/>
      <c r="D83" s="582"/>
      <c r="E83" s="582"/>
      <c r="F83" s="582"/>
      <c r="G83" s="582"/>
      <c r="H83" s="582"/>
      <c r="I83" s="582"/>
      <c r="J83" s="582"/>
      <c r="K83" s="582"/>
      <c r="L83" s="582"/>
      <c r="M83" s="582"/>
      <c r="N83" s="582"/>
      <c r="O83" s="582"/>
    </row>
    <row r="84" spans="3:15" ht="25.5" customHeight="1">
      <c r="C84" s="582"/>
      <c r="D84" s="582"/>
      <c r="E84" s="582"/>
      <c r="F84" s="582"/>
      <c r="G84" s="582"/>
      <c r="H84" s="582"/>
      <c r="I84" s="582"/>
      <c r="J84" s="582"/>
      <c r="K84" s="582"/>
      <c r="L84" s="582"/>
      <c r="M84" s="582"/>
      <c r="N84" s="582"/>
      <c r="O84" s="582"/>
    </row>
    <row r="85" spans="3:15" ht="25.5" customHeight="1">
      <c r="C85" s="582"/>
      <c r="D85" s="582"/>
      <c r="E85" s="582"/>
      <c r="F85" s="582"/>
      <c r="G85" s="582"/>
      <c r="H85" s="582"/>
      <c r="I85" s="582"/>
      <c r="J85" s="582"/>
      <c r="K85" s="582"/>
      <c r="L85" s="582"/>
      <c r="M85" s="582"/>
      <c r="N85" s="582"/>
      <c r="O85" s="582"/>
    </row>
    <row r="86" spans="3:15" ht="25.5" customHeight="1">
      <c r="C86" s="582"/>
      <c r="D86" s="582"/>
      <c r="E86" s="582"/>
      <c r="F86" s="582"/>
      <c r="G86" s="582"/>
      <c r="H86" s="582"/>
      <c r="I86" s="582"/>
      <c r="J86" s="582"/>
      <c r="K86" s="582"/>
      <c r="L86" s="582"/>
      <c r="M86" s="582"/>
      <c r="N86" s="582"/>
      <c r="O86" s="582"/>
    </row>
    <row r="87" spans="3:15" ht="25.5" customHeight="1">
      <c r="C87" s="582"/>
      <c r="D87" s="582"/>
      <c r="E87" s="582"/>
      <c r="F87" s="582"/>
      <c r="G87" s="582"/>
      <c r="H87" s="582"/>
      <c r="I87" s="582"/>
      <c r="J87" s="582"/>
      <c r="K87" s="582"/>
      <c r="L87" s="582"/>
      <c r="M87" s="582"/>
      <c r="N87" s="582"/>
      <c r="O87" s="582"/>
    </row>
    <row r="88" spans="3:15" ht="25.5" customHeight="1">
      <c r="C88" s="582"/>
      <c r="D88" s="582"/>
      <c r="E88" s="582"/>
      <c r="F88" s="582"/>
      <c r="G88" s="582"/>
      <c r="H88" s="582"/>
      <c r="I88" s="582"/>
      <c r="J88" s="582"/>
      <c r="K88" s="582"/>
      <c r="L88" s="582"/>
      <c r="M88" s="582"/>
      <c r="N88" s="582"/>
      <c r="O88" s="582"/>
    </row>
    <row r="89" spans="3:15" ht="25.5" customHeight="1">
      <c r="C89" s="582"/>
      <c r="D89" s="582"/>
      <c r="E89" s="582"/>
      <c r="F89" s="582"/>
      <c r="G89" s="582"/>
      <c r="H89" s="582"/>
      <c r="I89" s="582"/>
      <c r="J89" s="582"/>
      <c r="K89" s="582"/>
      <c r="L89" s="582"/>
      <c r="M89" s="582"/>
      <c r="N89" s="582"/>
      <c r="O89" s="582"/>
    </row>
    <row r="90" spans="3:15" ht="25.5" customHeight="1">
      <c r="C90" s="582"/>
      <c r="D90" s="582"/>
      <c r="E90" s="582"/>
      <c r="F90" s="582"/>
      <c r="G90" s="582"/>
      <c r="H90" s="582"/>
      <c r="I90" s="582"/>
      <c r="J90" s="582"/>
      <c r="K90" s="582"/>
      <c r="L90" s="582"/>
      <c r="M90" s="582"/>
      <c r="N90" s="582"/>
      <c r="O90" s="582"/>
    </row>
    <row r="91" spans="3:15" ht="25.5" customHeight="1">
      <c r="C91" s="582"/>
      <c r="D91" s="582"/>
      <c r="E91" s="582"/>
      <c r="F91" s="582"/>
      <c r="G91" s="582"/>
      <c r="H91" s="582"/>
      <c r="I91" s="582"/>
      <c r="J91" s="582"/>
      <c r="K91" s="582"/>
      <c r="L91" s="582"/>
      <c r="M91" s="582"/>
      <c r="N91" s="582"/>
      <c r="O91" s="582"/>
    </row>
    <row r="92" spans="3:15" ht="25.5" customHeight="1">
      <c r="C92" s="582"/>
      <c r="D92" s="582"/>
      <c r="E92" s="582"/>
      <c r="F92" s="582"/>
      <c r="G92" s="582"/>
      <c r="H92" s="582"/>
      <c r="I92" s="582"/>
      <c r="J92" s="582"/>
      <c r="K92" s="582"/>
      <c r="L92" s="582"/>
      <c r="M92" s="582"/>
      <c r="N92" s="582"/>
      <c r="O92" s="582"/>
    </row>
    <row r="93" spans="3:15" ht="25.5" customHeight="1">
      <c r="C93" s="582"/>
      <c r="D93" s="582"/>
      <c r="E93" s="582"/>
      <c r="F93" s="582"/>
      <c r="G93" s="582"/>
      <c r="H93" s="582"/>
      <c r="I93" s="582"/>
      <c r="J93" s="582"/>
      <c r="K93" s="582"/>
      <c r="L93" s="582"/>
      <c r="M93" s="582"/>
      <c r="N93" s="582"/>
      <c r="O93" s="582"/>
    </row>
    <row r="94" spans="3:15" ht="25.5" customHeight="1">
      <c r="C94" s="582"/>
      <c r="D94" s="582"/>
      <c r="E94" s="582"/>
      <c r="F94" s="582"/>
      <c r="G94" s="582"/>
      <c r="H94" s="582"/>
      <c r="I94" s="582"/>
      <c r="J94" s="582"/>
      <c r="K94" s="582"/>
      <c r="L94" s="582"/>
      <c r="M94" s="582"/>
      <c r="N94" s="582"/>
      <c r="O94" s="582"/>
    </row>
    <row r="95" spans="3:15" ht="25.5" customHeight="1">
      <c r="C95" s="582"/>
      <c r="D95" s="582"/>
      <c r="E95" s="582"/>
      <c r="F95" s="582"/>
      <c r="G95" s="582"/>
      <c r="H95" s="582"/>
      <c r="I95" s="582"/>
      <c r="J95" s="582"/>
      <c r="K95" s="582"/>
      <c r="L95" s="582"/>
      <c r="M95" s="582"/>
      <c r="N95" s="582"/>
      <c r="O95" s="582"/>
    </row>
    <row r="96" spans="3:15" ht="25.5" customHeight="1">
      <c r="C96" s="582"/>
      <c r="D96" s="582"/>
      <c r="E96" s="582"/>
      <c r="F96" s="582"/>
      <c r="G96" s="582"/>
      <c r="H96" s="582"/>
      <c r="I96" s="582"/>
      <c r="J96" s="582"/>
      <c r="K96" s="582"/>
      <c r="L96" s="582"/>
      <c r="M96" s="582"/>
      <c r="N96" s="582"/>
      <c r="O96" s="582"/>
    </row>
    <row r="97" spans="3:15" ht="25.5" customHeight="1">
      <c r="C97" s="582"/>
      <c r="D97" s="582"/>
      <c r="E97" s="582"/>
      <c r="F97" s="582"/>
      <c r="G97" s="582"/>
      <c r="H97" s="582"/>
      <c r="I97" s="582"/>
      <c r="J97" s="582"/>
      <c r="K97" s="582"/>
      <c r="L97" s="582"/>
      <c r="M97" s="582"/>
      <c r="N97" s="582"/>
      <c r="O97" s="582"/>
    </row>
    <row r="98" spans="3:15" ht="25.5" customHeight="1">
      <c r="C98" s="582"/>
      <c r="D98" s="582"/>
      <c r="E98" s="582"/>
      <c r="F98" s="582"/>
      <c r="G98" s="582"/>
      <c r="H98" s="582"/>
      <c r="I98" s="582"/>
      <c r="J98" s="582"/>
      <c r="K98" s="582"/>
      <c r="L98" s="582"/>
      <c r="M98" s="582"/>
      <c r="N98" s="582"/>
      <c r="O98" s="582"/>
    </row>
    <row r="99" spans="3:15" ht="25.5" customHeight="1">
      <c r="C99" s="582"/>
      <c r="D99" s="582"/>
      <c r="E99" s="582"/>
      <c r="F99" s="582"/>
      <c r="G99" s="582"/>
      <c r="H99" s="582"/>
      <c r="I99" s="582"/>
      <c r="J99" s="582"/>
      <c r="K99" s="582"/>
      <c r="L99" s="582"/>
      <c r="M99" s="582"/>
      <c r="N99" s="582"/>
      <c r="O99" s="582"/>
    </row>
    <row r="100" spans="3:15" ht="25.5" customHeight="1">
      <c r="C100" s="582"/>
      <c r="D100" s="582"/>
      <c r="E100" s="582"/>
      <c r="F100" s="582"/>
      <c r="G100" s="582"/>
      <c r="H100" s="582"/>
      <c r="I100" s="582"/>
      <c r="J100" s="582"/>
      <c r="K100" s="582"/>
      <c r="L100" s="582"/>
      <c r="M100" s="582"/>
      <c r="N100" s="582"/>
      <c r="O100" s="582"/>
    </row>
    <row r="101" spans="3:15" ht="25.5" customHeight="1">
      <c r="C101" s="582"/>
      <c r="D101" s="582"/>
      <c r="E101" s="582"/>
      <c r="F101" s="582"/>
      <c r="G101" s="582"/>
      <c r="H101" s="582"/>
      <c r="I101" s="582"/>
      <c r="J101" s="582"/>
      <c r="K101" s="582"/>
      <c r="L101" s="582"/>
      <c r="M101" s="582"/>
      <c r="N101" s="582"/>
      <c r="O101" s="582"/>
    </row>
    <row r="102" spans="3:15" ht="25.5" customHeight="1">
      <c r="C102" s="582"/>
      <c r="D102" s="582"/>
      <c r="E102" s="582"/>
      <c r="F102" s="582"/>
      <c r="G102" s="582"/>
      <c r="H102" s="582"/>
      <c r="I102" s="582"/>
      <c r="J102" s="582"/>
      <c r="K102" s="582"/>
      <c r="L102" s="582"/>
      <c r="M102" s="582"/>
      <c r="N102" s="582"/>
      <c r="O102" s="582"/>
    </row>
    <row r="103" spans="3:15" ht="25.5" customHeight="1">
      <c r="C103" s="582"/>
      <c r="D103" s="582"/>
      <c r="E103" s="582"/>
      <c r="F103" s="582"/>
      <c r="G103" s="582"/>
      <c r="H103" s="582"/>
      <c r="I103" s="582"/>
      <c r="J103" s="582"/>
      <c r="K103" s="582"/>
      <c r="L103" s="582"/>
      <c r="M103" s="582"/>
      <c r="N103" s="582"/>
      <c r="O103" s="582"/>
    </row>
    <row r="104" spans="3:15" ht="25.5" customHeight="1">
      <c r="C104" s="582"/>
      <c r="D104" s="582"/>
      <c r="E104" s="582"/>
      <c r="F104" s="582"/>
      <c r="G104" s="582"/>
      <c r="H104" s="582"/>
      <c r="I104" s="582"/>
      <c r="J104" s="582"/>
      <c r="K104" s="582"/>
      <c r="L104" s="582"/>
      <c r="M104" s="582"/>
      <c r="N104" s="582"/>
      <c r="O104" s="582"/>
    </row>
    <row r="105" spans="3:15" ht="25.5" customHeight="1">
      <c r="C105" s="582"/>
      <c r="D105" s="582"/>
      <c r="E105" s="582"/>
      <c r="F105" s="582"/>
      <c r="G105" s="582"/>
      <c r="H105" s="582"/>
      <c r="I105" s="582"/>
      <c r="J105" s="582"/>
      <c r="K105" s="582"/>
      <c r="L105" s="582"/>
      <c r="M105" s="582"/>
      <c r="N105" s="582"/>
      <c r="O105" s="582"/>
    </row>
    <row r="106" spans="3:15" ht="25.5" customHeight="1">
      <c r="C106" s="582"/>
      <c r="D106" s="582"/>
      <c r="E106" s="582"/>
      <c r="F106" s="582"/>
      <c r="G106" s="582"/>
      <c r="H106" s="582"/>
      <c r="I106" s="582"/>
      <c r="J106" s="582"/>
      <c r="K106" s="582"/>
      <c r="L106" s="582"/>
      <c r="M106" s="582"/>
      <c r="N106" s="582"/>
      <c r="O106" s="582"/>
    </row>
    <row r="107" spans="3:15" ht="25.5" customHeight="1">
      <c r="C107" s="582"/>
      <c r="D107" s="582"/>
      <c r="E107" s="582"/>
      <c r="F107" s="582"/>
      <c r="G107" s="582"/>
      <c r="H107" s="582"/>
      <c r="I107" s="582"/>
      <c r="J107" s="582"/>
      <c r="K107" s="582"/>
      <c r="L107" s="582"/>
      <c r="M107" s="582"/>
      <c r="N107" s="582"/>
      <c r="O107" s="582"/>
    </row>
    <row r="108" spans="3:15" ht="25.5" customHeight="1">
      <c r="C108" s="582"/>
      <c r="D108" s="582"/>
      <c r="E108" s="582"/>
      <c r="F108" s="582"/>
      <c r="G108" s="582"/>
      <c r="H108" s="582"/>
      <c r="I108" s="582"/>
      <c r="J108" s="582"/>
      <c r="K108" s="582"/>
      <c r="L108" s="582"/>
      <c r="M108" s="582"/>
      <c r="N108" s="582"/>
      <c r="O108" s="582"/>
    </row>
    <row r="109" spans="3:15" ht="25.5" customHeight="1">
      <c r="C109" s="582"/>
      <c r="D109" s="582"/>
      <c r="E109" s="582"/>
      <c r="F109" s="582"/>
      <c r="G109" s="582"/>
      <c r="H109" s="582"/>
      <c r="I109" s="582"/>
      <c r="J109" s="582"/>
      <c r="K109" s="582"/>
      <c r="L109" s="582"/>
      <c r="M109" s="582"/>
      <c r="N109" s="582"/>
      <c r="O109" s="582"/>
    </row>
    <row r="110" spans="3:15" ht="25.5" customHeight="1">
      <c r="C110" s="582"/>
      <c r="D110" s="582"/>
      <c r="E110" s="582"/>
      <c r="F110" s="582"/>
      <c r="G110" s="582"/>
      <c r="H110" s="582"/>
      <c r="I110" s="582"/>
      <c r="J110" s="582"/>
      <c r="K110" s="582"/>
      <c r="L110" s="582"/>
      <c r="M110" s="582"/>
      <c r="N110" s="582"/>
      <c r="O110" s="582"/>
    </row>
    <row r="111" spans="3:15" ht="25.5" customHeight="1">
      <c r="C111" s="582"/>
      <c r="D111" s="582"/>
      <c r="E111" s="582"/>
      <c r="F111" s="582"/>
      <c r="G111" s="582"/>
      <c r="H111" s="582"/>
      <c r="I111" s="582"/>
      <c r="J111" s="582"/>
      <c r="K111" s="582"/>
      <c r="L111" s="582"/>
      <c r="M111" s="582"/>
      <c r="N111" s="582"/>
      <c r="O111" s="582"/>
    </row>
    <row r="112" spans="3:15" ht="25.5" customHeight="1">
      <c r="C112" s="582"/>
      <c r="D112" s="582"/>
      <c r="E112" s="582"/>
      <c r="F112" s="582"/>
      <c r="G112" s="582"/>
      <c r="H112" s="582"/>
      <c r="I112" s="582"/>
      <c r="J112" s="582"/>
      <c r="K112" s="582"/>
      <c r="L112" s="582"/>
      <c r="M112" s="582"/>
      <c r="N112" s="582"/>
      <c r="O112" s="582"/>
    </row>
    <row r="113" spans="3:15" ht="25.5" customHeight="1">
      <c r="C113" s="582"/>
      <c r="D113" s="582"/>
      <c r="E113" s="582"/>
      <c r="F113" s="582"/>
      <c r="G113" s="582"/>
      <c r="H113" s="582"/>
      <c r="I113" s="582"/>
      <c r="J113" s="582"/>
      <c r="K113" s="582"/>
      <c r="L113" s="582"/>
      <c r="M113" s="582"/>
      <c r="N113" s="582"/>
      <c r="O113" s="582"/>
    </row>
    <row r="114" spans="3:15" ht="25.5" customHeight="1">
      <c r="C114" s="582"/>
      <c r="D114" s="582"/>
      <c r="E114" s="582"/>
      <c r="F114" s="582"/>
      <c r="G114" s="582"/>
      <c r="H114" s="582"/>
      <c r="I114" s="582"/>
      <c r="J114" s="582"/>
      <c r="K114" s="582"/>
      <c r="L114" s="582"/>
      <c r="M114" s="582"/>
      <c r="N114" s="582"/>
      <c r="O114" s="582"/>
    </row>
    <row r="115" spans="3:15" ht="25.5" customHeight="1">
      <c r="C115" s="582"/>
      <c r="D115" s="582"/>
      <c r="E115" s="582"/>
      <c r="F115" s="582"/>
      <c r="G115" s="582"/>
      <c r="H115" s="582"/>
      <c r="I115" s="582"/>
      <c r="J115" s="582"/>
      <c r="K115" s="582"/>
      <c r="L115" s="582"/>
      <c r="M115" s="582"/>
      <c r="N115" s="582"/>
      <c r="O115" s="582"/>
    </row>
    <row r="116" spans="3:15" ht="25.5" customHeight="1">
      <c r="C116" s="582"/>
      <c r="D116" s="582"/>
      <c r="E116" s="582"/>
      <c r="F116" s="582"/>
      <c r="G116" s="582"/>
      <c r="H116" s="582"/>
      <c r="I116" s="582"/>
      <c r="J116" s="582"/>
      <c r="K116" s="582"/>
      <c r="L116" s="582"/>
      <c r="M116" s="582"/>
      <c r="N116" s="582"/>
      <c r="O116" s="582"/>
    </row>
    <row r="117" spans="3:15" ht="25.5" customHeight="1">
      <c r="C117" s="582"/>
      <c r="D117" s="582"/>
      <c r="E117" s="582"/>
      <c r="F117" s="582"/>
      <c r="G117" s="582"/>
      <c r="H117" s="582"/>
      <c r="I117" s="582"/>
      <c r="J117" s="582"/>
      <c r="K117" s="582"/>
      <c r="L117" s="582"/>
      <c r="M117" s="582"/>
      <c r="N117" s="582"/>
      <c r="O117" s="582"/>
    </row>
    <row r="118" spans="3:15" ht="25.5" customHeight="1">
      <c r="C118" s="582"/>
      <c r="D118" s="582"/>
      <c r="E118" s="582"/>
      <c r="F118" s="582"/>
      <c r="G118" s="582"/>
      <c r="H118" s="582"/>
      <c r="I118" s="582"/>
      <c r="J118" s="582"/>
      <c r="K118" s="582"/>
      <c r="L118" s="582"/>
      <c r="M118" s="582"/>
      <c r="N118" s="582"/>
      <c r="O118" s="582"/>
    </row>
    <row r="119" spans="3:15" ht="25.5" customHeight="1">
      <c r="C119" s="582"/>
      <c r="D119" s="582"/>
      <c r="E119" s="582"/>
      <c r="F119" s="582"/>
      <c r="G119" s="582"/>
      <c r="H119" s="582"/>
      <c r="I119" s="582"/>
      <c r="J119" s="582"/>
      <c r="K119" s="582"/>
      <c r="L119" s="582"/>
      <c r="M119" s="582"/>
      <c r="N119" s="582"/>
      <c r="O119" s="582"/>
    </row>
    <row r="120" spans="3:15" ht="25.5" customHeight="1">
      <c r="C120" s="582"/>
      <c r="D120" s="582"/>
      <c r="E120" s="582"/>
      <c r="F120" s="582"/>
      <c r="G120" s="582"/>
      <c r="H120" s="582"/>
      <c r="I120" s="582"/>
      <c r="J120" s="582"/>
      <c r="K120" s="582"/>
      <c r="L120" s="582"/>
      <c r="M120" s="582"/>
      <c r="N120" s="582"/>
      <c r="O120" s="582"/>
    </row>
    <row r="121" spans="3:15" ht="25.5" customHeight="1">
      <c r="C121" s="582"/>
      <c r="D121" s="582"/>
      <c r="E121" s="582"/>
      <c r="F121" s="582"/>
      <c r="G121" s="582"/>
      <c r="H121" s="582"/>
      <c r="I121" s="582"/>
      <c r="J121" s="582"/>
      <c r="K121" s="582"/>
      <c r="L121" s="582"/>
      <c r="M121" s="582"/>
      <c r="N121" s="582"/>
      <c r="O121" s="582"/>
    </row>
    <row r="122" spans="3:15" ht="25.5" customHeight="1">
      <c r="C122" s="582"/>
      <c r="D122" s="582"/>
      <c r="E122" s="582"/>
      <c r="F122" s="582"/>
      <c r="G122" s="582"/>
      <c r="H122" s="582"/>
      <c r="I122" s="582"/>
      <c r="J122" s="582"/>
      <c r="K122" s="582"/>
      <c r="L122" s="582"/>
      <c r="M122" s="582"/>
      <c r="N122" s="582"/>
      <c r="O122" s="582"/>
    </row>
    <row r="123" spans="3:15" ht="25.5" customHeight="1">
      <c r="C123" s="582"/>
      <c r="D123" s="582"/>
      <c r="E123" s="582"/>
      <c r="F123" s="582"/>
      <c r="G123" s="582"/>
      <c r="H123" s="582"/>
      <c r="I123" s="582"/>
      <c r="J123" s="582"/>
      <c r="K123" s="582"/>
      <c r="L123" s="582"/>
      <c r="M123" s="582"/>
      <c r="N123" s="582"/>
      <c r="O123" s="582"/>
    </row>
    <row r="124" spans="3:15" ht="25.5" customHeight="1">
      <c r="C124" s="582"/>
      <c r="D124" s="582"/>
      <c r="E124" s="582"/>
      <c r="F124" s="582"/>
      <c r="G124" s="582"/>
      <c r="H124" s="582"/>
      <c r="I124" s="582"/>
      <c r="J124" s="582"/>
      <c r="K124" s="582"/>
      <c r="L124" s="582"/>
      <c r="M124" s="582"/>
      <c r="N124" s="582"/>
      <c r="O124" s="582"/>
    </row>
    <row r="125" spans="3:15" ht="25.5" customHeight="1">
      <c r="C125" s="582"/>
      <c r="D125" s="582"/>
      <c r="E125" s="582"/>
      <c r="F125" s="582"/>
      <c r="G125" s="582"/>
      <c r="H125" s="582"/>
      <c r="I125" s="582"/>
      <c r="J125" s="582"/>
      <c r="K125" s="582"/>
      <c r="L125" s="582"/>
      <c r="M125" s="582"/>
      <c r="N125" s="582"/>
      <c r="O125" s="582"/>
    </row>
    <row r="126" spans="3:15" ht="25.5" customHeight="1">
      <c r="C126" s="582"/>
      <c r="D126" s="582"/>
      <c r="E126" s="582"/>
      <c r="F126" s="582"/>
      <c r="G126" s="582"/>
      <c r="H126" s="582"/>
      <c r="I126" s="582"/>
      <c r="J126" s="582"/>
      <c r="K126" s="582"/>
      <c r="L126" s="582"/>
      <c r="M126" s="582"/>
      <c r="N126" s="582"/>
      <c r="O126" s="582"/>
    </row>
    <row r="127" spans="3:15" ht="25.5" customHeight="1">
      <c r="C127" s="582"/>
      <c r="D127" s="582"/>
      <c r="E127" s="582"/>
      <c r="F127" s="582"/>
      <c r="G127" s="582"/>
      <c r="H127" s="582"/>
      <c r="I127" s="582"/>
      <c r="J127" s="582"/>
      <c r="K127" s="582"/>
      <c r="L127" s="582"/>
      <c r="M127" s="582"/>
      <c r="N127" s="582"/>
      <c r="O127" s="582"/>
    </row>
    <row r="128" spans="3:15" ht="25.5" customHeight="1">
      <c r="C128" s="582"/>
      <c r="D128" s="582"/>
      <c r="E128" s="582"/>
      <c r="F128" s="582"/>
      <c r="G128" s="582"/>
      <c r="H128" s="582"/>
      <c r="I128" s="582"/>
      <c r="J128" s="582"/>
      <c r="K128" s="582"/>
      <c r="L128" s="582"/>
      <c r="M128" s="582"/>
      <c r="N128" s="582"/>
      <c r="O128" s="582"/>
    </row>
    <row r="129" spans="3:15" ht="25.5" customHeight="1">
      <c r="C129" s="582"/>
      <c r="D129" s="582"/>
      <c r="E129" s="582"/>
      <c r="F129" s="582"/>
      <c r="G129" s="582"/>
      <c r="H129" s="582"/>
      <c r="I129" s="582"/>
      <c r="J129" s="582"/>
      <c r="K129" s="582"/>
      <c r="L129" s="582"/>
      <c r="M129" s="582"/>
      <c r="N129" s="582"/>
      <c r="O129" s="582"/>
    </row>
    <row r="130" spans="3:15" ht="25.5" customHeight="1">
      <c r="C130" s="582"/>
      <c r="D130" s="582"/>
      <c r="E130" s="582"/>
      <c r="F130" s="582"/>
      <c r="G130" s="582"/>
      <c r="H130" s="582"/>
      <c r="I130" s="582"/>
      <c r="J130" s="582"/>
      <c r="K130" s="582"/>
      <c r="L130" s="582"/>
      <c r="M130" s="582"/>
      <c r="N130" s="582"/>
      <c r="O130" s="582"/>
    </row>
    <row r="131" spans="3:15" ht="25.5" customHeight="1">
      <c r="C131" s="582"/>
      <c r="D131" s="582"/>
      <c r="E131" s="582"/>
      <c r="F131" s="582"/>
      <c r="G131" s="582"/>
      <c r="H131" s="582"/>
      <c r="I131" s="582"/>
      <c r="J131" s="582"/>
      <c r="K131" s="582"/>
      <c r="L131" s="582"/>
      <c r="M131" s="582"/>
      <c r="N131" s="582"/>
      <c r="O131" s="582"/>
    </row>
    <row r="132" spans="3:15" ht="25.5" customHeight="1">
      <c r="C132" s="582"/>
      <c r="D132" s="582"/>
      <c r="E132" s="582"/>
      <c r="F132" s="582"/>
      <c r="G132" s="582"/>
      <c r="H132" s="582"/>
      <c r="I132" s="582"/>
      <c r="J132" s="582"/>
      <c r="K132" s="582"/>
      <c r="L132" s="582"/>
      <c r="M132" s="582"/>
      <c r="N132" s="582"/>
      <c r="O132" s="582"/>
    </row>
    <row r="133" spans="3:15" ht="25.5" customHeight="1">
      <c r="C133" s="582"/>
      <c r="D133" s="582"/>
      <c r="E133" s="582"/>
      <c r="F133" s="582"/>
      <c r="G133" s="582"/>
      <c r="H133" s="582"/>
      <c r="I133" s="582"/>
      <c r="J133" s="582"/>
      <c r="K133" s="582"/>
      <c r="L133" s="582"/>
      <c r="M133" s="582"/>
      <c r="N133" s="582"/>
      <c r="O133" s="582"/>
    </row>
    <row r="134" spans="3:15" ht="25.5" customHeight="1">
      <c r="C134" s="582"/>
      <c r="D134" s="582"/>
      <c r="E134" s="582"/>
      <c r="F134" s="582"/>
      <c r="G134" s="582"/>
      <c r="H134" s="582"/>
      <c r="I134" s="582"/>
      <c r="J134" s="582"/>
      <c r="K134" s="582"/>
      <c r="L134" s="582"/>
      <c r="M134" s="582"/>
      <c r="N134" s="582"/>
      <c r="O134" s="582"/>
    </row>
    <row r="135" spans="3:15" ht="25.5" customHeight="1">
      <c r="C135" s="582"/>
      <c r="D135" s="582"/>
      <c r="E135" s="582"/>
      <c r="F135" s="582"/>
      <c r="G135" s="582"/>
      <c r="H135" s="582"/>
      <c r="I135" s="582"/>
      <c r="J135" s="582"/>
      <c r="K135" s="582"/>
      <c r="L135" s="582"/>
      <c r="M135" s="582"/>
      <c r="N135" s="582"/>
      <c r="O135" s="582"/>
    </row>
    <row r="136" spans="3:15" ht="25.5" customHeight="1">
      <c r="C136" s="582"/>
      <c r="D136" s="582"/>
      <c r="E136" s="582"/>
      <c r="F136" s="582"/>
      <c r="G136" s="582"/>
      <c r="H136" s="582"/>
      <c r="I136" s="582"/>
      <c r="J136" s="582"/>
      <c r="K136" s="582"/>
      <c r="L136" s="582"/>
      <c r="M136" s="582"/>
      <c r="N136" s="582"/>
      <c r="O136" s="582"/>
    </row>
    <row r="137" spans="3:15" ht="25.5" customHeight="1">
      <c r="C137" s="582"/>
      <c r="D137" s="582"/>
      <c r="E137" s="582"/>
      <c r="F137" s="582"/>
      <c r="G137" s="582"/>
      <c r="H137" s="582"/>
      <c r="I137" s="582"/>
      <c r="J137" s="582"/>
      <c r="K137" s="582"/>
      <c r="L137" s="582"/>
      <c r="M137" s="582"/>
      <c r="N137" s="582"/>
      <c r="O137" s="582"/>
    </row>
    <row r="138" spans="3:15" ht="25.5" customHeight="1">
      <c r="C138" s="582"/>
      <c r="D138" s="582"/>
      <c r="E138" s="582"/>
      <c r="F138" s="582"/>
      <c r="G138" s="582"/>
      <c r="H138" s="582"/>
      <c r="I138" s="582"/>
      <c r="J138" s="582"/>
      <c r="K138" s="582"/>
      <c r="L138" s="582"/>
      <c r="M138" s="582"/>
      <c r="N138" s="582"/>
      <c r="O138" s="582"/>
    </row>
    <row r="139" spans="3:15" ht="25.5" customHeight="1">
      <c r="C139" s="582"/>
      <c r="D139" s="582"/>
      <c r="E139" s="582"/>
      <c r="F139" s="582"/>
      <c r="G139" s="582"/>
      <c r="H139" s="582"/>
      <c r="I139" s="582"/>
      <c r="J139" s="582"/>
      <c r="K139" s="582"/>
      <c r="L139" s="582"/>
      <c r="M139" s="582"/>
      <c r="N139" s="582"/>
      <c r="O139" s="582"/>
    </row>
    <row r="140" spans="3:15" ht="25.5" customHeight="1">
      <c r="C140" s="582"/>
      <c r="D140" s="582"/>
      <c r="E140" s="582"/>
      <c r="F140" s="582"/>
      <c r="G140" s="582"/>
      <c r="H140" s="582"/>
      <c r="I140" s="582"/>
      <c r="J140" s="582"/>
      <c r="K140" s="582"/>
      <c r="L140" s="582"/>
      <c r="M140" s="582"/>
      <c r="N140" s="582"/>
      <c r="O140" s="582"/>
    </row>
    <row r="141" spans="3:15" ht="25.5" customHeight="1">
      <c r="C141" s="582"/>
      <c r="D141" s="582"/>
      <c r="E141" s="582"/>
      <c r="F141" s="582"/>
      <c r="G141" s="582"/>
      <c r="H141" s="582"/>
      <c r="I141" s="582"/>
      <c r="J141" s="582"/>
      <c r="K141" s="582"/>
      <c r="L141" s="582"/>
      <c r="M141" s="582"/>
      <c r="N141" s="582"/>
      <c r="O141" s="582"/>
    </row>
    <row r="142" spans="3:15" ht="25.5" customHeight="1">
      <c r="C142" s="582"/>
      <c r="D142" s="582"/>
      <c r="E142" s="582"/>
      <c r="F142" s="582"/>
      <c r="G142" s="582"/>
      <c r="H142" s="582"/>
      <c r="I142" s="582"/>
      <c r="J142" s="582"/>
      <c r="K142" s="582"/>
      <c r="L142" s="582"/>
      <c r="M142" s="582"/>
      <c r="N142" s="582"/>
      <c r="O142" s="582"/>
    </row>
    <row r="143" spans="3:15" ht="25.5" customHeight="1">
      <c r="C143" s="582"/>
      <c r="D143" s="582"/>
      <c r="E143" s="582"/>
      <c r="F143" s="582"/>
      <c r="G143" s="582"/>
      <c r="H143" s="582"/>
      <c r="I143" s="582"/>
      <c r="J143" s="582"/>
      <c r="K143" s="582"/>
      <c r="L143" s="582"/>
      <c r="M143" s="582"/>
      <c r="N143" s="582"/>
      <c r="O143" s="582"/>
    </row>
    <row r="144" spans="3:15" ht="25.5" customHeight="1">
      <c r="C144" s="582"/>
      <c r="D144" s="582"/>
      <c r="E144" s="582"/>
      <c r="F144" s="582"/>
      <c r="G144" s="582"/>
      <c r="H144" s="582"/>
      <c r="I144" s="582"/>
      <c r="J144" s="582"/>
      <c r="K144" s="582"/>
      <c r="L144" s="582"/>
      <c r="M144" s="582"/>
      <c r="N144" s="582"/>
      <c r="O144" s="582"/>
    </row>
    <row r="145" spans="3:15" ht="25.5" customHeight="1">
      <c r="C145" s="582"/>
      <c r="D145" s="582"/>
      <c r="E145" s="582"/>
      <c r="F145" s="582"/>
      <c r="G145" s="582"/>
      <c r="H145" s="582"/>
      <c r="I145" s="582"/>
      <c r="J145" s="582"/>
      <c r="K145" s="582"/>
      <c r="L145" s="582"/>
      <c r="M145" s="582"/>
      <c r="N145" s="582"/>
      <c r="O145" s="582"/>
    </row>
    <row r="146" spans="3:15" ht="25.5" customHeight="1">
      <c r="C146" s="582"/>
      <c r="D146" s="582"/>
      <c r="E146" s="582"/>
      <c r="F146" s="582"/>
      <c r="G146" s="582"/>
      <c r="H146" s="582"/>
      <c r="I146" s="582"/>
      <c r="J146" s="582"/>
      <c r="K146" s="582"/>
      <c r="L146" s="582"/>
      <c r="M146" s="582"/>
      <c r="N146" s="582"/>
      <c r="O146" s="582"/>
    </row>
    <row r="147" spans="3:15" ht="25.5" customHeight="1">
      <c r="C147" s="582"/>
      <c r="D147" s="582"/>
      <c r="E147" s="582"/>
      <c r="F147" s="582"/>
      <c r="G147" s="582"/>
      <c r="H147" s="582"/>
      <c r="I147" s="582"/>
      <c r="J147" s="582"/>
      <c r="K147" s="582"/>
      <c r="L147" s="582"/>
      <c r="M147" s="582"/>
      <c r="N147" s="582"/>
      <c r="O147" s="582"/>
    </row>
    <row r="148" spans="3:15" ht="25.5" customHeight="1">
      <c r="C148" s="582"/>
      <c r="D148" s="582"/>
      <c r="E148" s="582"/>
      <c r="F148" s="582"/>
      <c r="G148" s="582"/>
      <c r="H148" s="582"/>
      <c r="I148" s="582"/>
      <c r="J148" s="582"/>
      <c r="K148" s="582"/>
      <c r="L148" s="582"/>
      <c r="M148" s="582"/>
      <c r="N148" s="582"/>
      <c r="O148" s="582"/>
    </row>
    <row r="149" spans="3:15" ht="25.5" customHeight="1">
      <c r="C149" s="582"/>
      <c r="D149" s="582"/>
      <c r="E149" s="582"/>
      <c r="F149" s="582"/>
      <c r="G149" s="582"/>
      <c r="H149" s="582"/>
      <c r="I149" s="582"/>
      <c r="J149" s="582"/>
      <c r="K149" s="582"/>
      <c r="L149" s="582"/>
      <c r="M149" s="582"/>
      <c r="N149" s="582"/>
      <c r="O149" s="582"/>
    </row>
    <row r="150" spans="3:15" ht="25.5" customHeight="1">
      <c r="C150" s="582"/>
      <c r="D150" s="582"/>
      <c r="E150" s="582"/>
      <c r="F150" s="582"/>
      <c r="G150" s="582"/>
      <c r="H150" s="582"/>
      <c r="I150" s="582"/>
      <c r="J150" s="582"/>
      <c r="K150" s="582"/>
      <c r="L150" s="582"/>
      <c r="M150" s="582"/>
      <c r="N150" s="582"/>
      <c r="O150" s="582"/>
    </row>
    <row r="151" spans="3:15" ht="25.5" customHeight="1">
      <c r="C151" s="582"/>
      <c r="D151" s="582"/>
      <c r="E151" s="582"/>
      <c r="F151" s="582"/>
      <c r="G151" s="582"/>
      <c r="H151" s="582"/>
      <c r="I151" s="582"/>
      <c r="J151" s="582"/>
      <c r="K151" s="582"/>
      <c r="L151" s="582"/>
      <c r="M151" s="582"/>
      <c r="N151" s="582"/>
      <c r="O151" s="582"/>
    </row>
    <row r="152" spans="3:15" ht="25.5" customHeight="1">
      <c r="C152" s="582"/>
      <c r="D152" s="582"/>
      <c r="E152" s="582"/>
      <c r="F152" s="582"/>
      <c r="G152" s="582"/>
      <c r="H152" s="582"/>
      <c r="I152" s="582"/>
      <c r="J152" s="582"/>
      <c r="K152" s="582"/>
      <c r="L152" s="582"/>
      <c r="M152" s="582"/>
      <c r="N152" s="582"/>
      <c r="O152" s="582"/>
    </row>
    <row r="153" spans="3:15" ht="25.5" customHeight="1">
      <c r="C153" s="582"/>
      <c r="D153" s="582"/>
      <c r="E153" s="582"/>
      <c r="F153" s="582"/>
      <c r="G153" s="582"/>
      <c r="H153" s="582"/>
      <c r="I153" s="582"/>
      <c r="J153" s="582"/>
      <c r="K153" s="582"/>
      <c r="L153" s="582"/>
      <c r="M153" s="582"/>
      <c r="N153" s="582"/>
      <c r="O153" s="582"/>
    </row>
    <row r="154" spans="3:15" ht="25.5" customHeight="1">
      <c r="C154" s="582"/>
      <c r="D154" s="582"/>
      <c r="E154" s="582"/>
      <c r="F154" s="582"/>
      <c r="G154" s="582"/>
      <c r="H154" s="582"/>
      <c r="I154" s="582"/>
      <c r="J154" s="582"/>
      <c r="K154" s="582"/>
      <c r="L154" s="582"/>
      <c r="M154" s="582"/>
      <c r="N154" s="582"/>
      <c r="O154" s="582"/>
    </row>
    <row r="155" spans="3:15" ht="25.5" customHeight="1">
      <c r="C155" s="582"/>
      <c r="D155" s="582"/>
      <c r="E155" s="582"/>
      <c r="F155" s="582"/>
      <c r="G155" s="582"/>
      <c r="H155" s="582"/>
      <c r="I155" s="582"/>
      <c r="J155" s="582"/>
      <c r="K155" s="582"/>
      <c r="L155" s="582"/>
      <c r="M155" s="582"/>
      <c r="N155" s="582"/>
      <c r="O155" s="582"/>
    </row>
    <row r="156" spans="3:15" ht="25.5" customHeight="1">
      <c r="C156" s="582"/>
      <c r="D156" s="582"/>
      <c r="E156" s="582"/>
      <c r="F156" s="582"/>
      <c r="G156" s="582"/>
      <c r="H156" s="582"/>
      <c r="I156" s="582"/>
      <c r="J156" s="582"/>
      <c r="K156" s="582"/>
      <c r="L156" s="582"/>
      <c r="M156" s="582"/>
      <c r="N156" s="582"/>
      <c r="O156" s="582"/>
    </row>
    <row r="157" spans="3:15" ht="25.5" customHeight="1">
      <c r="C157" s="582"/>
      <c r="D157" s="582"/>
      <c r="E157" s="582"/>
      <c r="F157" s="582"/>
      <c r="G157" s="582"/>
      <c r="H157" s="582"/>
      <c r="I157" s="582"/>
      <c r="J157" s="582"/>
      <c r="K157" s="582"/>
      <c r="L157" s="582"/>
      <c r="M157" s="582"/>
      <c r="N157" s="582"/>
      <c r="O157" s="582"/>
    </row>
    <row r="158" spans="3:15" ht="25.5" customHeight="1">
      <c r="C158" s="582"/>
      <c r="D158" s="582"/>
      <c r="E158" s="582"/>
      <c r="F158" s="582"/>
      <c r="G158" s="582"/>
      <c r="H158" s="582"/>
      <c r="I158" s="582"/>
      <c r="J158" s="582"/>
      <c r="K158" s="582"/>
      <c r="L158" s="582"/>
      <c r="M158" s="582"/>
      <c r="N158" s="582"/>
      <c r="O158" s="582"/>
    </row>
    <row r="159" spans="3:15" ht="25.5" customHeight="1">
      <c r="C159" s="582"/>
      <c r="D159" s="582"/>
      <c r="E159" s="582"/>
      <c r="F159" s="582"/>
      <c r="G159" s="582"/>
      <c r="H159" s="582"/>
      <c r="I159" s="582"/>
      <c r="J159" s="582"/>
      <c r="K159" s="582"/>
      <c r="L159" s="582"/>
      <c r="M159" s="582"/>
      <c r="N159" s="582"/>
      <c r="O159" s="582"/>
    </row>
    <row r="160" spans="3:15" ht="25.5" customHeight="1">
      <c r="C160" s="582"/>
      <c r="D160" s="582"/>
      <c r="E160" s="582"/>
      <c r="F160" s="582"/>
      <c r="G160" s="582"/>
      <c r="H160" s="582"/>
      <c r="I160" s="582"/>
      <c r="J160" s="582"/>
      <c r="K160" s="582"/>
      <c r="L160" s="582"/>
      <c r="M160" s="582"/>
      <c r="N160" s="582"/>
      <c r="O160" s="582"/>
    </row>
    <row r="161" spans="3:15" ht="25.5" customHeight="1">
      <c r="C161" s="582"/>
      <c r="D161" s="582"/>
      <c r="E161" s="582"/>
      <c r="F161" s="582"/>
      <c r="G161" s="582"/>
      <c r="H161" s="582"/>
      <c r="I161" s="582"/>
      <c r="J161" s="582"/>
      <c r="K161" s="582"/>
      <c r="L161" s="582"/>
      <c r="M161" s="582"/>
      <c r="N161" s="582"/>
      <c r="O161" s="582"/>
    </row>
    <row r="162" spans="3:15" ht="25.5" customHeight="1">
      <c r="C162" s="582"/>
      <c r="D162" s="582"/>
      <c r="E162" s="582"/>
      <c r="F162" s="582"/>
      <c r="G162" s="582"/>
      <c r="H162" s="582"/>
      <c r="I162" s="582"/>
      <c r="J162" s="582"/>
      <c r="K162" s="582"/>
      <c r="L162" s="582"/>
      <c r="M162" s="582"/>
      <c r="N162" s="582"/>
      <c r="O162" s="582"/>
    </row>
    <row r="163" spans="3:15" ht="25.5" customHeight="1">
      <c r="C163" s="582"/>
      <c r="D163" s="582"/>
      <c r="E163" s="582"/>
      <c r="F163" s="582"/>
      <c r="G163" s="582"/>
      <c r="H163" s="582"/>
      <c r="I163" s="582"/>
      <c r="J163" s="582"/>
      <c r="K163" s="582"/>
      <c r="L163" s="582"/>
      <c r="M163" s="582"/>
      <c r="N163" s="582"/>
      <c r="O163" s="582"/>
    </row>
    <row r="164" spans="3:15" ht="25.5" customHeight="1">
      <c r="C164" s="582"/>
      <c r="D164" s="582"/>
      <c r="E164" s="582"/>
      <c r="F164" s="582"/>
      <c r="G164" s="582"/>
      <c r="H164" s="582"/>
      <c r="I164" s="582"/>
      <c r="J164" s="582"/>
      <c r="K164" s="582"/>
      <c r="L164" s="582"/>
      <c r="M164" s="582"/>
      <c r="N164" s="582"/>
      <c r="O164" s="582"/>
    </row>
    <row r="165" spans="3:15" ht="25.5" customHeight="1">
      <c r="C165" s="582"/>
      <c r="D165" s="582"/>
      <c r="E165" s="582"/>
      <c r="F165" s="582"/>
      <c r="G165" s="582"/>
      <c r="H165" s="582"/>
      <c r="I165" s="582"/>
      <c r="J165" s="582"/>
      <c r="K165" s="582"/>
      <c r="L165" s="582"/>
      <c r="M165" s="582"/>
      <c r="N165" s="582"/>
      <c r="O165" s="582"/>
    </row>
    <row r="166" spans="3:15" ht="25.5" customHeight="1">
      <c r="C166" s="582"/>
      <c r="D166" s="582"/>
      <c r="E166" s="582"/>
      <c r="F166" s="582"/>
      <c r="G166" s="582"/>
      <c r="H166" s="582"/>
      <c r="I166" s="582"/>
      <c r="J166" s="582"/>
      <c r="K166" s="582"/>
      <c r="L166" s="582"/>
      <c r="M166" s="582"/>
      <c r="N166" s="582"/>
      <c r="O166" s="582"/>
    </row>
    <row r="167" spans="3:15" ht="25.5" customHeight="1">
      <c r="C167" s="582"/>
      <c r="D167" s="582"/>
      <c r="E167" s="582"/>
      <c r="F167" s="582"/>
      <c r="G167" s="582"/>
      <c r="H167" s="582"/>
      <c r="I167" s="582"/>
      <c r="J167" s="582"/>
      <c r="K167" s="582"/>
      <c r="L167" s="582"/>
      <c r="M167" s="582"/>
      <c r="N167" s="582"/>
      <c r="O167" s="582"/>
    </row>
    <row r="168" spans="3:15" ht="25.5" customHeight="1">
      <c r="C168" s="582"/>
      <c r="D168" s="582"/>
      <c r="E168" s="582"/>
      <c r="F168" s="582"/>
      <c r="G168" s="582"/>
      <c r="H168" s="582"/>
      <c r="I168" s="582"/>
      <c r="J168" s="582"/>
      <c r="K168" s="582"/>
      <c r="L168" s="582"/>
      <c r="M168" s="582"/>
      <c r="N168" s="582"/>
      <c r="O168" s="582"/>
    </row>
    <row r="169" spans="3:15" ht="25.5" customHeight="1">
      <c r="C169" s="582"/>
      <c r="D169" s="582"/>
      <c r="E169" s="582"/>
      <c r="F169" s="582"/>
      <c r="G169" s="582"/>
      <c r="H169" s="582"/>
      <c r="I169" s="582"/>
      <c r="J169" s="582"/>
      <c r="K169" s="582"/>
      <c r="L169" s="582"/>
      <c r="M169" s="582"/>
      <c r="N169" s="582"/>
      <c r="O169" s="582"/>
    </row>
    <row r="170" spans="3:15" ht="25.5" customHeight="1">
      <c r="C170" s="582"/>
      <c r="D170" s="582"/>
      <c r="E170" s="582"/>
      <c r="F170" s="582"/>
      <c r="G170" s="582"/>
      <c r="H170" s="582"/>
      <c r="I170" s="582"/>
      <c r="J170" s="582"/>
      <c r="K170" s="582"/>
      <c r="L170" s="582"/>
      <c r="M170" s="582"/>
      <c r="N170" s="582"/>
      <c r="O170" s="582"/>
    </row>
    <row r="171" spans="3:15" ht="25.5" customHeight="1">
      <c r="C171" s="582"/>
      <c r="D171" s="582"/>
      <c r="E171" s="582"/>
      <c r="F171" s="582"/>
      <c r="G171" s="582"/>
      <c r="H171" s="582"/>
      <c r="I171" s="582"/>
      <c r="J171" s="582"/>
      <c r="K171" s="582"/>
      <c r="L171" s="582"/>
      <c r="M171" s="582"/>
      <c r="N171" s="582"/>
      <c r="O171" s="582"/>
    </row>
    <row r="172" spans="3:15" ht="25.5" customHeight="1">
      <c r="C172" s="582"/>
      <c r="D172" s="582"/>
      <c r="E172" s="582"/>
      <c r="F172" s="582"/>
      <c r="G172" s="582"/>
      <c r="H172" s="582"/>
      <c r="I172" s="582"/>
      <c r="J172" s="582"/>
      <c r="K172" s="582"/>
      <c r="L172" s="582"/>
      <c r="M172" s="582"/>
      <c r="N172" s="582"/>
      <c r="O172" s="582"/>
    </row>
    <row r="173" spans="3:15" ht="25.5" customHeight="1">
      <c r="C173" s="582"/>
      <c r="D173" s="582"/>
      <c r="E173" s="582"/>
      <c r="F173" s="582"/>
      <c r="G173" s="582"/>
      <c r="H173" s="582"/>
      <c r="I173" s="582"/>
      <c r="J173" s="582"/>
      <c r="K173" s="582"/>
      <c r="L173" s="582"/>
      <c r="M173" s="582"/>
      <c r="N173" s="582"/>
      <c r="O173" s="582"/>
    </row>
    <row r="174" spans="3:15" ht="25.5" customHeight="1">
      <c r="C174" s="582"/>
      <c r="D174" s="582"/>
      <c r="E174" s="582"/>
      <c r="F174" s="582"/>
      <c r="G174" s="582"/>
      <c r="H174" s="582"/>
      <c r="I174" s="582"/>
      <c r="J174" s="582"/>
      <c r="K174" s="582"/>
      <c r="L174" s="582"/>
      <c r="M174" s="582"/>
      <c r="N174" s="582"/>
      <c r="O174" s="582"/>
    </row>
    <row r="175" spans="3:15" ht="25.5" customHeight="1">
      <c r="C175" s="582"/>
      <c r="D175" s="582"/>
      <c r="E175" s="582"/>
      <c r="F175" s="582"/>
      <c r="G175" s="582"/>
      <c r="H175" s="582"/>
      <c r="I175" s="582"/>
      <c r="J175" s="582"/>
      <c r="K175" s="582"/>
      <c r="L175" s="582"/>
      <c r="M175" s="582"/>
      <c r="N175" s="582"/>
      <c r="O175" s="582"/>
    </row>
    <row r="176" spans="3:15" ht="25.5" customHeight="1">
      <c r="C176" s="582"/>
      <c r="D176" s="582"/>
      <c r="E176" s="582"/>
      <c r="F176" s="582"/>
      <c r="G176" s="582"/>
      <c r="H176" s="582"/>
      <c r="I176" s="582"/>
      <c r="J176" s="582"/>
      <c r="K176" s="582"/>
      <c r="L176" s="582"/>
      <c r="M176" s="582"/>
      <c r="N176" s="582"/>
      <c r="O176" s="582"/>
    </row>
    <row r="177" spans="3:15" ht="25.5" customHeight="1">
      <c r="C177" s="582"/>
      <c r="D177" s="582"/>
      <c r="E177" s="582"/>
      <c r="F177" s="582"/>
      <c r="G177" s="582"/>
      <c r="H177" s="582"/>
      <c r="I177" s="582"/>
      <c r="J177" s="582"/>
      <c r="K177" s="582"/>
      <c r="L177" s="582"/>
      <c r="M177" s="582"/>
      <c r="N177" s="582"/>
      <c r="O177" s="582"/>
    </row>
    <row r="178" spans="3:15" ht="25.5" customHeight="1">
      <c r="C178" s="582"/>
      <c r="D178" s="582"/>
      <c r="E178" s="582"/>
      <c r="F178" s="582"/>
      <c r="G178" s="582"/>
      <c r="H178" s="582"/>
      <c r="I178" s="582"/>
      <c r="J178" s="582"/>
      <c r="K178" s="582"/>
      <c r="L178" s="582"/>
      <c r="M178" s="582"/>
      <c r="N178" s="582"/>
      <c r="O178" s="582"/>
    </row>
    <row r="179" spans="3:15" ht="25.5" customHeight="1">
      <c r="C179" s="582"/>
      <c r="D179" s="582"/>
      <c r="E179" s="582"/>
      <c r="F179" s="582"/>
      <c r="G179" s="582"/>
      <c r="H179" s="582"/>
      <c r="I179" s="582"/>
      <c r="J179" s="582"/>
      <c r="K179" s="582"/>
      <c r="L179" s="582"/>
      <c r="M179" s="582"/>
      <c r="N179" s="582"/>
      <c r="O179" s="582"/>
    </row>
    <row r="180" spans="3:15" ht="25.5" customHeight="1">
      <c r="C180" s="582"/>
      <c r="D180" s="582"/>
      <c r="E180" s="582"/>
      <c r="F180" s="582"/>
      <c r="G180" s="582"/>
      <c r="H180" s="582"/>
      <c r="I180" s="582"/>
      <c r="J180" s="582"/>
      <c r="K180" s="582"/>
      <c r="L180" s="582"/>
      <c r="M180" s="582"/>
      <c r="N180" s="582"/>
      <c r="O180" s="582"/>
    </row>
    <row r="181" spans="3:15" ht="25.5" customHeight="1">
      <c r="C181" s="582"/>
      <c r="D181" s="582"/>
      <c r="E181" s="582"/>
      <c r="F181" s="582"/>
      <c r="G181" s="582"/>
      <c r="H181" s="582"/>
      <c r="I181" s="582"/>
      <c r="J181" s="582"/>
      <c r="K181" s="582"/>
      <c r="L181" s="582"/>
      <c r="M181" s="582"/>
      <c r="N181" s="582"/>
      <c r="O181" s="582"/>
    </row>
    <row r="182" spans="3:15" ht="25.5" customHeight="1">
      <c r="C182" s="582"/>
      <c r="D182" s="582"/>
      <c r="E182" s="582"/>
      <c r="F182" s="582"/>
      <c r="G182" s="582"/>
      <c r="H182" s="582"/>
      <c r="I182" s="582"/>
      <c r="J182" s="582"/>
      <c r="K182" s="582"/>
      <c r="L182" s="582"/>
      <c r="M182" s="582"/>
      <c r="N182" s="582"/>
      <c r="O182" s="582"/>
    </row>
    <row r="183" spans="3:15" ht="25.5" customHeight="1">
      <c r="C183" s="582"/>
      <c r="D183" s="582"/>
      <c r="E183" s="582"/>
      <c r="F183" s="582"/>
      <c r="G183" s="582"/>
      <c r="H183" s="582"/>
      <c r="I183" s="582"/>
      <c r="J183" s="582"/>
      <c r="K183" s="582"/>
      <c r="L183" s="582"/>
      <c r="M183" s="582"/>
      <c r="N183" s="582"/>
      <c r="O183" s="582"/>
    </row>
    <row r="184" spans="3:15" ht="25.5" customHeight="1">
      <c r="C184" s="582"/>
      <c r="D184" s="582"/>
      <c r="E184" s="582"/>
      <c r="F184" s="582"/>
      <c r="G184" s="582"/>
      <c r="H184" s="582"/>
      <c r="I184" s="582"/>
      <c r="J184" s="582"/>
      <c r="K184" s="582"/>
      <c r="L184" s="582"/>
      <c r="M184" s="582"/>
      <c r="N184" s="582"/>
      <c r="O184" s="582"/>
    </row>
    <row r="185" spans="3:15" ht="25.5" customHeight="1">
      <c r="C185" s="582"/>
      <c r="D185" s="582"/>
      <c r="E185" s="582"/>
      <c r="F185" s="582"/>
      <c r="G185" s="582"/>
      <c r="H185" s="582"/>
      <c r="I185" s="582"/>
      <c r="J185" s="582"/>
      <c r="K185" s="582"/>
      <c r="L185" s="582"/>
      <c r="M185" s="582"/>
      <c r="N185" s="582"/>
      <c r="O185" s="582"/>
    </row>
    <row r="186" spans="3:15" ht="25.5" customHeight="1">
      <c r="C186" s="582"/>
      <c r="D186" s="582"/>
      <c r="E186" s="582"/>
      <c r="F186" s="582"/>
      <c r="G186" s="582"/>
      <c r="H186" s="582"/>
      <c r="I186" s="582"/>
      <c r="J186" s="582"/>
      <c r="K186" s="582"/>
      <c r="L186" s="582"/>
      <c r="M186" s="582"/>
      <c r="N186" s="582"/>
      <c r="O186" s="582"/>
    </row>
    <row r="187" spans="3:15" ht="25.5" customHeight="1">
      <c r="C187" s="582"/>
      <c r="D187" s="582"/>
      <c r="E187" s="582"/>
      <c r="F187" s="582"/>
      <c r="G187" s="582"/>
      <c r="H187" s="582"/>
      <c r="I187" s="582"/>
      <c r="J187" s="582"/>
      <c r="K187" s="582"/>
      <c r="L187" s="582"/>
      <c r="M187" s="582"/>
      <c r="N187" s="582"/>
      <c r="O187" s="582"/>
    </row>
    <row r="188" spans="3:15" ht="25.5" customHeight="1">
      <c r="C188" s="582"/>
      <c r="D188" s="582"/>
      <c r="E188" s="582"/>
      <c r="F188" s="582"/>
      <c r="G188" s="582"/>
      <c r="H188" s="582"/>
      <c r="I188" s="582"/>
      <c r="J188" s="582"/>
      <c r="K188" s="582"/>
      <c r="L188" s="582"/>
      <c r="M188" s="582"/>
      <c r="N188" s="582"/>
      <c r="O188" s="582"/>
    </row>
    <row r="189" spans="3:15" ht="25.5" customHeight="1"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</row>
    <row r="190" spans="3:15" ht="25.5" customHeight="1">
      <c r="C190" s="582"/>
      <c r="D190" s="582"/>
      <c r="E190" s="582"/>
      <c r="F190" s="582"/>
      <c r="G190" s="582"/>
      <c r="H190" s="582"/>
      <c r="I190" s="582"/>
      <c r="J190" s="582"/>
      <c r="K190" s="582"/>
      <c r="L190" s="582"/>
      <c r="M190" s="582"/>
      <c r="N190" s="582"/>
      <c r="O190" s="582"/>
    </row>
    <row r="191" spans="3:15" ht="25.5" customHeight="1">
      <c r="C191" s="582"/>
      <c r="D191" s="582"/>
      <c r="E191" s="582"/>
      <c r="F191" s="582"/>
      <c r="G191" s="582"/>
      <c r="H191" s="582"/>
      <c r="I191" s="582"/>
      <c r="J191" s="582"/>
      <c r="K191" s="582"/>
      <c r="L191" s="582"/>
      <c r="M191" s="582"/>
      <c r="N191" s="582"/>
      <c r="O191" s="582"/>
    </row>
    <row r="192" spans="3:15" ht="25.5" customHeight="1">
      <c r="C192" s="582"/>
      <c r="D192" s="582"/>
      <c r="E192" s="582"/>
      <c r="F192" s="582"/>
      <c r="G192" s="582"/>
      <c r="H192" s="582"/>
      <c r="I192" s="582"/>
      <c r="J192" s="582"/>
      <c r="K192" s="582"/>
      <c r="L192" s="582"/>
      <c r="M192" s="582"/>
      <c r="N192" s="582"/>
      <c r="O192" s="582"/>
    </row>
    <row r="193" spans="3:15" ht="25.5" customHeight="1">
      <c r="C193" s="582"/>
      <c r="D193" s="582"/>
      <c r="E193" s="582"/>
      <c r="F193" s="582"/>
      <c r="G193" s="582"/>
      <c r="H193" s="582"/>
      <c r="I193" s="582"/>
      <c r="J193" s="582"/>
      <c r="K193" s="582"/>
      <c r="L193" s="582"/>
      <c r="M193" s="582"/>
      <c r="N193" s="582"/>
      <c r="O193" s="582"/>
    </row>
    <row r="194" spans="3:15" ht="25.5" customHeight="1">
      <c r="C194" s="582"/>
      <c r="D194" s="582"/>
      <c r="E194" s="582"/>
      <c r="F194" s="582"/>
      <c r="G194" s="582"/>
      <c r="H194" s="582"/>
      <c r="I194" s="582"/>
      <c r="J194" s="582"/>
      <c r="K194" s="582"/>
      <c r="L194" s="582"/>
      <c r="M194" s="582"/>
      <c r="N194" s="582"/>
      <c r="O194" s="582"/>
    </row>
    <row r="195" spans="3:15" ht="25.5" customHeight="1">
      <c r="C195" s="582"/>
      <c r="D195" s="582"/>
      <c r="E195" s="582"/>
      <c r="F195" s="582"/>
      <c r="G195" s="582"/>
      <c r="H195" s="582"/>
      <c r="I195" s="582"/>
      <c r="J195" s="582"/>
      <c r="K195" s="582"/>
      <c r="L195" s="582"/>
      <c r="M195" s="582"/>
      <c r="N195" s="582"/>
      <c r="O195" s="582"/>
    </row>
    <row r="196" spans="3:15" ht="25.5" customHeight="1">
      <c r="C196" s="582"/>
      <c r="D196" s="582"/>
      <c r="E196" s="582"/>
      <c r="F196" s="582"/>
      <c r="G196" s="582"/>
      <c r="H196" s="582"/>
      <c r="I196" s="582"/>
      <c r="J196" s="582"/>
      <c r="K196" s="582"/>
      <c r="L196" s="582"/>
      <c r="M196" s="582"/>
      <c r="N196" s="582"/>
      <c r="O196" s="582"/>
    </row>
    <row r="197" spans="3:15" ht="25.5" customHeight="1">
      <c r="C197" s="582"/>
      <c r="D197" s="582"/>
      <c r="E197" s="582"/>
      <c r="F197" s="582"/>
      <c r="G197" s="582"/>
      <c r="H197" s="582"/>
      <c r="I197" s="582"/>
      <c r="J197" s="582"/>
      <c r="K197" s="582"/>
      <c r="L197" s="582"/>
      <c r="M197" s="582"/>
      <c r="N197" s="582"/>
      <c r="O197" s="582"/>
    </row>
    <row r="198" spans="3:15" ht="25.5" customHeight="1">
      <c r="C198" s="582"/>
      <c r="D198" s="582"/>
      <c r="E198" s="582"/>
      <c r="F198" s="582"/>
      <c r="G198" s="582"/>
      <c r="H198" s="582"/>
      <c r="I198" s="582"/>
      <c r="J198" s="582"/>
      <c r="K198" s="582"/>
      <c r="L198" s="582"/>
      <c r="M198" s="582"/>
      <c r="N198" s="582"/>
      <c r="O198" s="582"/>
    </row>
    <row r="199" spans="3:15" ht="25.5" customHeight="1">
      <c r="C199" s="582"/>
      <c r="D199" s="582"/>
      <c r="E199" s="582"/>
      <c r="F199" s="582"/>
      <c r="G199" s="582"/>
      <c r="H199" s="582"/>
      <c r="I199" s="582"/>
      <c r="J199" s="582"/>
      <c r="K199" s="582"/>
      <c r="L199" s="582"/>
      <c r="M199" s="582"/>
      <c r="N199" s="582"/>
      <c r="O199" s="582"/>
    </row>
    <row r="200" spans="3:15" ht="25.5" customHeight="1">
      <c r="C200" s="582"/>
      <c r="D200" s="582"/>
      <c r="E200" s="582"/>
      <c r="F200" s="582"/>
      <c r="G200" s="582"/>
      <c r="H200" s="582"/>
      <c r="I200" s="582"/>
      <c r="J200" s="582"/>
      <c r="K200" s="582"/>
      <c r="L200" s="582"/>
      <c r="M200" s="582"/>
      <c r="N200" s="582"/>
      <c r="O200" s="582"/>
    </row>
    <row r="201" spans="3:15" ht="25.5" customHeight="1">
      <c r="C201" s="582"/>
      <c r="D201" s="582"/>
      <c r="E201" s="582"/>
      <c r="F201" s="582"/>
      <c r="G201" s="582"/>
      <c r="H201" s="582"/>
      <c r="I201" s="582"/>
      <c r="J201" s="582"/>
      <c r="K201" s="582"/>
      <c r="L201" s="582"/>
      <c r="M201" s="582"/>
      <c r="N201" s="582"/>
      <c r="O201" s="582"/>
    </row>
    <row r="202" spans="3:15" ht="25.5" customHeight="1">
      <c r="C202" s="582"/>
      <c r="D202" s="582"/>
      <c r="E202" s="582"/>
      <c r="F202" s="582"/>
      <c r="G202" s="582"/>
      <c r="H202" s="582"/>
      <c r="I202" s="582"/>
      <c r="J202" s="582"/>
      <c r="K202" s="582"/>
      <c r="L202" s="582"/>
      <c r="M202" s="582"/>
      <c r="N202" s="582"/>
      <c r="O202" s="582"/>
    </row>
    <row r="203" spans="3:15" ht="25.5" customHeight="1">
      <c r="C203" s="582"/>
      <c r="D203" s="582"/>
      <c r="E203" s="582"/>
      <c r="F203" s="582"/>
      <c r="G203" s="582"/>
      <c r="H203" s="582"/>
      <c r="I203" s="582"/>
      <c r="J203" s="582"/>
      <c r="K203" s="582"/>
      <c r="L203" s="582"/>
      <c r="M203" s="582"/>
      <c r="N203" s="582"/>
      <c r="O203" s="582"/>
    </row>
    <row r="204" spans="3:15" ht="25.5" customHeight="1">
      <c r="C204" s="582"/>
      <c r="D204" s="582"/>
      <c r="E204" s="582"/>
      <c r="F204" s="582"/>
      <c r="G204" s="582"/>
      <c r="H204" s="582"/>
      <c r="I204" s="582"/>
      <c r="J204" s="582"/>
      <c r="K204" s="582"/>
      <c r="L204" s="582"/>
      <c r="M204" s="582"/>
      <c r="N204" s="582"/>
      <c r="O204" s="582"/>
    </row>
    <row r="205" spans="3:15" ht="25.5" customHeight="1">
      <c r="C205" s="582"/>
      <c r="D205" s="582"/>
      <c r="E205" s="582"/>
      <c r="F205" s="582"/>
      <c r="G205" s="582"/>
      <c r="H205" s="582"/>
      <c r="I205" s="582"/>
      <c r="J205" s="582"/>
      <c r="K205" s="582"/>
      <c r="L205" s="582"/>
      <c r="M205" s="582"/>
      <c r="N205" s="582"/>
      <c r="O205" s="582"/>
    </row>
    <row r="206" spans="3:15" ht="25.5" customHeight="1">
      <c r="C206" s="582"/>
      <c r="D206" s="582"/>
      <c r="E206" s="582"/>
      <c r="F206" s="582"/>
      <c r="G206" s="582"/>
      <c r="H206" s="582"/>
      <c r="I206" s="582"/>
      <c r="J206" s="582"/>
      <c r="K206" s="582"/>
      <c r="L206" s="582"/>
      <c r="M206" s="582"/>
      <c r="N206" s="582"/>
      <c r="O206" s="582"/>
    </row>
    <row r="207" spans="3:15" ht="25.5" customHeight="1">
      <c r="C207" s="582"/>
      <c r="D207" s="582"/>
      <c r="E207" s="582"/>
      <c r="F207" s="582"/>
      <c r="G207" s="582"/>
      <c r="H207" s="582"/>
      <c r="I207" s="582"/>
      <c r="J207" s="582"/>
      <c r="K207" s="582"/>
      <c r="L207" s="582"/>
      <c r="M207" s="582"/>
      <c r="N207" s="582"/>
      <c r="O207" s="582"/>
    </row>
    <row r="208" spans="3:15" ht="25.5" customHeight="1">
      <c r="C208" s="582"/>
      <c r="D208" s="582"/>
      <c r="E208" s="582"/>
      <c r="F208" s="582"/>
      <c r="G208" s="582"/>
      <c r="H208" s="582"/>
      <c r="I208" s="582"/>
      <c r="J208" s="582"/>
      <c r="K208" s="582"/>
      <c r="L208" s="582"/>
      <c r="M208" s="582"/>
      <c r="N208" s="582"/>
      <c r="O208" s="582"/>
    </row>
    <row r="209" spans="3:15" ht="25.5" customHeight="1">
      <c r="C209" s="582"/>
      <c r="D209" s="582"/>
      <c r="E209" s="582"/>
      <c r="F209" s="582"/>
      <c r="G209" s="582"/>
      <c r="H209" s="582"/>
      <c r="I209" s="582"/>
      <c r="J209" s="582"/>
      <c r="K209" s="582"/>
      <c r="L209" s="582"/>
      <c r="M209" s="582"/>
      <c r="N209" s="582"/>
      <c r="O209" s="582"/>
    </row>
    <row r="210" spans="3:15" ht="25.5" customHeight="1">
      <c r="C210" s="582"/>
      <c r="D210" s="582"/>
      <c r="E210" s="582"/>
      <c r="F210" s="582"/>
      <c r="G210" s="582"/>
      <c r="H210" s="582"/>
      <c r="I210" s="582"/>
      <c r="J210" s="582"/>
      <c r="K210" s="582"/>
      <c r="L210" s="582"/>
      <c r="M210" s="582"/>
      <c r="N210" s="582"/>
      <c r="O210" s="582"/>
    </row>
    <row r="211" spans="3:15" ht="25.5" customHeight="1">
      <c r="C211" s="582"/>
      <c r="D211" s="582"/>
      <c r="E211" s="582"/>
      <c r="F211" s="582"/>
      <c r="G211" s="582"/>
      <c r="H211" s="582"/>
      <c r="I211" s="582"/>
      <c r="J211" s="582"/>
      <c r="K211" s="582"/>
      <c r="L211" s="582"/>
      <c r="M211" s="582"/>
      <c r="N211" s="582"/>
      <c r="O211" s="582"/>
    </row>
    <row r="212" spans="3:15" ht="25.5" customHeight="1">
      <c r="C212" s="582"/>
      <c r="D212" s="582"/>
      <c r="E212" s="582"/>
      <c r="F212" s="582"/>
      <c r="G212" s="582"/>
      <c r="H212" s="582"/>
      <c r="I212" s="582"/>
      <c r="J212" s="582"/>
      <c r="K212" s="582"/>
      <c r="L212" s="582"/>
      <c r="M212" s="582"/>
      <c r="N212" s="582"/>
      <c r="O212" s="582"/>
    </row>
    <row r="213" spans="3:15" ht="25.5" customHeight="1">
      <c r="C213" s="582"/>
      <c r="D213" s="582"/>
      <c r="E213" s="582"/>
      <c r="F213" s="582"/>
      <c r="G213" s="582"/>
      <c r="H213" s="582"/>
      <c r="I213" s="582"/>
      <c r="J213" s="582"/>
      <c r="K213" s="582"/>
      <c r="L213" s="582"/>
      <c r="M213" s="582"/>
      <c r="N213" s="582"/>
      <c r="O213" s="582"/>
    </row>
    <row r="214" spans="3:15" ht="25.5" customHeight="1">
      <c r="C214" s="582"/>
      <c r="D214" s="582"/>
      <c r="E214" s="582"/>
      <c r="F214" s="582"/>
      <c r="G214" s="582"/>
      <c r="H214" s="582"/>
      <c r="I214" s="582"/>
      <c r="J214" s="582"/>
      <c r="K214" s="582"/>
      <c r="L214" s="582"/>
      <c r="M214" s="582"/>
      <c r="N214" s="582"/>
      <c r="O214" s="582"/>
    </row>
    <row r="215" spans="3:15" ht="25.5" customHeight="1">
      <c r="C215" s="582"/>
      <c r="D215" s="582"/>
      <c r="E215" s="582"/>
      <c r="F215" s="582"/>
      <c r="G215" s="582"/>
      <c r="H215" s="582"/>
      <c r="I215" s="582"/>
      <c r="J215" s="582"/>
      <c r="K215" s="582"/>
      <c r="L215" s="582"/>
      <c r="M215" s="582"/>
      <c r="N215" s="582"/>
      <c r="O215" s="582"/>
    </row>
    <row r="216" spans="3:15" ht="25.5" customHeight="1">
      <c r="C216" s="582"/>
      <c r="D216" s="582"/>
      <c r="E216" s="582"/>
      <c r="F216" s="582"/>
      <c r="G216" s="582"/>
      <c r="H216" s="582"/>
      <c r="I216" s="582"/>
      <c r="J216" s="582"/>
      <c r="K216" s="582"/>
      <c r="L216" s="582"/>
      <c r="M216" s="582"/>
      <c r="N216" s="582"/>
      <c r="O216" s="582"/>
    </row>
    <row r="217" spans="3:15" ht="25.5" customHeight="1">
      <c r="C217" s="582"/>
      <c r="D217" s="582"/>
      <c r="E217" s="582"/>
      <c r="F217" s="582"/>
      <c r="G217" s="582"/>
      <c r="H217" s="582"/>
      <c r="I217" s="582"/>
      <c r="J217" s="582"/>
      <c r="K217" s="582"/>
      <c r="L217" s="582"/>
      <c r="M217" s="582"/>
      <c r="N217" s="582"/>
      <c r="O217" s="582"/>
    </row>
    <row r="218" spans="3:15" ht="25.5" customHeight="1">
      <c r="C218" s="582"/>
      <c r="D218" s="582"/>
      <c r="E218" s="582"/>
      <c r="F218" s="582"/>
      <c r="G218" s="582"/>
      <c r="H218" s="582"/>
      <c r="I218" s="582"/>
      <c r="J218" s="582"/>
      <c r="K218" s="582"/>
      <c r="L218" s="582"/>
      <c r="M218" s="582"/>
      <c r="N218" s="582"/>
      <c r="O218" s="582"/>
    </row>
    <row r="219" spans="3:15" ht="25.5" customHeight="1">
      <c r="C219" s="582"/>
      <c r="D219" s="582"/>
      <c r="E219" s="582"/>
      <c r="F219" s="582"/>
      <c r="G219" s="582"/>
      <c r="H219" s="582"/>
      <c r="I219" s="582"/>
      <c r="J219" s="582"/>
      <c r="K219" s="582"/>
      <c r="L219" s="582"/>
      <c r="M219" s="582"/>
      <c r="N219" s="582"/>
      <c r="O219" s="582"/>
    </row>
    <row r="220" spans="3:15" ht="25.5" customHeight="1">
      <c r="C220" s="582"/>
      <c r="D220" s="582"/>
      <c r="E220" s="582"/>
      <c r="F220" s="582"/>
      <c r="G220" s="582"/>
      <c r="H220" s="582"/>
      <c r="I220" s="582"/>
      <c r="J220" s="582"/>
      <c r="K220" s="582"/>
      <c r="L220" s="582"/>
      <c r="M220" s="582"/>
      <c r="N220" s="582"/>
      <c r="O220" s="582"/>
    </row>
    <row r="221" spans="3:15" ht="25.5" customHeight="1">
      <c r="C221" s="582"/>
      <c r="D221" s="582"/>
      <c r="E221" s="582"/>
      <c r="F221" s="582"/>
      <c r="G221" s="582"/>
      <c r="H221" s="582"/>
      <c r="I221" s="582"/>
      <c r="J221" s="582"/>
      <c r="K221" s="582"/>
      <c r="L221" s="582"/>
      <c r="M221" s="582"/>
      <c r="N221" s="582"/>
      <c r="O221" s="582"/>
    </row>
    <row r="222" spans="3:15" ht="25.5" customHeight="1">
      <c r="C222" s="582"/>
      <c r="D222" s="582"/>
      <c r="E222" s="582"/>
      <c r="F222" s="582"/>
      <c r="G222" s="582"/>
      <c r="H222" s="582"/>
      <c r="I222" s="582"/>
      <c r="J222" s="582"/>
      <c r="K222" s="582"/>
      <c r="L222" s="582"/>
      <c r="M222" s="582"/>
      <c r="N222" s="582"/>
      <c r="O222" s="582"/>
    </row>
    <row r="223" spans="3:15" ht="25.5" customHeight="1">
      <c r="C223" s="582"/>
      <c r="D223" s="582"/>
      <c r="E223" s="582"/>
      <c r="F223" s="582"/>
      <c r="G223" s="582"/>
      <c r="H223" s="582"/>
      <c r="I223" s="582"/>
      <c r="J223" s="582"/>
      <c r="K223" s="582"/>
      <c r="L223" s="582"/>
      <c r="M223" s="582"/>
      <c r="N223" s="582"/>
      <c r="O223" s="582"/>
    </row>
    <row r="224" spans="3:15" ht="25.5" customHeight="1">
      <c r="C224" s="582"/>
      <c r="D224" s="582"/>
      <c r="E224" s="582"/>
      <c r="F224" s="582"/>
      <c r="G224" s="582"/>
      <c r="H224" s="582"/>
      <c r="I224" s="582"/>
      <c r="J224" s="582"/>
      <c r="K224" s="582"/>
      <c r="L224" s="582"/>
      <c r="M224" s="582"/>
      <c r="N224" s="582"/>
      <c r="O224" s="582"/>
    </row>
    <row r="225" spans="3:15" ht="25.5" customHeight="1">
      <c r="C225" s="582"/>
      <c r="D225" s="582"/>
      <c r="E225" s="582"/>
      <c r="F225" s="582"/>
      <c r="G225" s="582"/>
      <c r="H225" s="582"/>
      <c r="I225" s="582"/>
      <c r="J225" s="582"/>
      <c r="K225" s="582"/>
      <c r="L225" s="582"/>
      <c r="M225" s="582"/>
      <c r="N225" s="582"/>
      <c r="O225" s="582"/>
    </row>
    <row r="226" spans="3:15" ht="25.5" customHeight="1">
      <c r="C226" s="582"/>
      <c r="D226" s="582"/>
      <c r="E226" s="582"/>
      <c r="F226" s="582"/>
      <c r="G226" s="582"/>
      <c r="H226" s="582"/>
      <c r="I226" s="582"/>
      <c r="J226" s="582"/>
      <c r="K226" s="582"/>
      <c r="L226" s="582"/>
      <c r="M226" s="582"/>
      <c r="N226" s="582"/>
      <c r="O226" s="582"/>
    </row>
    <row r="227" spans="3:15" ht="25.5" customHeight="1">
      <c r="C227" s="582"/>
      <c r="D227" s="582"/>
      <c r="E227" s="582"/>
      <c r="F227" s="582"/>
      <c r="G227" s="582"/>
      <c r="H227" s="582"/>
      <c r="I227" s="582"/>
      <c r="J227" s="582"/>
      <c r="K227" s="582"/>
      <c r="L227" s="582"/>
      <c r="M227" s="582"/>
      <c r="N227" s="582"/>
      <c r="O227" s="582"/>
    </row>
    <row r="228" spans="3:15" ht="25.5" customHeight="1">
      <c r="C228" s="582"/>
      <c r="D228" s="582"/>
      <c r="E228" s="582"/>
      <c r="F228" s="582"/>
      <c r="G228" s="582"/>
      <c r="H228" s="582"/>
      <c r="I228" s="582"/>
      <c r="J228" s="582"/>
      <c r="K228" s="582"/>
      <c r="L228" s="582"/>
      <c r="M228" s="582"/>
      <c r="N228" s="582"/>
      <c r="O228" s="582"/>
    </row>
    <row r="229" spans="3:15" ht="25.5" customHeight="1">
      <c r="C229" s="582"/>
      <c r="D229" s="582"/>
      <c r="E229" s="582"/>
      <c r="F229" s="582"/>
      <c r="G229" s="582"/>
      <c r="H229" s="582"/>
      <c r="I229" s="582"/>
      <c r="J229" s="582"/>
      <c r="K229" s="582"/>
      <c r="L229" s="582"/>
      <c r="M229" s="582"/>
      <c r="N229" s="582"/>
      <c r="O229" s="582"/>
    </row>
    <row r="230" spans="3:15" ht="25.5" customHeight="1">
      <c r="C230" s="582"/>
      <c r="D230" s="582"/>
      <c r="E230" s="582"/>
      <c r="F230" s="582"/>
      <c r="G230" s="582"/>
      <c r="H230" s="582"/>
      <c r="I230" s="582"/>
      <c r="J230" s="582"/>
      <c r="K230" s="582"/>
      <c r="L230" s="582"/>
      <c r="M230" s="582"/>
      <c r="N230" s="582"/>
      <c r="O230" s="582"/>
    </row>
    <row r="231" spans="3:15" ht="25.5" customHeight="1">
      <c r="C231" s="582"/>
      <c r="D231" s="582"/>
      <c r="E231" s="582"/>
      <c r="F231" s="582"/>
      <c r="G231" s="582"/>
      <c r="H231" s="582"/>
      <c r="I231" s="582"/>
      <c r="J231" s="582"/>
      <c r="K231" s="582"/>
      <c r="L231" s="582"/>
      <c r="M231" s="582"/>
      <c r="N231" s="582"/>
      <c r="O231" s="582"/>
    </row>
    <row r="232" spans="3:15" ht="25.5" customHeight="1">
      <c r="C232" s="582"/>
      <c r="D232" s="582"/>
      <c r="E232" s="582"/>
      <c r="F232" s="582"/>
      <c r="G232" s="582"/>
      <c r="H232" s="582"/>
      <c r="I232" s="582"/>
      <c r="J232" s="582"/>
      <c r="K232" s="582"/>
      <c r="L232" s="582"/>
      <c r="M232" s="582"/>
      <c r="N232" s="582"/>
      <c r="O232" s="582"/>
    </row>
    <row r="233" spans="3:15" ht="25.5" customHeight="1">
      <c r="C233" s="582"/>
      <c r="D233" s="582"/>
      <c r="E233" s="582"/>
      <c r="F233" s="582"/>
      <c r="G233" s="582"/>
      <c r="H233" s="582"/>
      <c r="I233" s="582"/>
      <c r="J233" s="582"/>
      <c r="K233" s="582"/>
      <c r="L233" s="582"/>
      <c r="M233" s="582"/>
      <c r="N233" s="582"/>
      <c r="O233" s="582"/>
    </row>
    <row r="234" spans="3:15" ht="25.5" customHeight="1">
      <c r="C234" s="582"/>
      <c r="D234" s="582"/>
      <c r="E234" s="582"/>
      <c r="F234" s="582"/>
      <c r="G234" s="582"/>
      <c r="H234" s="582"/>
      <c r="I234" s="582"/>
      <c r="J234" s="582"/>
      <c r="K234" s="582"/>
      <c r="L234" s="582"/>
      <c r="M234" s="582"/>
      <c r="N234" s="582"/>
      <c r="O234" s="582"/>
    </row>
    <row r="235" spans="3:15" ht="25.5" customHeight="1">
      <c r="C235" s="582"/>
      <c r="D235" s="582"/>
      <c r="E235" s="582"/>
      <c r="F235" s="582"/>
      <c r="G235" s="582"/>
      <c r="H235" s="582"/>
      <c r="I235" s="582"/>
      <c r="J235" s="582"/>
      <c r="K235" s="582"/>
      <c r="L235" s="582"/>
      <c r="M235" s="582"/>
      <c r="N235" s="582"/>
      <c r="O235" s="582"/>
    </row>
    <row r="236" spans="3:15" ht="25.5" customHeight="1">
      <c r="C236" s="582"/>
      <c r="D236" s="582"/>
      <c r="E236" s="582"/>
      <c r="F236" s="582"/>
      <c r="G236" s="582"/>
      <c r="H236" s="582"/>
      <c r="I236" s="582"/>
      <c r="J236" s="582"/>
      <c r="K236" s="582"/>
      <c r="L236" s="582"/>
      <c r="M236" s="582"/>
      <c r="N236" s="582"/>
      <c r="O236" s="582"/>
    </row>
    <row r="237" spans="3:15" ht="25.5" customHeight="1">
      <c r="C237" s="582"/>
      <c r="D237" s="582"/>
      <c r="E237" s="582"/>
      <c r="F237" s="582"/>
      <c r="G237" s="582"/>
      <c r="H237" s="582"/>
      <c r="I237" s="582"/>
      <c r="J237" s="582"/>
      <c r="K237" s="582"/>
      <c r="L237" s="582"/>
      <c r="M237" s="582"/>
      <c r="N237" s="582"/>
      <c r="O237" s="582"/>
    </row>
    <row r="238" spans="3:15" ht="25.5" customHeight="1">
      <c r="C238" s="582"/>
      <c r="D238" s="582"/>
      <c r="E238" s="582"/>
      <c r="F238" s="582"/>
      <c r="G238" s="582"/>
      <c r="H238" s="582"/>
      <c r="I238" s="582"/>
      <c r="J238" s="582"/>
      <c r="K238" s="582"/>
      <c r="L238" s="582"/>
      <c r="M238" s="582"/>
      <c r="N238" s="582"/>
      <c r="O238" s="582"/>
    </row>
    <row r="239" spans="3:15" ht="25.5" customHeight="1">
      <c r="C239" s="582"/>
      <c r="D239" s="582"/>
      <c r="E239" s="582"/>
      <c r="F239" s="582"/>
      <c r="G239" s="582"/>
      <c r="H239" s="582"/>
      <c r="I239" s="582"/>
      <c r="J239" s="582"/>
      <c r="K239" s="582"/>
      <c r="L239" s="582"/>
      <c r="M239" s="582"/>
      <c r="N239" s="582"/>
      <c r="O239" s="582"/>
    </row>
    <row r="240" spans="3:15" ht="25.5" customHeight="1">
      <c r="C240" s="582"/>
      <c r="D240" s="582"/>
      <c r="E240" s="582"/>
      <c r="F240" s="582"/>
      <c r="G240" s="582"/>
      <c r="H240" s="582"/>
      <c r="I240" s="582"/>
      <c r="J240" s="582"/>
      <c r="K240" s="582"/>
      <c r="L240" s="582"/>
      <c r="M240" s="582"/>
      <c r="N240" s="582"/>
      <c r="O240" s="582"/>
    </row>
    <row r="241" spans="3:15" ht="25.5" customHeight="1">
      <c r="C241" s="582"/>
      <c r="D241" s="582"/>
      <c r="E241" s="582"/>
      <c r="F241" s="582"/>
      <c r="G241" s="582"/>
      <c r="H241" s="582"/>
      <c r="I241" s="582"/>
      <c r="J241" s="582"/>
      <c r="K241" s="582"/>
      <c r="L241" s="582"/>
      <c r="M241" s="582"/>
      <c r="N241" s="582"/>
      <c r="O241" s="582"/>
    </row>
    <row r="242" spans="3:15" ht="25.5" customHeight="1">
      <c r="C242" s="582"/>
      <c r="D242" s="582"/>
      <c r="E242" s="582"/>
      <c r="F242" s="582"/>
      <c r="G242" s="582"/>
      <c r="H242" s="582"/>
      <c r="I242" s="582"/>
      <c r="J242" s="582"/>
      <c r="K242" s="582"/>
      <c r="L242" s="582"/>
      <c r="M242" s="582"/>
      <c r="N242" s="582"/>
      <c r="O242" s="582"/>
    </row>
    <row r="243" spans="3:15" ht="25.5" customHeight="1">
      <c r="C243" s="582"/>
      <c r="D243" s="582"/>
      <c r="E243" s="582"/>
      <c r="F243" s="582"/>
      <c r="G243" s="582"/>
      <c r="H243" s="582"/>
      <c r="I243" s="582"/>
      <c r="J243" s="582"/>
      <c r="K243" s="582"/>
      <c r="L243" s="582"/>
      <c r="M243" s="582"/>
      <c r="N243" s="582"/>
      <c r="O243" s="582"/>
    </row>
    <row r="244" spans="3:15" ht="25.5" customHeight="1">
      <c r="C244" s="582"/>
      <c r="D244" s="582"/>
      <c r="E244" s="582"/>
      <c r="F244" s="582"/>
      <c r="G244" s="582"/>
      <c r="H244" s="582"/>
      <c r="I244" s="582"/>
      <c r="J244" s="582"/>
      <c r="K244" s="582"/>
      <c r="L244" s="582"/>
      <c r="M244" s="582"/>
      <c r="N244" s="582"/>
      <c r="O244" s="582"/>
    </row>
    <row r="245" spans="3:15" ht="25.5" customHeight="1">
      <c r="C245" s="582"/>
      <c r="D245" s="582"/>
      <c r="E245" s="582"/>
      <c r="F245" s="582"/>
      <c r="G245" s="582"/>
      <c r="H245" s="582"/>
      <c r="I245" s="582"/>
      <c r="J245" s="582"/>
      <c r="K245" s="582"/>
      <c r="L245" s="582"/>
      <c r="M245" s="582"/>
      <c r="N245" s="582"/>
      <c r="O245" s="582"/>
    </row>
    <row r="246" spans="3:15" ht="25.5" customHeight="1">
      <c r="C246" s="582"/>
      <c r="D246" s="582"/>
      <c r="E246" s="582"/>
      <c r="F246" s="582"/>
      <c r="G246" s="582"/>
      <c r="H246" s="582"/>
      <c r="I246" s="582"/>
      <c r="J246" s="582"/>
      <c r="K246" s="582"/>
      <c r="L246" s="582"/>
      <c r="M246" s="582"/>
      <c r="N246" s="582"/>
      <c r="O246" s="582"/>
    </row>
    <row r="247" spans="3:15" ht="25.5" customHeight="1">
      <c r="C247" s="582"/>
      <c r="D247" s="582"/>
      <c r="E247" s="582"/>
      <c r="F247" s="582"/>
      <c r="G247" s="582"/>
      <c r="H247" s="582"/>
      <c r="I247" s="582"/>
      <c r="J247" s="582"/>
      <c r="K247" s="582"/>
      <c r="L247" s="582"/>
      <c r="M247" s="582"/>
      <c r="N247" s="582"/>
      <c r="O247" s="582"/>
    </row>
    <row r="248" spans="3:15" ht="25.5" customHeight="1">
      <c r="C248" s="582"/>
      <c r="D248" s="582"/>
      <c r="E248" s="582"/>
      <c r="F248" s="582"/>
      <c r="G248" s="582"/>
      <c r="H248" s="582"/>
      <c r="I248" s="582"/>
      <c r="J248" s="582"/>
      <c r="K248" s="582"/>
      <c r="L248" s="582"/>
      <c r="M248" s="582"/>
      <c r="N248" s="582"/>
      <c r="O248" s="582"/>
    </row>
    <row r="249" spans="3:15" ht="25.5" customHeight="1">
      <c r="C249" s="582"/>
      <c r="D249" s="582"/>
      <c r="E249" s="582"/>
      <c r="F249" s="582"/>
      <c r="G249" s="582"/>
      <c r="H249" s="582"/>
      <c r="I249" s="582"/>
      <c r="J249" s="582"/>
      <c r="K249" s="582"/>
      <c r="L249" s="582"/>
      <c r="M249" s="582"/>
      <c r="N249" s="582"/>
      <c r="O249" s="582"/>
    </row>
    <row r="250" spans="3:15" ht="25.5" customHeight="1">
      <c r="C250" s="582"/>
      <c r="D250" s="582"/>
      <c r="E250" s="582"/>
      <c r="F250" s="582"/>
      <c r="G250" s="582"/>
      <c r="H250" s="582"/>
      <c r="I250" s="582"/>
      <c r="J250" s="582"/>
      <c r="K250" s="582"/>
      <c r="L250" s="582"/>
      <c r="M250" s="582"/>
      <c r="N250" s="582"/>
      <c r="O250" s="582"/>
    </row>
    <row r="251" spans="3:15" ht="25.5" customHeight="1">
      <c r="C251" s="582"/>
      <c r="D251" s="582"/>
      <c r="E251" s="582"/>
      <c r="F251" s="582"/>
      <c r="G251" s="582"/>
      <c r="H251" s="582"/>
      <c r="I251" s="582"/>
      <c r="J251" s="582"/>
      <c r="K251" s="582"/>
      <c r="L251" s="582"/>
      <c r="M251" s="582"/>
      <c r="N251" s="582"/>
      <c r="O251" s="582"/>
    </row>
    <row r="252" spans="3:15" ht="25.5" customHeight="1">
      <c r="C252" s="582"/>
      <c r="D252" s="582"/>
      <c r="E252" s="582"/>
      <c r="F252" s="582"/>
      <c r="G252" s="582"/>
      <c r="H252" s="582"/>
      <c r="I252" s="582"/>
      <c r="J252" s="582"/>
      <c r="K252" s="582"/>
      <c r="L252" s="582"/>
      <c r="M252" s="582"/>
      <c r="N252" s="582"/>
      <c r="O252" s="582"/>
    </row>
    <row r="253" spans="3:15" ht="25.5" customHeight="1">
      <c r="C253" s="582"/>
      <c r="D253" s="582"/>
      <c r="E253" s="582"/>
      <c r="F253" s="582"/>
      <c r="G253" s="582"/>
      <c r="H253" s="582"/>
      <c r="I253" s="582"/>
      <c r="J253" s="582"/>
      <c r="K253" s="582"/>
      <c r="L253" s="582"/>
      <c r="M253" s="582"/>
      <c r="N253" s="582"/>
      <c r="O253" s="582"/>
    </row>
    <row r="254" spans="3:15" ht="25.5" customHeight="1">
      <c r="C254" s="582"/>
      <c r="D254" s="582"/>
      <c r="E254" s="582"/>
      <c r="F254" s="582"/>
      <c r="G254" s="582"/>
      <c r="H254" s="582"/>
      <c r="I254" s="582"/>
      <c r="J254" s="582"/>
      <c r="K254" s="582"/>
      <c r="L254" s="582"/>
      <c r="M254" s="582"/>
      <c r="N254" s="582"/>
      <c r="O254" s="582"/>
    </row>
    <row r="255" spans="3:15" ht="25.5" customHeight="1">
      <c r="C255" s="582"/>
      <c r="D255" s="582"/>
      <c r="E255" s="582"/>
      <c r="F255" s="582"/>
      <c r="G255" s="582"/>
      <c r="H255" s="582"/>
      <c r="I255" s="582"/>
      <c r="J255" s="582"/>
      <c r="K255" s="582"/>
      <c r="L255" s="582"/>
      <c r="M255" s="582"/>
      <c r="N255" s="582"/>
      <c r="O255" s="582"/>
    </row>
    <row r="256" spans="3:15" ht="25.5" customHeight="1">
      <c r="C256" s="582"/>
      <c r="D256" s="582"/>
      <c r="E256" s="582"/>
      <c r="F256" s="582"/>
      <c r="G256" s="582"/>
      <c r="H256" s="582"/>
      <c r="I256" s="582"/>
      <c r="J256" s="582"/>
      <c r="K256" s="582"/>
      <c r="L256" s="582"/>
      <c r="M256" s="582"/>
      <c r="N256" s="582"/>
      <c r="O256" s="582"/>
    </row>
    <row r="257" spans="3:15" ht="25.5" customHeight="1">
      <c r="C257" s="582"/>
      <c r="D257" s="582"/>
      <c r="E257" s="582"/>
      <c r="F257" s="582"/>
      <c r="G257" s="582"/>
      <c r="H257" s="582"/>
      <c r="I257" s="582"/>
      <c r="J257" s="582"/>
      <c r="K257" s="582"/>
      <c r="L257" s="582"/>
      <c r="M257" s="582"/>
      <c r="N257" s="582"/>
      <c r="O257" s="582"/>
    </row>
    <row r="258" spans="3:15" ht="25.5" customHeight="1">
      <c r="C258" s="582"/>
      <c r="D258" s="582"/>
      <c r="E258" s="582"/>
      <c r="F258" s="582"/>
      <c r="G258" s="582"/>
      <c r="H258" s="582"/>
      <c r="I258" s="582"/>
      <c r="J258" s="582"/>
      <c r="K258" s="582"/>
      <c r="L258" s="582"/>
      <c r="M258" s="582"/>
      <c r="N258" s="582"/>
      <c r="O258" s="582"/>
    </row>
    <row r="259" spans="3:15" ht="25.5" customHeight="1">
      <c r="C259" s="582"/>
      <c r="D259" s="582"/>
      <c r="E259" s="582"/>
      <c r="F259" s="582"/>
      <c r="G259" s="582"/>
      <c r="H259" s="582"/>
      <c r="I259" s="582"/>
      <c r="J259" s="582"/>
      <c r="K259" s="582"/>
      <c r="L259" s="582"/>
      <c r="M259" s="582"/>
      <c r="N259" s="582"/>
      <c r="O259" s="582"/>
    </row>
    <row r="260" spans="3:15" ht="25.5" customHeight="1">
      <c r="C260" s="582"/>
      <c r="D260" s="582"/>
      <c r="E260" s="582"/>
      <c r="F260" s="582"/>
      <c r="G260" s="582"/>
      <c r="H260" s="582"/>
      <c r="I260" s="582"/>
      <c r="J260" s="582"/>
      <c r="K260" s="582"/>
      <c r="L260" s="582"/>
      <c r="M260" s="582"/>
      <c r="N260" s="582"/>
      <c r="O260" s="582"/>
    </row>
    <row r="261" spans="3:15" ht="25.5" customHeight="1">
      <c r="C261" s="582"/>
      <c r="D261" s="582"/>
      <c r="E261" s="582"/>
      <c r="F261" s="582"/>
      <c r="G261" s="582"/>
      <c r="H261" s="582"/>
      <c r="I261" s="582"/>
      <c r="J261" s="582"/>
      <c r="K261" s="582"/>
      <c r="L261" s="582"/>
      <c r="M261" s="582"/>
      <c r="N261" s="582"/>
      <c r="O261" s="582"/>
    </row>
    <row r="262" spans="3:15" ht="25.5" customHeight="1">
      <c r="C262" s="582"/>
      <c r="D262" s="582"/>
      <c r="E262" s="582"/>
      <c r="F262" s="582"/>
      <c r="G262" s="582"/>
      <c r="H262" s="582"/>
      <c r="I262" s="582"/>
      <c r="J262" s="582"/>
      <c r="K262" s="582"/>
      <c r="L262" s="582"/>
      <c r="M262" s="582"/>
      <c r="N262" s="582"/>
      <c r="O262" s="582"/>
    </row>
    <row r="263" spans="3:15" ht="25.5" customHeight="1">
      <c r="C263" s="582"/>
      <c r="D263" s="582"/>
      <c r="E263" s="582"/>
      <c r="F263" s="582"/>
      <c r="G263" s="582"/>
      <c r="H263" s="582"/>
      <c r="I263" s="582"/>
      <c r="J263" s="582"/>
      <c r="K263" s="582"/>
      <c r="L263" s="582"/>
      <c r="M263" s="582"/>
      <c r="N263" s="582"/>
      <c r="O263" s="582"/>
    </row>
    <row r="264" spans="3:15" ht="25.5" customHeight="1">
      <c r="C264" s="582"/>
      <c r="D264" s="582"/>
      <c r="E264" s="582"/>
      <c r="F264" s="582"/>
      <c r="G264" s="582"/>
      <c r="H264" s="582"/>
      <c r="I264" s="582"/>
      <c r="J264" s="582"/>
      <c r="K264" s="582"/>
      <c r="L264" s="582"/>
      <c r="M264" s="582"/>
      <c r="N264" s="582"/>
      <c r="O264" s="582"/>
    </row>
  </sheetData>
  <sheetProtection/>
  <mergeCells count="8">
    <mergeCell ref="C1:R1"/>
    <mergeCell ref="C2:R2"/>
    <mergeCell ref="M4:O4"/>
    <mergeCell ref="J4:L4"/>
    <mergeCell ref="P4:R4"/>
    <mergeCell ref="C4:C5"/>
    <mergeCell ref="D4:F4"/>
    <mergeCell ref="G4:I4"/>
  </mergeCells>
  <printOptions horizontalCentered="1"/>
  <pageMargins left="0.1968503937007874" right="0" top="0.815625" bottom="0.31496062992125984" header="0.2755905511811024" footer="0.1968503937007874"/>
  <pageSetup fitToHeight="1" fitToWidth="1" horizontalDpi="600" verticalDpi="600" orientation="landscape" paperSize="9" scale="54" r:id="rId1"/>
  <headerFooter alignWithMargins="0">
    <oddHeader>&amp;L&amp;11 4. melléklet a 18/2014.(IX.1.) önkormányzati rendelethez
"4. melléklet az 1/2014.(I.31.) önkormányzati rendelethez"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C957"/>
  <sheetViews>
    <sheetView view="pageLayout" zoomScaleSheetLayoutView="86" workbookViewId="0" topLeftCell="B64">
      <selection activeCell="B3" sqref="B3:P3"/>
    </sheetView>
  </sheetViews>
  <sheetFormatPr defaultColWidth="9.00390625" defaultRowHeight="12.75"/>
  <cols>
    <col min="1" max="1" width="14.625" style="70" customWidth="1"/>
    <col min="2" max="2" width="8.00390625" style="74" customWidth="1"/>
    <col min="3" max="3" width="84.00390625" style="70" customWidth="1"/>
    <col min="4" max="4" width="12.75390625" style="72" customWidth="1"/>
    <col min="5" max="5" width="9.25390625" style="72" customWidth="1"/>
    <col min="6" max="6" width="10.00390625" style="70" customWidth="1"/>
    <col min="7" max="7" width="9.75390625" style="70" customWidth="1"/>
    <col min="8" max="8" width="11.125" style="70" customWidth="1"/>
    <col min="9" max="9" width="9.125" style="70" customWidth="1"/>
    <col min="10" max="10" width="9.375" style="70" customWidth="1"/>
    <col min="11" max="12" width="10.125" style="70" customWidth="1"/>
    <col min="13" max="13" width="9.375" style="70" customWidth="1"/>
    <col min="14" max="14" width="10.125" style="70" customWidth="1"/>
    <col min="15" max="15" width="10.625" style="73" customWidth="1"/>
    <col min="16" max="16" width="12.875" style="70" customWidth="1"/>
    <col min="17" max="17" width="10.375" style="70" customWidth="1"/>
    <col min="18" max="18" width="12.75390625" style="70" customWidth="1"/>
    <col min="19" max="16384" width="9.125" style="70" customWidth="1"/>
  </cols>
  <sheetData>
    <row r="1" ht="10.5" customHeight="1"/>
    <row r="2" spans="2:18" ht="15.75" customHeight="1">
      <c r="B2" s="999" t="s">
        <v>211</v>
      </c>
      <c r="C2" s="999"/>
      <c r="D2" s="999"/>
      <c r="E2" s="999"/>
      <c r="F2" s="999"/>
      <c r="G2" s="999"/>
      <c r="H2" s="999"/>
      <c r="I2" s="999"/>
      <c r="J2" s="999"/>
      <c r="K2" s="999"/>
      <c r="L2" s="999"/>
      <c r="M2" s="999"/>
      <c r="N2" s="999"/>
      <c r="O2" s="999"/>
      <c r="P2" s="999"/>
      <c r="Q2" s="1000"/>
      <c r="R2" s="1000"/>
    </row>
    <row r="3" spans="2:17" ht="12.75" customHeight="1">
      <c r="B3" s="1011"/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  <c r="P3" s="1011"/>
      <c r="Q3" s="882"/>
    </row>
    <row r="4" spans="14:18" ht="11.25" customHeight="1" thickBot="1">
      <c r="N4" s="72"/>
      <c r="O4" s="76"/>
      <c r="P4" s="76"/>
      <c r="Q4" s="76"/>
      <c r="R4" s="76" t="s">
        <v>579</v>
      </c>
    </row>
    <row r="5" spans="1:18" ht="13.5" customHeight="1">
      <c r="A5" s="1002" t="s">
        <v>122</v>
      </c>
      <c r="B5" s="1003"/>
      <c r="C5" s="1003"/>
      <c r="D5" s="1004"/>
      <c r="E5" s="1012" t="s">
        <v>580</v>
      </c>
      <c r="F5" s="996" t="s">
        <v>581</v>
      </c>
      <c r="G5" s="991" t="s">
        <v>582</v>
      </c>
      <c r="H5" s="991"/>
      <c r="I5" s="991"/>
      <c r="J5" s="991"/>
      <c r="K5" s="991"/>
      <c r="L5" s="992"/>
      <c r="M5" s="991" t="s">
        <v>583</v>
      </c>
      <c r="N5" s="991"/>
      <c r="O5" s="992"/>
      <c r="P5" s="992"/>
      <c r="Q5" s="991" t="s">
        <v>524</v>
      </c>
      <c r="R5" s="1001"/>
    </row>
    <row r="6" spans="1:18" ht="12" customHeight="1">
      <c r="A6" s="1005"/>
      <c r="B6" s="1006"/>
      <c r="C6" s="1006"/>
      <c r="D6" s="1007"/>
      <c r="E6" s="1013"/>
      <c r="F6" s="997"/>
      <c r="G6" s="993" t="s">
        <v>584</v>
      </c>
      <c r="H6" s="993" t="s">
        <v>767</v>
      </c>
      <c r="I6" s="993" t="s">
        <v>586</v>
      </c>
      <c r="J6" s="993" t="s">
        <v>41</v>
      </c>
      <c r="K6" s="993" t="s">
        <v>40</v>
      </c>
      <c r="L6" s="993" t="s">
        <v>153</v>
      </c>
      <c r="M6" s="997" t="s">
        <v>527</v>
      </c>
      <c r="N6" s="997" t="s">
        <v>526</v>
      </c>
      <c r="O6" s="993" t="s">
        <v>67</v>
      </c>
      <c r="P6" s="989" t="s">
        <v>479</v>
      </c>
      <c r="Q6" s="989" t="s">
        <v>587</v>
      </c>
      <c r="R6" s="1015" t="s">
        <v>480</v>
      </c>
    </row>
    <row r="7" spans="1:18" ht="39" customHeight="1" thickBot="1">
      <c r="A7" s="1008"/>
      <c r="B7" s="1009"/>
      <c r="C7" s="1009"/>
      <c r="D7" s="1010"/>
      <c r="E7" s="1014"/>
      <c r="F7" s="998"/>
      <c r="G7" s="994"/>
      <c r="H7" s="994"/>
      <c r="I7" s="994"/>
      <c r="J7" s="994"/>
      <c r="K7" s="994"/>
      <c r="L7" s="990"/>
      <c r="M7" s="998"/>
      <c r="N7" s="998"/>
      <c r="O7" s="990"/>
      <c r="P7" s="990"/>
      <c r="Q7" s="990"/>
      <c r="R7" s="1016"/>
    </row>
    <row r="8" spans="1:24" ht="13.5" customHeight="1">
      <c r="A8" s="883" t="s">
        <v>588</v>
      </c>
      <c r="B8" s="195" t="s">
        <v>589</v>
      </c>
      <c r="C8" s="196" t="s">
        <v>590</v>
      </c>
      <c r="D8" s="884" t="s">
        <v>123</v>
      </c>
      <c r="E8" s="77">
        <v>350000</v>
      </c>
      <c r="F8" s="77">
        <f aca="true" t="shared" si="0" ref="F8:F137">SUM(G8:R8)</f>
        <v>0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885"/>
      <c r="S8" s="81"/>
      <c r="T8" s="81"/>
      <c r="U8" s="81"/>
      <c r="V8" s="81"/>
      <c r="W8" s="81"/>
      <c r="X8" s="81"/>
    </row>
    <row r="9" spans="1:24" ht="13.5" customHeight="1">
      <c r="A9" s="883"/>
      <c r="B9" s="195"/>
      <c r="C9" s="196"/>
      <c r="D9" s="884" t="s">
        <v>765</v>
      </c>
      <c r="E9" s="77">
        <v>437067</v>
      </c>
      <c r="F9" s="77">
        <f t="shared" si="0"/>
        <v>0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885"/>
      <c r="S9" s="81"/>
      <c r="T9" s="81"/>
      <c r="U9" s="81"/>
      <c r="V9" s="81"/>
      <c r="W9" s="81"/>
      <c r="X9" s="81"/>
    </row>
    <row r="10" spans="1:24" ht="13.5" customHeight="1">
      <c r="A10" s="883"/>
      <c r="B10" s="195"/>
      <c r="C10" s="196"/>
      <c r="D10" s="884" t="s">
        <v>944</v>
      </c>
      <c r="E10" s="77">
        <v>437067</v>
      </c>
      <c r="F10" s="77">
        <f t="shared" si="0"/>
        <v>0</v>
      </c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885"/>
      <c r="S10" s="81"/>
      <c r="T10" s="81"/>
      <c r="U10" s="81"/>
      <c r="V10" s="81"/>
      <c r="W10" s="81"/>
      <c r="X10" s="81"/>
    </row>
    <row r="11" spans="1:24" ht="13.5" customHeight="1">
      <c r="A11" s="186" t="s">
        <v>588</v>
      </c>
      <c r="B11" s="181" t="s">
        <v>591</v>
      </c>
      <c r="C11" s="182" t="s">
        <v>592</v>
      </c>
      <c r="D11" s="189" t="s">
        <v>123</v>
      </c>
      <c r="E11" s="82">
        <v>174351</v>
      </c>
      <c r="F11" s="77">
        <f t="shared" si="0"/>
        <v>589169</v>
      </c>
      <c r="G11" s="79">
        <v>48262</v>
      </c>
      <c r="H11" s="79">
        <v>14865</v>
      </c>
      <c r="I11" s="79">
        <v>30969</v>
      </c>
      <c r="J11" s="79">
        <v>319958</v>
      </c>
      <c r="K11" s="79"/>
      <c r="L11" s="79"/>
      <c r="M11" s="79">
        <v>2540</v>
      </c>
      <c r="N11" s="79">
        <v>172575</v>
      </c>
      <c r="O11" s="79"/>
      <c r="P11" s="79"/>
      <c r="Q11" s="79"/>
      <c r="R11" s="187"/>
      <c r="S11" s="81"/>
      <c r="T11" s="81"/>
      <c r="U11" s="81"/>
      <c r="V11" s="81"/>
      <c r="W11" s="81"/>
      <c r="X11" s="81"/>
    </row>
    <row r="12" spans="1:24" ht="13.5" customHeight="1">
      <c r="A12" s="186"/>
      <c r="B12" s="181"/>
      <c r="C12" s="182"/>
      <c r="D12" s="189" t="s">
        <v>765</v>
      </c>
      <c r="E12" s="82">
        <v>176957</v>
      </c>
      <c r="F12" s="77">
        <f t="shared" si="0"/>
        <v>602454</v>
      </c>
      <c r="G12" s="79">
        <v>59086</v>
      </c>
      <c r="H12" s="79">
        <v>17606</v>
      </c>
      <c r="I12" s="79">
        <v>76712</v>
      </c>
      <c r="J12" s="79">
        <v>329935</v>
      </c>
      <c r="K12" s="79"/>
      <c r="L12" s="79"/>
      <c r="M12" s="79">
        <v>2540</v>
      </c>
      <c r="N12" s="79">
        <v>116575</v>
      </c>
      <c r="O12" s="79"/>
      <c r="P12" s="79"/>
      <c r="Q12" s="79"/>
      <c r="R12" s="187"/>
      <c r="S12" s="81"/>
      <c r="T12" s="81"/>
      <c r="U12" s="81"/>
      <c r="V12" s="81"/>
      <c r="W12" s="81"/>
      <c r="X12" s="81"/>
    </row>
    <row r="13" spans="1:24" ht="13.5" customHeight="1">
      <c r="A13" s="186"/>
      <c r="B13" s="181"/>
      <c r="C13" s="182"/>
      <c r="D13" s="884" t="s">
        <v>944</v>
      </c>
      <c r="E13" s="82">
        <v>177796</v>
      </c>
      <c r="F13" s="77">
        <f t="shared" si="0"/>
        <v>610735</v>
      </c>
      <c r="G13" s="79">
        <v>61399</v>
      </c>
      <c r="H13" s="79">
        <v>14999</v>
      </c>
      <c r="I13" s="79">
        <v>75085</v>
      </c>
      <c r="J13" s="79">
        <v>339857</v>
      </c>
      <c r="K13" s="79"/>
      <c r="L13" s="79"/>
      <c r="M13" s="79">
        <v>2988</v>
      </c>
      <c r="N13" s="79">
        <v>116407</v>
      </c>
      <c r="O13" s="79"/>
      <c r="P13" s="79"/>
      <c r="Q13" s="79"/>
      <c r="R13" s="187"/>
      <c r="S13" s="81"/>
      <c r="T13" s="81"/>
      <c r="U13" s="81"/>
      <c r="V13" s="81"/>
      <c r="W13" s="81"/>
      <c r="X13" s="81"/>
    </row>
    <row r="14" spans="1:24" ht="13.5" customHeight="1">
      <c r="A14" s="186" t="s">
        <v>593</v>
      </c>
      <c r="B14" s="181" t="s">
        <v>594</v>
      </c>
      <c r="C14" s="182" t="s">
        <v>595</v>
      </c>
      <c r="D14" s="189" t="s">
        <v>123</v>
      </c>
      <c r="E14" s="82">
        <v>1794500</v>
      </c>
      <c r="F14" s="77">
        <f t="shared" si="0"/>
        <v>0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187"/>
      <c r="S14" s="81"/>
      <c r="T14" s="81"/>
      <c r="U14" s="81"/>
      <c r="V14" s="81"/>
      <c r="W14" s="81"/>
      <c r="X14" s="81"/>
    </row>
    <row r="15" spans="1:24" ht="13.5" customHeight="1">
      <c r="A15" s="186"/>
      <c r="B15" s="181"/>
      <c r="C15" s="182"/>
      <c r="D15" s="189" t="s">
        <v>765</v>
      </c>
      <c r="E15" s="82">
        <v>1794500</v>
      </c>
      <c r="F15" s="77">
        <f t="shared" si="0"/>
        <v>0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187"/>
      <c r="S15" s="81"/>
      <c r="T15" s="81"/>
      <c r="U15" s="81"/>
      <c r="V15" s="81"/>
      <c r="W15" s="81"/>
      <c r="X15" s="81"/>
    </row>
    <row r="16" spans="1:24" ht="13.5" customHeight="1">
      <c r="A16" s="186"/>
      <c r="B16" s="181"/>
      <c r="C16" s="182"/>
      <c r="D16" s="884" t="s">
        <v>944</v>
      </c>
      <c r="E16" s="82">
        <v>1794500</v>
      </c>
      <c r="F16" s="77">
        <v>0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187"/>
      <c r="S16" s="81"/>
      <c r="T16" s="81"/>
      <c r="U16" s="81"/>
      <c r="V16" s="81"/>
      <c r="W16" s="81"/>
      <c r="X16" s="81"/>
    </row>
    <row r="17" spans="1:24" ht="13.5" customHeight="1">
      <c r="A17" s="186" t="s">
        <v>596</v>
      </c>
      <c r="B17" s="181" t="s">
        <v>597</v>
      </c>
      <c r="C17" s="182" t="s">
        <v>598</v>
      </c>
      <c r="D17" s="189" t="s">
        <v>163</v>
      </c>
      <c r="E17" s="82">
        <v>2700</v>
      </c>
      <c r="F17" s="77">
        <f t="shared" si="0"/>
        <v>3578</v>
      </c>
      <c r="G17" s="80"/>
      <c r="H17" s="80"/>
      <c r="I17" s="80">
        <v>3578</v>
      </c>
      <c r="J17" s="80"/>
      <c r="K17" s="80"/>
      <c r="L17" s="80"/>
      <c r="M17" s="80"/>
      <c r="N17" s="80"/>
      <c r="O17" s="80"/>
      <c r="P17" s="80"/>
      <c r="Q17" s="80"/>
      <c r="R17" s="187"/>
      <c r="S17" s="81"/>
      <c r="T17" s="81"/>
      <c r="U17" s="81"/>
      <c r="V17" s="81"/>
      <c r="W17" s="81"/>
      <c r="X17" s="81"/>
    </row>
    <row r="18" spans="1:24" ht="13.5" customHeight="1">
      <c r="A18" s="186"/>
      <c r="B18" s="181"/>
      <c r="C18" s="182"/>
      <c r="D18" s="189" t="s">
        <v>765</v>
      </c>
      <c r="E18" s="82">
        <v>2700</v>
      </c>
      <c r="F18" s="77">
        <f t="shared" si="0"/>
        <v>3578</v>
      </c>
      <c r="G18" s="80"/>
      <c r="H18" s="80"/>
      <c r="I18" s="80">
        <v>3578</v>
      </c>
      <c r="J18" s="80"/>
      <c r="K18" s="80"/>
      <c r="L18" s="80"/>
      <c r="M18" s="80"/>
      <c r="N18" s="80"/>
      <c r="O18" s="80"/>
      <c r="P18" s="80"/>
      <c r="Q18" s="80"/>
      <c r="R18" s="187"/>
      <c r="S18" s="81"/>
      <c r="T18" s="81"/>
      <c r="U18" s="81"/>
      <c r="V18" s="81"/>
      <c r="W18" s="81"/>
      <c r="X18" s="81"/>
    </row>
    <row r="19" spans="1:24" ht="13.5" customHeight="1">
      <c r="A19" s="186"/>
      <c r="B19" s="181"/>
      <c r="C19" s="182"/>
      <c r="D19" s="884" t="s">
        <v>944</v>
      </c>
      <c r="E19" s="82">
        <v>2700</v>
      </c>
      <c r="F19" s="77">
        <f t="shared" si="0"/>
        <v>3578</v>
      </c>
      <c r="G19" s="80"/>
      <c r="H19" s="80"/>
      <c r="I19" s="80">
        <v>3578</v>
      </c>
      <c r="J19" s="80"/>
      <c r="K19" s="80"/>
      <c r="L19" s="80"/>
      <c r="M19" s="80"/>
      <c r="N19" s="80"/>
      <c r="O19" s="80"/>
      <c r="P19" s="80"/>
      <c r="Q19" s="80"/>
      <c r="R19" s="187"/>
      <c r="S19" s="81"/>
      <c r="T19" s="81"/>
      <c r="U19" s="81"/>
      <c r="V19" s="81"/>
      <c r="W19" s="81"/>
      <c r="X19" s="81"/>
    </row>
    <row r="20" spans="1:24" ht="13.5" customHeight="1">
      <c r="A20" s="186" t="s">
        <v>593</v>
      </c>
      <c r="B20" s="181" t="s">
        <v>599</v>
      </c>
      <c r="C20" s="182" t="s">
        <v>600</v>
      </c>
      <c r="D20" s="189" t="s">
        <v>123</v>
      </c>
      <c r="E20" s="82">
        <v>5787</v>
      </c>
      <c r="F20" s="77">
        <f t="shared" si="0"/>
        <v>20117</v>
      </c>
      <c r="G20" s="79"/>
      <c r="H20" s="79"/>
      <c r="I20" s="79">
        <v>16117</v>
      </c>
      <c r="J20" s="79"/>
      <c r="K20" s="79"/>
      <c r="L20" s="79"/>
      <c r="M20" s="79">
        <v>4000</v>
      </c>
      <c r="N20" s="79"/>
      <c r="O20" s="79"/>
      <c r="P20" s="79"/>
      <c r="Q20" s="79"/>
      <c r="R20" s="187"/>
      <c r="S20" s="81"/>
      <c r="T20" s="81"/>
      <c r="U20" s="81"/>
      <c r="V20" s="81"/>
      <c r="W20" s="81"/>
      <c r="X20" s="81"/>
    </row>
    <row r="21" spans="1:24" ht="13.5" customHeight="1">
      <c r="A21" s="186"/>
      <c r="B21" s="181"/>
      <c r="C21" s="182"/>
      <c r="D21" s="189" t="s">
        <v>765</v>
      </c>
      <c r="E21" s="82">
        <v>5787</v>
      </c>
      <c r="F21" s="77">
        <f t="shared" si="0"/>
        <v>20117</v>
      </c>
      <c r="G21" s="79"/>
      <c r="H21" s="79"/>
      <c r="I21" s="79">
        <v>16117</v>
      </c>
      <c r="J21" s="79"/>
      <c r="K21" s="79"/>
      <c r="L21" s="79"/>
      <c r="M21" s="79">
        <v>4000</v>
      </c>
      <c r="N21" s="79"/>
      <c r="O21" s="79"/>
      <c r="P21" s="79"/>
      <c r="Q21" s="79"/>
      <c r="R21" s="187"/>
      <c r="S21" s="81"/>
      <c r="T21" s="81"/>
      <c r="U21" s="81"/>
      <c r="V21" s="81"/>
      <c r="W21" s="81"/>
      <c r="X21" s="81"/>
    </row>
    <row r="22" spans="1:24" ht="13.5" customHeight="1">
      <c r="A22" s="186"/>
      <c r="B22" s="181"/>
      <c r="C22" s="182"/>
      <c r="D22" s="884" t="s">
        <v>944</v>
      </c>
      <c r="E22" s="82">
        <v>5887</v>
      </c>
      <c r="F22" s="77">
        <f t="shared" si="0"/>
        <v>27017</v>
      </c>
      <c r="G22" s="79"/>
      <c r="H22" s="79"/>
      <c r="I22" s="79">
        <v>18067</v>
      </c>
      <c r="J22" s="79"/>
      <c r="K22" s="79"/>
      <c r="L22" s="79"/>
      <c r="M22" s="79">
        <v>8950</v>
      </c>
      <c r="N22" s="79"/>
      <c r="O22" s="79"/>
      <c r="P22" s="79"/>
      <c r="Q22" s="79"/>
      <c r="R22" s="187"/>
      <c r="S22" s="81"/>
      <c r="T22" s="81"/>
      <c r="U22" s="81"/>
      <c r="V22" s="81"/>
      <c r="W22" s="81"/>
      <c r="X22" s="81"/>
    </row>
    <row r="23" spans="1:24" ht="13.5" customHeight="1">
      <c r="A23" s="186" t="s">
        <v>593</v>
      </c>
      <c r="B23" s="181" t="s">
        <v>601</v>
      </c>
      <c r="C23" s="182" t="s">
        <v>602</v>
      </c>
      <c r="D23" s="189" t="s">
        <v>123</v>
      </c>
      <c r="E23" s="82">
        <v>2661747</v>
      </c>
      <c r="F23" s="77">
        <f t="shared" si="0"/>
        <v>1937931</v>
      </c>
      <c r="G23" s="79"/>
      <c r="H23" s="79"/>
      <c r="I23" s="79">
        <v>341451</v>
      </c>
      <c r="J23" s="79">
        <v>4000</v>
      </c>
      <c r="K23" s="79"/>
      <c r="L23" s="79"/>
      <c r="M23" s="79">
        <v>145357</v>
      </c>
      <c r="N23" s="79">
        <v>1446123</v>
      </c>
      <c r="O23" s="79">
        <v>1000</v>
      </c>
      <c r="P23" s="79"/>
      <c r="Q23" s="79"/>
      <c r="R23" s="187"/>
      <c r="S23" s="81"/>
      <c r="T23" s="81"/>
      <c r="U23" s="81"/>
      <c r="V23" s="81"/>
      <c r="W23" s="81"/>
      <c r="X23" s="81"/>
    </row>
    <row r="24" spans="1:24" ht="13.5" customHeight="1">
      <c r="A24" s="186"/>
      <c r="B24" s="181"/>
      <c r="C24" s="182"/>
      <c r="D24" s="189" t="s">
        <v>765</v>
      </c>
      <c r="E24" s="82">
        <v>2661747</v>
      </c>
      <c r="F24" s="77">
        <f t="shared" si="0"/>
        <v>2000283</v>
      </c>
      <c r="G24" s="79"/>
      <c r="H24" s="79"/>
      <c r="I24" s="79">
        <v>341451</v>
      </c>
      <c r="J24" s="79">
        <v>4000</v>
      </c>
      <c r="K24" s="79"/>
      <c r="L24" s="79"/>
      <c r="M24" s="79">
        <v>160994</v>
      </c>
      <c r="N24" s="79">
        <v>1492838</v>
      </c>
      <c r="O24" s="79">
        <v>1000</v>
      </c>
      <c r="P24" s="79"/>
      <c r="Q24" s="79"/>
      <c r="R24" s="187"/>
      <c r="S24" s="81"/>
      <c r="T24" s="81"/>
      <c r="U24" s="81"/>
      <c r="V24" s="81"/>
      <c r="W24" s="81"/>
      <c r="X24" s="81"/>
    </row>
    <row r="25" spans="1:24" ht="13.5" customHeight="1">
      <c r="A25" s="186"/>
      <c r="B25" s="181"/>
      <c r="C25" s="182"/>
      <c r="D25" s="884" t="s">
        <v>944</v>
      </c>
      <c r="E25" s="82">
        <v>2661747</v>
      </c>
      <c r="F25" s="77">
        <f t="shared" si="0"/>
        <v>2091952</v>
      </c>
      <c r="G25" s="79"/>
      <c r="H25" s="79"/>
      <c r="I25" s="79">
        <v>348973</v>
      </c>
      <c r="J25" s="79">
        <v>4000</v>
      </c>
      <c r="K25" s="79"/>
      <c r="L25" s="79"/>
      <c r="M25" s="79">
        <v>204338</v>
      </c>
      <c r="N25" s="79">
        <v>1533641</v>
      </c>
      <c r="O25" s="79">
        <v>1000</v>
      </c>
      <c r="P25" s="79"/>
      <c r="Q25" s="79"/>
      <c r="R25" s="187"/>
      <c r="S25" s="81"/>
      <c r="T25" s="81"/>
      <c r="U25" s="81"/>
      <c r="V25" s="81"/>
      <c r="W25" s="81"/>
      <c r="X25" s="81"/>
    </row>
    <row r="26" spans="1:24" ht="13.5" customHeight="1">
      <c r="A26" s="186" t="s">
        <v>596</v>
      </c>
      <c r="B26" s="181" t="s">
        <v>603</v>
      </c>
      <c r="C26" s="182" t="s">
        <v>604</v>
      </c>
      <c r="D26" s="189" t="s">
        <v>123</v>
      </c>
      <c r="E26" s="82"/>
      <c r="F26" s="77">
        <f t="shared" si="0"/>
        <v>4837</v>
      </c>
      <c r="G26" s="80">
        <v>3200</v>
      </c>
      <c r="H26" s="80">
        <v>1637</v>
      </c>
      <c r="I26" s="80"/>
      <c r="J26" s="80"/>
      <c r="K26" s="80"/>
      <c r="L26" s="80"/>
      <c r="M26" s="80"/>
      <c r="N26" s="80"/>
      <c r="O26" s="80"/>
      <c r="P26" s="80"/>
      <c r="Q26" s="80"/>
      <c r="R26" s="187"/>
      <c r="S26" s="81"/>
      <c r="T26" s="81"/>
      <c r="U26" s="81"/>
      <c r="V26" s="81"/>
      <c r="W26" s="81"/>
      <c r="X26" s="81"/>
    </row>
    <row r="27" spans="1:24" ht="13.5" customHeight="1">
      <c r="A27" s="186"/>
      <c r="B27" s="181"/>
      <c r="C27" s="182"/>
      <c r="D27" s="189" t="s">
        <v>765</v>
      </c>
      <c r="E27" s="82"/>
      <c r="F27" s="77">
        <f t="shared" si="0"/>
        <v>4837</v>
      </c>
      <c r="G27" s="80">
        <v>3200</v>
      </c>
      <c r="H27" s="80">
        <v>1637</v>
      </c>
      <c r="I27" s="80"/>
      <c r="J27" s="80"/>
      <c r="K27" s="80"/>
      <c r="L27" s="80"/>
      <c r="M27" s="80"/>
      <c r="N27" s="80"/>
      <c r="O27" s="80"/>
      <c r="P27" s="80"/>
      <c r="Q27" s="80"/>
      <c r="R27" s="187"/>
      <c r="S27" s="81"/>
      <c r="T27" s="81"/>
      <c r="U27" s="81"/>
      <c r="V27" s="81"/>
      <c r="W27" s="81"/>
      <c r="X27" s="81"/>
    </row>
    <row r="28" spans="1:24" ht="13.5" customHeight="1">
      <c r="A28" s="186"/>
      <c r="B28" s="181"/>
      <c r="C28" s="182"/>
      <c r="D28" s="884" t="s">
        <v>944</v>
      </c>
      <c r="E28" s="82"/>
      <c r="F28" s="77">
        <f t="shared" si="0"/>
        <v>4837</v>
      </c>
      <c r="G28" s="80">
        <v>3200</v>
      </c>
      <c r="H28" s="80">
        <v>1637</v>
      </c>
      <c r="I28" s="80"/>
      <c r="J28" s="80"/>
      <c r="K28" s="80"/>
      <c r="L28" s="80"/>
      <c r="M28" s="80"/>
      <c r="N28" s="80"/>
      <c r="O28" s="80"/>
      <c r="P28" s="80"/>
      <c r="Q28" s="80"/>
      <c r="R28" s="187"/>
      <c r="S28" s="81"/>
      <c r="T28" s="81"/>
      <c r="U28" s="81"/>
      <c r="V28" s="81"/>
      <c r="W28" s="81"/>
      <c r="X28" s="81"/>
    </row>
    <row r="29" spans="1:24" ht="13.5" customHeight="1">
      <c r="A29" s="186" t="s">
        <v>596</v>
      </c>
      <c r="B29" s="181" t="s">
        <v>603</v>
      </c>
      <c r="C29" s="182" t="s">
        <v>605</v>
      </c>
      <c r="D29" s="189" t="s">
        <v>123</v>
      </c>
      <c r="E29" s="82">
        <v>2300</v>
      </c>
      <c r="F29" s="77">
        <f t="shared" si="0"/>
        <v>5000</v>
      </c>
      <c r="G29" s="80">
        <v>2000</v>
      </c>
      <c r="H29" s="80">
        <v>1024</v>
      </c>
      <c r="I29" s="80">
        <v>1976</v>
      </c>
      <c r="J29" s="80"/>
      <c r="K29" s="80"/>
      <c r="L29" s="80"/>
      <c r="M29" s="80"/>
      <c r="N29" s="80"/>
      <c r="O29" s="80"/>
      <c r="P29" s="80"/>
      <c r="Q29" s="80"/>
      <c r="R29" s="187"/>
      <c r="S29" s="81"/>
      <c r="T29" s="81"/>
      <c r="U29" s="81"/>
      <c r="V29" s="81"/>
      <c r="W29" s="81"/>
      <c r="X29" s="81"/>
    </row>
    <row r="30" spans="1:24" ht="13.5" customHeight="1">
      <c r="A30" s="186"/>
      <c r="B30" s="181"/>
      <c r="C30" s="182"/>
      <c r="D30" s="189" t="s">
        <v>765</v>
      </c>
      <c r="E30" s="82">
        <v>2300</v>
      </c>
      <c r="F30" s="77">
        <f t="shared" si="0"/>
        <v>5000</v>
      </c>
      <c r="G30" s="80">
        <v>2000</v>
      </c>
      <c r="H30" s="80">
        <v>1024</v>
      </c>
      <c r="I30" s="80">
        <v>1976</v>
      </c>
      <c r="J30" s="80"/>
      <c r="K30" s="80"/>
      <c r="L30" s="80"/>
      <c r="M30" s="80"/>
      <c r="N30" s="80"/>
      <c r="O30" s="80"/>
      <c r="P30" s="80"/>
      <c r="Q30" s="80"/>
      <c r="R30" s="187"/>
      <c r="S30" s="81"/>
      <c r="T30" s="81"/>
      <c r="U30" s="81"/>
      <c r="V30" s="81"/>
      <c r="W30" s="81"/>
      <c r="X30" s="81"/>
    </row>
    <row r="31" spans="1:24" ht="13.5" customHeight="1">
      <c r="A31" s="186"/>
      <c r="B31" s="181"/>
      <c r="C31" s="182"/>
      <c r="D31" s="884" t="s">
        <v>944</v>
      </c>
      <c r="E31" s="82">
        <v>2300</v>
      </c>
      <c r="F31" s="77">
        <f t="shared" si="0"/>
        <v>5300</v>
      </c>
      <c r="G31" s="80">
        <v>2000</v>
      </c>
      <c r="H31" s="80">
        <v>1024</v>
      </c>
      <c r="I31" s="80">
        <v>2276</v>
      </c>
      <c r="J31" s="80"/>
      <c r="K31" s="80"/>
      <c r="L31" s="80"/>
      <c r="M31" s="80"/>
      <c r="N31" s="80"/>
      <c r="O31" s="80"/>
      <c r="P31" s="80"/>
      <c r="Q31" s="80"/>
      <c r="R31" s="187"/>
      <c r="S31" s="81"/>
      <c r="T31" s="81"/>
      <c r="U31" s="81"/>
      <c r="V31" s="81"/>
      <c r="W31" s="81"/>
      <c r="X31" s="81"/>
    </row>
    <row r="32" spans="1:24" ht="13.5" customHeight="1">
      <c r="A32" s="186" t="s">
        <v>596</v>
      </c>
      <c r="B32" s="181" t="s">
        <v>603</v>
      </c>
      <c r="C32" s="182" t="s">
        <v>606</v>
      </c>
      <c r="D32" s="189" t="s">
        <v>123</v>
      </c>
      <c r="E32" s="82"/>
      <c r="F32" s="77">
        <f t="shared" si="0"/>
        <v>7589</v>
      </c>
      <c r="G32" s="80">
        <v>5500</v>
      </c>
      <c r="H32" s="80">
        <v>2089</v>
      </c>
      <c r="I32" s="80"/>
      <c r="J32" s="80"/>
      <c r="K32" s="80"/>
      <c r="L32" s="80"/>
      <c r="M32" s="80"/>
      <c r="N32" s="80"/>
      <c r="O32" s="80"/>
      <c r="P32" s="80"/>
      <c r="Q32" s="80"/>
      <c r="R32" s="187"/>
      <c r="S32" s="81"/>
      <c r="T32" s="81"/>
      <c r="U32" s="81"/>
      <c r="V32" s="81"/>
      <c r="W32" s="81"/>
      <c r="X32" s="81"/>
    </row>
    <row r="33" spans="1:24" ht="13.5" customHeight="1">
      <c r="A33" s="186"/>
      <c r="B33" s="181"/>
      <c r="C33" s="182"/>
      <c r="D33" s="189" t="s">
        <v>765</v>
      </c>
      <c r="E33" s="82"/>
      <c r="F33" s="77">
        <f t="shared" si="0"/>
        <v>7589</v>
      </c>
      <c r="G33" s="80">
        <v>5500</v>
      </c>
      <c r="H33" s="80">
        <v>2089</v>
      </c>
      <c r="I33" s="80"/>
      <c r="J33" s="80"/>
      <c r="K33" s="80"/>
      <c r="L33" s="80"/>
      <c r="M33" s="80"/>
      <c r="N33" s="80"/>
      <c r="O33" s="80"/>
      <c r="P33" s="80"/>
      <c r="Q33" s="80"/>
      <c r="R33" s="187"/>
      <c r="S33" s="81"/>
      <c r="T33" s="81"/>
      <c r="U33" s="81"/>
      <c r="V33" s="81"/>
      <c r="W33" s="81"/>
      <c r="X33" s="81"/>
    </row>
    <row r="34" spans="1:24" ht="13.5" customHeight="1">
      <c r="A34" s="186"/>
      <c r="B34" s="181"/>
      <c r="C34" s="182"/>
      <c r="D34" s="884" t="s">
        <v>944</v>
      </c>
      <c r="E34" s="82"/>
      <c r="F34" s="77">
        <f t="shared" si="0"/>
        <v>7639</v>
      </c>
      <c r="G34" s="80">
        <v>5500</v>
      </c>
      <c r="H34" s="80">
        <v>2089</v>
      </c>
      <c r="I34" s="80">
        <v>50</v>
      </c>
      <c r="J34" s="80"/>
      <c r="K34" s="80"/>
      <c r="L34" s="80"/>
      <c r="M34" s="80"/>
      <c r="N34" s="80"/>
      <c r="O34" s="80"/>
      <c r="P34" s="80"/>
      <c r="Q34" s="80"/>
      <c r="R34" s="187"/>
      <c r="S34" s="81"/>
      <c r="T34" s="81"/>
      <c r="U34" s="81"/>
      <c r="V34" s="81"/>
      <c r="W34" s="81"/>
      <c r="X34" s="81"/>
    </row>
    <row r="35" spans="1:24" ht="13.5" customHeight="1">
      <c r="A35" s="186" t="s">
        <v>596</v>
      </c>
      <c r="B35" s="181" t="s">
        <v>603</v>
      </c>
      <c r="C35" s="182" t="s">
        <v>607</v>
      </c>
      <c r="D35" s="189" t="s">
        <v>123</v>
      </c>
      <c r="E35" s="82"/>
      <c r="F35" s="77">
        <f t="shared" si="0"/>
        <v>7710</v>
      </c>
      <c r="G35" s="80">
        <v>5100</v>
      </c>
      <c r="H35" s="80">
        <v>2610</v>
      </c>
      <c r="I35" s="80"/>
      <c r="J35" s="80"/>
      <c r="K35" s="80"/>
      <c r="L35" s="80"/>
      <c r="M35" s="80"/>
      <c r="N35" s="80"/>
      <c r="O35" s="80"/>
      <c r="P35" s="80"/>
      <c r="Q35" s="80"/>
      <c r="R35" s="187"/>
      <c r="S35" s="81"/>
      <c r="T35" s="81"/>
      <c r="U35" s="81"/>
      <c r="V35" s="81"/>
      <c r="W35" s="81"/>
      <c r="X35" s="81"/>
    </row>
    <row r="36" spans="1:24" ht="13.5" customHeight="1">
      <c r="A36" s="186"/>
      <c r="B36" s="181"/>
      <c r="C36" s="182"/>
      <c r="D36" s="189" t="s">
        <v>765</v>
      </c>
      <c r="E36" s="82"/>
      <c r="F36" s="77">
        <f t="shared" si="0"/>
        <v>7710</v>
      </c>
      <c r="G36" s="80">
        <v>5100</v>
      </c>
      <c r="H36" s="80">
        <v>2610</v>
      </c>
      <c r="I36" s="80"/>
      <c r="J36" s="80"/>
      <c r="K36" s="80"/>
      <c r="L36" s="80"/>
      <c r="M36" s="80"/>
      <c r="N36" s="80"/>
      <c r="O36" s="80"/>
      <c r="P36" s="80"/>
      <c r="Q36" s="80"/>
      <c r="R36" s="187"/>
      <c r="S36" s="81"/>
      <c r="T36" s="81"/>
      <c r="U36" s="81"/>
      <c r="V36" s="81"/>
      <c r="W36" s="81"/>
      <c r="X36" s="81"/>
    </row>
    <row r="37" spans="1:24" ht="13.5" customHeight="1">
      <c r="A37" s="186"/>
      <c r="B37" s="181"/>
      <c r="C37" s="182"/>
      <c r="D37" s="884" t="s">
        <v>944</v>
      </c>
      <c r="E37" s="82"/>
      <c r="F37" s="77">
        <f t="shared" si="0"/>
        <v>7710</v>
      </c>
      <c r="G37" s="80">
        <v>5100</v>
      </c>
      <c r="H37" s="80">
        <v>2610</v>
      </c>
      <c r="I37" s="80"/>
      <c r="J37" s="80"/>
      <c r="K37" s="80"/>
      <c r="L37" s="80"/>
      <c r="M37" s="80"/>
      <c r="N37" s="80"/>
      <c r="O37" s="80"/>
      <c r="P37" s="80"/>
      <c r="Q37" s="80"/>
      <c r="R37" s="187"/>
      <c r="S37" s="81"/>
      <c r="T37" s="81"/>
      <c r="U37" s="81"/>
      <c r="V37" s="81"/>
      <c r="W37" s="81"/>
      <c r="X37" s="81"/>
    </row>
    <row r="38" spans="1:24" ht="13.5" customHeight="1">
      <c r="A38" s="186" t="s">
        <v>588</v>
      </c>
      <c r="B38" s="181" t="s">
        <v>608</v>
      </c>
      <c r="C38" s="182" t="s">
        <v>609</v>
      </c>
      <c r="D38" s="189" t="s">
        <v>123</v>
      </c>
      <c r="E38" s="82">
        <v>1128539</v>
      </c>
      <c r="F38" s="77">
        <f t="shared" si="0"/>
        <v>0</v>
      </c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187"/>
      <c r="S38" s="81"/>
      <c r="T38" s="81"/>
      <c r="U38" s="81"/>
      <c r="V38" s="81"/>
      <c r="W38" s="81"/>
      <c r="X38" s="81"/>
    </row>
    <row r="39" spans="1:24" ht="13.5" customHeight="1">
      <c r="A39" s="186"/>
      <c r="B39" s="181"/>
      <c r="C39" s="182"/>
      <c r="D39" s="189" t="s">
        <v>765</v>
      </c>
      <c r="E39" s="82">
        <v>1223042</v>
      </c>
      <c r="F39" s="77">
        <f t="shared" si="0"/>
        <v>0</v>
      </c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187"/>
      <c r="S39" s="81"/>
      <c r="T39" s="81"/>
      <c r="U39" s="81"/>
      <c r="V39" s="81"/>
      <c r="W39" s="81"/>
      <c r="X39" s="81"/>
    </row>
    <row r="40" spans="1:24" ht="13.5" customHeight="1">
      <c r="A40" s="186"/>
      <c r="B40" s="181"/>
      <c r="C40" s="182"/>
      <c r="D40" s="884" t="s">
        <v>944</v>
      </c>
      <c r="E40" s="82">
        <v>1227891</v>
      </c>
      <c r="F40" s="77">
        <f t="shared" si="0"/>
        <v>0</v>
      </c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187"/>
      <c r="S40" s="81"/>
      <c r="T40" s="81"/>
      <c r="U40" s="81"/>
      <c r="V40" s="81"/>
      <c r="W40" s="81"/>
      <c r="X40" s="81"/>
    </row>
    <row r="41" spans="1:24" ht="13.5" customHeight="1">
      <c r="A41" s="186" t="s">
        <v>588</v>
      </c>
      <c r="B41" s="181" t="s">
        <v>610</v>
      </c>
      <c r="C41" s="182" t="s">
        <v>611</v>
      </c>
      <c r="D41" s="189" t="s">
        <v>123</v>
      </c>
      <c r="E41" s="82"/>
      <c r="F41" s="77">
        <f t="shared" si="0"/>
        <v>0</v>
      </c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187"/>
      <c r="S41" s="81"/>
      <c r="T41" s="81"/>
      <c r="U41" s="81"/>
      <c r="V41" s="81"/>
      <c r="W41" s="81"/>
      <c r="X41" s="81"/>
    </row>
    <row r="42" spans="1:24" ht="13.5" customHeight="1">
      <c r="A42" s="186"/>
      <c r="B42" s="181"/>
      <c r="C42" s="182"/>
      <c r="D42" s="189" t="s">
        <v>765</v>
      </c>
      <c r="E42" s="82"/>
      <c r="F42" s="77">
        <f t="shared" si="0"/>
        <v>11507</v>
      </c>
      <c r="G42" s="80"/>
      <c r="H42" s="80"/>
      <c r="I42" s="80"/>
      <c r="J42" s="80">
        <v>11507</v>
      </c>
      <c r="K42" s="80"/>
      <c r="L42" s="80"/>
      <c r="M42" s="80"/>
      <c r="N42" s="80"/>
      <c r="O42" s="80"/>
      <c r="P42" s="80"/>
      <c r="Q42" s="80"/>
      <c r="R42" s="187"/>
      <c r="S42" s="81"/>
      <c r="T42" s="81"/>
      <c r="U42" s="81"/>
      <c r="V42" s="81"/>
      <c r="W42" s="81"/>
      <c r="X42" s="81"/>
    </row>
    <row r="43" spans="1:24" ht="13.5" customHeight="1">
      <c r="A43" s="186"/>
      <c r="B43" s="181"/>
      <c r="C43" s="182"/>
      <c r="D43" s="884" t="s">
        <v>944</v>
      </c>
      <c r="E43" s="82"/>
      <c r="F43" s="77">
        <f t="shared" si="0"/>
        <v>11507</v>
      </c>
      <c r="G43" s="80"/>
      <c r="H43" s="80"/>
      <c r="I43" s="80"/>
      <c r="J43" s="80">
        <v>11507</v>
      </c>
      <c r="K43" s="80"/>
      <c r="L43" s="80"/>
      <c r="M43" s="80"/>
      <c r="N43" s="80"/>
      <c r="O43" s="80"/>
      <c r="P43" s="80"/>
      <c r="Q43" s="80"/>
      <c r="R43" s="187"/>
      <c r="S43" s="81"/>
      <c r="T43" s="81"/>
      <c r="U43" s="81"/>
      <c r="V43" s="81"/>
      <c r="W43" s="81"/>
      <c r="X43" s="81"/>
    </row>
    <row r="44" spans="1:24" ht="13.5" customHeight="1">
      <c r="A44" s="186" t="s">
        <v>588</v>
      </c>
      <c r="B44" s="181" t="s">
        <v>612</v>
      </c>
      <c r="C44" s="182" t="s">
        <v>613</v>
      </c>
      <c r="D44" s="189" t="s">
        <v>123</v>
      </c>
      <c r="E44" s="82"/>
      <c r="F44" s="77">
        <f t="shared" si="0"/>
        <v>1637807</v>
      </c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86">
        <v>1637807</v>
      </c>
      <c r="S44" s="81"/>
      <c r="T44" s="81"/>
      <c r="U44" s="81"/>
      <c r="V44" s="81"/>
      <c r="W44" s="81"/>
      <c r="X44" s="81"/>
    </row>
    <row r="45" spans="1:24" ht="13.5" customHeight="1">
      <c r="A45" s="186"/>
      <c r="B45" s="181"/>
      <c r="C45" s="182"/>
      <c r="D45" s="189" t="s">
        <v>765</v>
      </c>
      <c r="E45" s="82"/>
      <c r="F45" s="77">
        <f t="shared" si="0"/>
        <v>1648013</v>
      </c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86">
        <v>1648013</v>
      </c>
      <c r="S45" s="81"/>
      <c r="T45" s="81"/>
      <c r="U45" s="81"/>
      <c r="V45" s="81"/>
      <c r="W45" s="81"/>
      <c r="X45" s="81"/>
    </row>
    <row r="46" spans="1:24" ht="13.5" customHeight="1">
      <c r="A46" s="186"/>
      <c r="B46" s="181"/>
      <c r="C46" s="182"/>
      <c r="D46" s="884" t="s">
        <v>944</v>
      </c>
      <c r="E46" s="82"/>
      <c r="F46" s="77">
        <f t="shared" si="0"/>
        <v>1660781</v>
      </c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86">
        <v>1660781</v>
      </c>
      <c r="S46" s="81"/>
      <c r="T46" s="81"/>
      <c r="U46" s="81"/>
      <c r="V46" s="81"/>
      <c r="W46" s="81"/>
      <c r="X46" s="81"/>
    </row>
    <row r="47" spans="1:24" ht="13.5" customHeight="1">
      <c r="A47" s="186" t="s">
        <v>593</v>
      </c>
      <c r="B47" s="181" t="s">
        <v>614</v>
      </c>
      <c r="C47" s="182" t="s">
        <v>615</v>
      </c>
      <c r="D47" s="189" t="s">
        <v>123</v>
      </c>
      <c r="E47" s="82"/>
      <c r="F47" s="77">
        <f t="shared" si="0"/>
        <v>0</v>
      </c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187"/>
      <c r="S47" s="81"/>
      <c r="T47" s="81"/>
      <c r="U47" s="81"/>
      <c r="V47" s="81"/>
      <c r="W47" s="81"/>
      <c r="X47" s="81"/>
    </row>
    <row r="48" spans="1:24" ht="13.5" customHeight="1">
      <c r="A48" s="186"/>
      <c r="B48" s="181"/>
      <c r="C48" s="182"/>
      <c r="D48" s="189" t="s">
        <v>765</v>
      </c>
      <c r="E48" s="82"/>
      <c r="F48" s="77">
        <f t="shared" si="0"/>
        <v>0</v>
      </c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187"/>
      <c r="S48" s="81"/>
      <c r="T48" s="81"/>
      <c r="U48" s="81"/>
      <c r="V48" s="81"/>
      <c r="W48" s="81"/>
      <c r="X48" s="81"/>
    </row>
    <row r="49" spans="1:24" ht="13.5" customHeight="1">
      <c r="A49" s="186"/>
      <c r="B49" s="181"/>
      <c r="C49" s="182"/>
      <c r="D49" s="884" t="s">
        <v>944</v>
      </c>
      <c r="E49" s="82"/>
      <c r="F49" s="77">
        <f t="shared" si="0"/>
        <v>0</v>
      </c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187"/>
      <c r="S49" s="81"/>
      <c r="T49" s="81"/>
      <c r="U49" s="81"/>
      <c r="V49" s="81"/>
      <c r="W49" s="81"/>
      <c r="X49" s="81"/>
    </row>
    <row r="50" spans="1:24" ht="13.5" customHeight="1">
      <c r="A50" s="186" t="s">
        <v>593</v>
      </c>
      <c r="B50" s="181" t="s">
        <v>616</v>
      </c>
      <c r="C50" s="182" t="s">
        <v>617</v>
      </c>
      <c r="D50" s="189" t="s">
        <v>123</v>
      </c>
      <c r="E50" s="82">
        <v>300</v>
      </c>
      <c r="F50" s="77">
        <f t="shared" si="0"/>
        <v>4000</v>
      </c>
      <c r="G50" s="80"/>
      <c r="H50" s="80"/>
      <c r="I50" s="80"/>
      <c r="J50" s="80">
        <v>4000</v>
      </c>
      <c r="K50" s="80"/>
      <c r="L50" s="80"/>
      <c r="M50" s="80"/>
      <c r="N50" s="80"/>
      <c r="O50" s="80"/>
      <c r="P50" s="80"/>
      <c r="Q50" s="80"/>
      <c r="R50" s="187"/>
      <c r="S50" s="81"/>
      <c r="T50" s="81"/>
      <c r="U50" s="81"/>
      <c r="V50" s="81"/>
      <c r="W50" s="81"/>
      <c r="X50" s="81"/>
    </row>
    <row r="51" spans="1:24" ht="13.5" customHeight="1">
      <c r="A51" s="186"/>
      <c r="B51" s="181"/>
      <c r="C51" s="182"/>
      <c r="D51" s="189" t="s">
        <v>765</v>
      </c>
      <c r="E51" s="82">
        <v>300</v>
      </c>
      <c r="F51" s="77">
        <f t="shared" si="0"/>
        <v>4000</v>
      </c>
      <c r="G51" s="80"/>
      <c r="H51" s="80"/>
      <c r="I51" s="80"/>
      <c r="J51" s="80">
        <v>4000</v>
      </c>
      <c r="K51" s="80"/>
      <c r="L51" s="80"/>
      <c r="M51" s="80"/>
      <c r="N51" s="80"/>
      <c r="O51" s="80"/>
      <c r="P51" s="80"/>
      <c r="Q51" s="80"/>
      <c r="R51" s="187"/>
      <c r="S51" s="81"/>
      <c r="T51" s="81"/>
      <c r="U51" s="81"/>
      <c r="V51" s="81"/>
      <c r="W51" s="81"/>
      <c r="X51" s="81"/>
    </row>
    <row r="52" spans="1:24" ht="13.5" customHeight="1">
      <c r="A52" s="186"/>
      <c r="B52" s="181"/>
      <c r="C52" s="182"/>
      <c r="D52" s="884" t="s">
        <v>944</v>
      </c>
      <c r="E52" s="82">
        <v>300</v>
      </c>
      <c r="F52" s="77">
        <f t="shared" si="0"/>
        <v>4000</v>
      </c>
      <c r="G52" s="80"/>
      <c r="H52" s="80"/>
      <c r="I52" s="80"/>
      <c r="J52" s="80">
        <v>4000</v>
      </c>
      <c r="K52" s="80"/>
      <c r="L52" s="80"/>
      <c r="M52" s="80"/>
      <c r="N52" s="80"/>
      <c r="O52" s="80"/>
      <c r="P52" s="80"/>
      <c r="Q52" s="80"/>
      <c r="R52" s="187"/>
      <c r="S52" s="81"/>
      <c r="T52" s="81"/>
      <c r="U52" s="81"/>
      <c r="V52" s="81"/>
      <c r="W52" s="81"/>
      <c r="X52" s="81"/>
    </row>
    <row r="53" spans="1:24" ht="13.5" customHeight="1">
      <c r="A53" s="186" t="s">
        <v>593</v>
      </c>
      <c r="B53" s="181" t="s">
        <v>618</v>
      </c>
      <c r="C53" s="182" t="s">
        <v>619</v>
      </c>
      <c r="D53" s="189" t="s">
        <v>123</v>
      </c>
      <c r="E53" s="82"/>
      <c r="F53" s="77">
        <f t="shared" si="0"/>
        <v>4421</v>
      </c>
      <c r="G53" s="80"/>
      <c r="H53" s="80"/>
      <c r="I53" s="80">
        <v>4421</v>
      </c>
      <c r="J53" s="80"/>
      <c r="K53" s="80"/>
      <c r="L53" s="80"/>
      <c r="M53" s="80"/>
      <c r="N53" s="80"/>
      <c r="O53" s="80"/>
      <c r="P53" s="80"/>
      <c r="Q53" s="80"/>
      <c r="R53" s="187"/>
      <c r="S53" s="81"/>
      <c r="T53" s="81"/>
      <c r="U53" s="81"/>
      <c r="V53" s="81"/>
      <c r="W53" s="81"/>
      <c r="X53" s="81"/>
    </row>
    <row r="54" spans="1:24" ht="13.5" customHeight="1">
      <c r="A54" s="186"/>
      <c r="B54" s="181"/>
      <c r="C54" s="182"/>
      <c r="D54" s="189" t="s">
        <v>765</v>
      </c>
      <c r="E54" s="82"/>
      <c r="F54" s="77">
        <f t="shared" si="0"/>
        <v>4421</v>
      </c>
      <c r="G54" s="80"/>
      <c r="H54" s="80"/>
      <c r="I54" s="80">
        <v>4421</v>
      </c>
      <c r="J54" s="80"/>
      <c r="K54" s="80"/>
      <c r="L54" s="80"/>
      <c r="M54" s="80"/>
      <c r="N54" s="80"/>
      <c r="O54" s="80"/>
      <c r="P54" s="80"/>
      <c r="Q54" s="80"/>
      <c r="R54" s="187"/>
      <c r="S54" s="81"/>
      <c r="T54" s="81"/>
      <c r="U54" s="81"/>
      <c r="V54" s="81"/>
      <c r="W54" s="81"/>
      <c r="X54" s="81"/>
    </row>
    <row r="55" spans="1:24" ht="13.5" customHeight="1">
      <c r="A55" s="186"/>
      <c r="B55" s="181"/>
      <c r="C55" s="182"/>
      <c r="D55" s="884" t="s">
        <v>944</v>
      </c>
      <c r="E55" s="82"/>
      <c r="F55" s="77">
        <f t="shared" si="0"/>
        <v>4421</v>
      </c>
      <c r="G55" s="80"/>
      <c r="H55" s="80"/>
      <c r="I55" s="80">
        <v>4421</v>
      </c>
      <c r="J55" s="80"/>
      <c r="K55" s="80"/>
      <c r="L55" s="80"/>
      <c r="M55" s="80"/>
      <c r="N55" s="80"/>
      <c r="O55" s="80"/>
      <c r="P55" s="80"/>
      <c r="Q55" s="80"/>
      <c r="R55" s="187"/>
      <c r="S55" s="81"/>
      <c r="T55" s="81"/>
      <c r="U55" s="81"/>
      <c r="V55" s="81"/>
      <c r="W55" s="81"/>
      <c r="X55" s="81"/>
    </row>
    <row r="56" spans="1:24" ht="13.5" customHeight="1">
      <c r="A56" s="186" t="s">
        <v>593</v>
      </c>
      <c r="B56" s="181" t="s">
        <v>620</v>
      </c>
      <c r="C56" s="182" t="s">
        <v>621</v>
      </c>
      <c r="D56" s="189" t="s">
        <v>123</v>
      </c>
      <c r="E56" s="82">
        <v>25548</v>
      </c>
      <c r="F56" s="77">
        <f t="shared" si="0"/>
        <v>27373</v>
      </c>
      <c r="G56" s="79">
        <v>20098</v>
      </c>
      <c r="H56" s="79">
        <v>2713</v>
      </c>
      <c r="I56" s="79">
        <v>4562</v>
      </c>
      <c r="J56" s="79"/>
      <c r="K56" s="79"/>
      <c r="L56" s="79"/>
      <c r="M56" s="79"/>
      <c r="N56" s="79"/>
      <c r="O56" s="79"/>
      <c r="P56" s="79"/>
      <c r="Q56" s="79"/>
      <c r="R56" s="187"/>
      <c r="S56" s="81"/>
      <c r="T56" s="81"/>
      <c r="U56" s="81"/>
      <c r="V56" s="81"/>
      <c r="W56" s="81"/>
      <c r="X56" s="81"/>
    </row>
    <row r="57" spans="1:24" ht="13.5" customHeight="1">
      <c r="A57" s="186"/>
      <c r="B57" s="181"/>
      <c r="C57" s="182"/>
      <c r="D57" s="189" t="s">
        <v>765</v>
      </c>
      <c r="E57" s="82">
        <v>25548</v>
      </c>
      <c r="F57" s="77">
        <f t="shared" si="0"/>
        <v>27373</v>
      </c>
      <c r="G57" s="79">
        <v>20098</v>
      </c>
      <c r="H57" s="79">
        <v>2713</v>
      </c>
      <c r="I57" s="79">
        <v>4562</v>
      </c>
      <c r="J57" s="79"/>
      <c r="K57" s="79"/>
      <c r="L57" s="79"/>
      <c r="M57" s="79"/>
      <c r="N57" s="79"/>
      <c r="O57" s="79"/>
      <c r="P57" s="79"/>
      <c r="Q57" s="79"/>
      <c r="R57" s="187"/>
      <c r="S57" s="81"/>
      <c r="T57" s="81"/>
      <c r="U57" s="81"/>
      <c r="V57" s="81"/>
      <c r="W57" s="81"/>
      <c r="X57" s="81"/>
    </row>
    <row r="58" spans="1:24" ht="13.5" customHeight="1">
      <c r="A58" s="186"/>
      <c r="B58" s="181"/>
      <c r="C58" s="182"/>
      <c r="D58" s="884" t="s">
        <v>944</v>
      </c>
      <c r="E58" s="82">
        <v>25548</v>
      </c>
      <c r="F58" s="77">
        <f t="shared" si="0"/>
        <v>27373</v>
      </c>
      <c r="G58" s="79">
        <v>20098</v>
      </c>
      <c r="H58" s="79">
        <v>2713</v>
      </c>
      <c r="I58" s="79">
        <v>1562</v>
      </c>
      <c r="J58" s="79"/>
      <c r="K58" s="79"/>
      <c r="L58" s="79"/>
      <c r="M58" s="79"/>
      <c r="N58" s="79">
        <v>3000</v>
      </c>
      <c r="O58" s="79"/>
      <c r="P58" s="79"/>
      <c r="Q58" s="79"/>
      <c r="R58" s="187"/>
      <c r="S58" s="81"/>
      <c r="T58" s="81"/>
      <c r="U58" s="81"/>
      <c r="V58" s="81"/>
      <c r="W58" s="81"/>
      <c r="X58" s="81"/>
    </row>
    <row r="59" spans="1:24" ht="13.5" customHeight="1">
      <c r="A59" s="186" t="s">
        <v>593</v>
      </c>
      <c r="B59" s="181" t="s">
        <v>622</v>
      </c>
      <c r="C59" s="182" t="s">
        <v>623</v>
      </c>
      <c r="D59" s="189" t="s">
        <v>123</v>
      </c>
      <c r="E59" s="82">
        <v>61650</v>
      </c>
      <c r="F59" s="77">
        <f t="shared" si="0"/>
        <v>71916</v>
      </c>
      <c r="G59" s="79">
        <v>56000</v>
      </c>
      <c r="H59" s="79">
        <v>7560</v>
      </c>
      <c r="I59" s="79">
        <v>8356</v>
      </c>
      <c r="J59" s="79"/>
      <c r="K59" s="79"/>
      <c r="L59" s="79"/>
      <c r="M59" s="79"/>
      <c r="N59" s="79"/>
      <c r="O59" s="79"/>
      <c r="P59" s="79"/>
      <c r="Q59" s="79"/>
      <c r="R59" s="187"/>
      <c r="S59" s="81"/>
      <c r="T59" s="81"/>
      <c r="U59" s="81"/>
      <c r="V59" s="81"/>
      <c r="W59" s="81"/>
      <c r="X59" s="81"/>
    </row>
    <row r="60" spans="1:24" ht="13.5" customHeight="1">
      <c r="A60" s="186"/>
      <c r="B60" s="181"/>
      <c r="C60" s="182"/>
      <c r="D60" s="189" t="s">
        <v>765</v>
      </c>
      <c r="E60" s="82">
        <v>61650</v>
      </c>
      <c r="F60" s="77">
        <f t="shared" si="0"/>
        <v>71916</v>
      </c>
      <c r="G60" s="79">
        <v>56000</v>
      </c>
      <c r="H60" s="79">
        <v>7560</v>
      </c>
      <c r="I60" s="79">
        <v>2690</v>
      </c>
      <c r="J60" s="79"/>
      <c r="K60" s="79"/>
      <c r="L60" s="79"/>
      <c r="M60" s="79"/>
      <c r="N60" s="79">
        <v>5666</v>
      </c>
      <c r="O60" s="79"/>
      <c r="P60" s="79"/>
      <c r="Q60" s="79"/>
      <c r="R60" s="187"/>
      <c r="S60" s="81"/>
      <c r="T60" s="81"/>
      <c r="U60" s="81"/>
      <c r="V60" s="81"/>
      <c r="W60" s="81"/>
      <c r="X60" s="81"/>
    </row>
    <row r="61" spans="1:24" ht="13.5" customHeight="1">
      <c r="A61" s="186"/>
      <c r="B61" s="181"/>
      <c r="C61" s="182"/>
      <c r="D61" s="884" t="s">
        <v>944</v>
      </c>
      <c r="E61" s="82">
        <v>61650</v>
      </c>
      <c r="F61" s="77">
        <f t="shared" si="0"/>
        <v>71916</v>
      </c>
      <c r="G61" s="79">
        <v>56000</v>
      </c>
      <c r="H61" s="79">
        <v>7560</v>
      </c>
      <c r="I61" s="79">
        <v>2690</v>
      </c>
      <c r="J61" s="79"/>
      <c r="K61" s="79"/>
      <c r="L61" s="79"/>
      <c r="M61" s="79"/>
      <c r="N61" s="79">
        <v>5666</v>
      </c>
      <c r="O61" s="79"/>
      <c r="P61" s="79"/>
      <c r="Q61" s="79"/>
      <c r="R61" s="187"/>
      <c r="S61" s="81"/>
      <c r="T61" s="81"/>
      <c r="U61" s="81"/>
      <c r="V61" s="81"/>
      <c r="W61" s="81"/>
      <c r="X61" s="81"/>
    </row>
    <row r="62" spans="1:24" ht="13.5" customHeight="1">
      <c r="A62" s="186" t="s">
        <v>593</v>
      </c>
      <c r="B62" s="181" t="s">
        <v>624</v>
      </c>
      <c r="C62" s="182" t="s">
        <v>625</v>
      </c>
      <c r="D62" s="189" t="s">
        <v>123</v>
      </c>
      <c r="E62" s="82"/>
      <c r="F62" s="77">
        <f t="shared" si="0"/>
        <v>0</v>
      </c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187"/>
      <c r="S62" s="81"/>
      <c r="T62" s="81"/>
      <c r="U62" s="81"/>
      <c r="V62" s="81"/>
      <c r="W62" s="81"/>
      <c r="X62" s="81"/>
    </row>
    <row r="63" spans="1:24" ht="13.5" customHeight="1">
      <c r="A63" s="186"/>
      <c r="B63" s="181"/>
      <c r="C63" s="182"/>
      <c r="D63" s="189" t="s">
        <v>765</v>
      </c>
      <c r="E63" s="82"/>
      <c r="F63" s="77">
        <f t="shared" si="0"/>
        <v>0</v>
      </c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187"/>
      <c r="S63" s="81"/>
      <c r="T63" s="81"/>
      <c r="U63" s="81"/>
      <c r="V63" s="81"/>
      <c r="W63" s="81"/>
      <c r="X63" s="81"/>
    </row>
    <row r="64" spans="1:24" ht="13.5" customHeight="1">
      <c r="A64" s="186"/>
      <c r="B64" s="181"/>
      <c r="C64" s="182"/>
      <c r="D64" s="884" t="s">
        <v>944</v>
      </c>
      <c r="E64" s="82"/>
      <c r="F64" s="77">
        <f t="shared" si="0"/>
        <v>0</v>
      </c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187"/>
      <c r="S64" s="81"/>
      <c r="T64" s="81"/>
      <c r="U64" s="81"/>
      <c r="V64" s="81"/>
      <c r="W64" s="81"/>
      <c r="X64" s="81"/>
    </row>
    <row r="65" spans="1:18" ht="13.5" customHeight="1">
      <c r="A65" s="186" t="s">
        <v>593</v>
      </c>
      <c r="B65" s="181" t="s">
        <v>626</v>
      </c>
      <c r="C65" s="182" t="s">
        <v>627</v>
      </c>
      <c r="D65" s="189" t="s">
        <v>123</v>
      </c>
      <c r="E65" s="82"/>
      <c r="F65" s="77">
        <f t="shared" si="0"/>
        <v>14050</v>
      </c>
      <c r="G65" s="79"/>
      <c r="H65" s="79"/>
      <c r="I65" s="79">
        <v>14050</v>
      </c>
      <c r="J65" s="79"/>
      <c r="K65" s="79"/>
      <c r="L65" s="79"/>
      <c r="M65" s="79"/>
      <c r="N65" s="79"/>
      <c r="O65" s="79"/>
      <c r="P65" s="79"/>
      <c r="Q65" s="79"/>
      <c r="R65" s="187"/>
    </row>
    <row r="66" spans="1:18" ht="13.5" customHeight="1">
      <c r="A66" s="186"/>
      <c r="B66" s="181"/>
      <c r="C66" s="182"/>
      <c r="D66" s="189" t="s">
        <v>765</v>
      </c>
      <c r="E66" s="82"/>
      <c r="F66" s="77">
        <f t="shared" si="0"/>
        <v>14050</v>
      </c>
      <c r="G66" s="79"/>
      <c r="H66" s="79"/>
      <c r="I66" s="79">
        <v>14050</v>
      </c>
      <c r="J66" s="79"/>
      <c r="K66" s="79"/>
      <c r="L66" s="79"/>
      <c r="M66" s="79"/>
      <c r="N66" s="79"/>
      <c r="O66" s="79"/>
      <c r="P66" s="79"/>
      <c r="Q66" s="79"/>
      <c r="R66" s="187"/>
    </row>
    <row r="67" spans="1:18" ht="13.5" customHeight="1">
      <c r="A67" s="186"/>
      <c r="B67" s="181"/>
      <c r="C67" s="182"/>
      <c r="D67" s="884" t="s">
        <v>944</v>
      </c>
      <c r="E67" s="82"/>
      <c r="F67" s="77">
        <f t="shared" si="0"/>
        <v>14050</v>
      </c>
      <c r="G67" s="79"/>
      <c r="H67" s="79"/>
      <c r="I67" s="79">
        <v>14050</v>
      </c>
      <c r="J67" s="79"/>
      <c r="K67" s="79"/>
      <c r="L67" s="79"/>
      <c r="M67" s="79"/>
      <c r="N67" s="79"/>
      <c r="O67" s="79"/>
      <c r="P67" s="79"/>
      <c r="Q67" s="79"/>
      <c r="R67" s="187"/>
    </row>
    <row r="68" spans="1:18" ht="13.5" customHeight="1">
      <c r="A68" s="186" t="s">
        <v>593</v>
      </c>
      <c r="B68" s="181" t="s">
        <v>628</v>
      </c>
      <c r="C68" s="182" t="s">
        <v>629</v>
      </c>
      <c r="D68" s="189" t="s">
        <v>123</v>
      </c>
      <c r="E68" s="82">
        <v>234470</v>
      </c>
      <c r="F68" s="77">
        <f t="shared" si="0"/>
        <v>275482</v>
      </c>
      <c r="G68" s="79"/>
      <c r="H68" s="79"/>
      <c r="I68" s="79">
        <v>22866</v>
      </c>
      <c r="J68" s="79"/>
      <c r="K68" s="79"/>
      <c r="L68" s="79"/>
      <c r="M68" s="79">
        <v>53422</v>
      </c>
      <c r="N68" s="79">
        <v>184732</v>
      </c>
      <c r="O68" s="79">
        <v>14462</v>
      </c>
      <c r="P68" s="79"/>
      <c r="Q68" s="79"/>
      <c r="R68" s="187"/>
    </row>
    <row r="69" spans="1:18" ht="13.5" customHeight="1">
      <c r="A69" s="186"/>
      <c r="B69" s="181"/>
      <c r="C69" s="182"/>
      <c r="D69" s="189" t="s">
        <v>765</v>
      </c>
      <c r="E69" s="82">
        <v>234470</v>
      </c>
      <c r="F69" s="77">
        <f t="shared" si="0"/>
        <v>349753</v>
      </c>
      <c r="G69" s="79">
        <v>1676</v>
      </c>
      <c r="H69" s="79">
        <v>407</v>
      </c>
      <c r="I69" s="79">
        <v>22866</v>
      </c>
      <c r="J69" s="79"/>
      <c r="K69" s="79"/>
      <c r="L69" s="79"/>
      <c r="M69" s="79">
        <v>46500</v>
      </c>
      <c r="N69" s="79">
        <v>263842</v>
      </c>
      <c r="O69" s="79">
        <v>14462</v>
      </c>
      <c r="P69" s="79"/>
      <c r="Q69" s="79"/>
      <c r="R69" s="187"/>
    </row>
    <row r="70" spans="1:18" ht="13.5" customHeight="1">
      <c r="A70" s="186"/>
      <c r="B70" s="181"/>
      <c r="C70" s="182"/>
      <c r="D70" s="884" t="s">
        <v>944</v>
      </c>
      <c r="E70" s="82">
        <v>234470</v>
      </c>
      <c r="F70" s="77">
        <f t="shared" si="0"/>
        <v>374753</v>
      </c>
      <c r="G70" s="79">
        <v>1676</v>
      </c>
      <c r="H70" s="79">
        <v>407</v>
      </c>
      <c r="I70" s="79">
        <v>22866</v>
      </c>
      <c r="J70" s="79"/>
      <c r="K70" s="79"/>
      <c r="L70" s="79"/>
      <c r="M70" s="79">
        <v>71500</v>
      </c>
      <c r="N70" s="79">
        <v>263842</v>
      </c>
      <c r="O70" s="79">
        <v>14462</v>
      </c>
      <c r="P70" s="79"/>
      <c r="Q70" s="79"/>
      <c r="R70" s="187"/>
    </row>
    <row r="71" spans="1:18" ht="13.5" customHeight="1">
      <c r="A71" s="186" t="s">
        <v>593</v>
      </c>
      <c r="B71" s="181" t="s">
        <v>630</v>
      </c>
      <c r="C71" s="182" t="s">
        <v>631</v>
      </c>
      <c r="D71" s="189" t="s">
        <v>123</v>
      </c>
      <c r="E71" s="82"/>
      <c r="F71" s="77">
        <f t="shared" si="0"/>
        <v>0</v>
      </c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187"/>
    </row>
    <row r="72" spans="1:18" ht="13.5" customHeight="1">
      <c r="A72" s="186"/>
      <c r="B72" s="181"/>
      <c r="C72" s="182"/>
      <c r="D72" s="189" t="s">
        <v>765</v>
      </c>
      <c r="E72" s="82"/>
      <c r="F72" s="77">
        <f t="shared" si="0"/>
        <v>0</v>
      </c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187"/>
    </row>
    <row r="73" spans="1:18" ht="13.5" customHeight="1">
      <c r="A73" s="186"/>
      <c r="B73" s="181"/>
      <c r="C73" s="182"/>
      <c r="D73" s="884" t="s">
        <v>944</v>
      </c>
      <c r="E73" s="82"/>
      <c r="F73" s="77">
        <f t="shared" si="0"/>
        <v>0</v>
      </c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187"/>
    </row>
    <row r="74" spans="1:24" ht="13.5" customHeight="1">
      <c r="A74" s="186" t="s">
        <v>593</v>
      </c>
      <c r="B74" s="181" t="s">
        <v>632</v>
      </c>
      <c r="C74" s="182" t="s">
        <v>633</v>
      </c>
      <c r="D74" s="189" t="s">
        <v>123</v>
      </c>
      <c r="E74" s="82"/>
      <c r="F74" s="77">
        <f t="shared" si="0"/>
        <v>51580</v>
      </c>
      <c r="G74" s="79"/>
      <c r="H74" s="79"/>
      <c r="I74" s="79">
        <v>51580</v>
      </c>
      <c r="J74" s="79"/>
      <c r="K74" s="82"/>
      <c r="L74" s="82"/>
      <c r="M74" s="82"/>
      <c r="N74" s="79"/>
      <c r="O74" s="79"/>
      <c r="P74" s="79"/>
      <c r="Q74" s="79"/>
      <c r="R74" s="187"/>
      <c r="S74" s="81"/>
      <c r="T74" s="81"/>
      <c r="U74" s="81"/>
      <c r="V74" s="81"/>
      <c r="W74" s="81"/>
      <c r="X74" s="81"/>
    </row>
    <row r="75" spans="1:24" ht="13.5" customHeight="1">
      <c r="A75" s="186"/>
      <c r="B75" s="181"/>
      <c r="C75" s="182"/>
      <c r="D75" s="189" t="s">
        <v>765</v>
      </c>
      <c r="E75" s="82"/>
      <c r="F75" s="77">
        <f t="shared" si="0"/>
        <v>51580</v>
      </c>
      <c r="G75" s="79"/>
      <c r="H75" s="79"/>
      <c r="I75" s="79">
        <v>51580</v>
      </c>
      <c r="J75" s="79"/>
      <c r="K75" s="82"/>
      <c r="L75" s="82"/>
      <c r="M75" s="82"/>
      <c r="N75" s="79"/>
      <c r="O75" s="79"/>
      <c r="P75" s="79"/>
      <c r="Q75" s="79"/>
      <c r="R75" s="187"/>
      <c r="S75" s="81"/>
      <c r="T75" s="81"/>
      <c r="U75" s="81"/>
      <c r="V75" s="81"/>
      <c r="W75" s="81"/>
      <c r="X75" s="81"/>
    </row>
    <row r="76" spans="1:24" ht="13.5" customHeight="1">
      <c r="A76" s="186"/>
      <c r="B76" s="181"/>
      <c r="C76" s="182"/>
      <c r="D76" s="884" t="s">
        <v>944</v>
      </c>
      <c r="E76" s="82"/>
      <c r="F76" s="77">
        <f t="shared" si="0"/>
        <v>51580</v>
      </c>
      <c r="G76" s="79"/>
      <c r="H76" s="79"/>
      <c r="I76" s="79">
        <v>51580</v>
      </c>
      <c r="J76" s="79"/>
      <c r="K76" s="82"/>
      <c r="L76" s="82"/>
      <c r="M76" s="82"/>
      <c r="N76" s="79"/>
      <c r="O76" s="79"/>
      <c r="P76" s="79"/>
      <c r="Q76" s="79"/>
      <c r="R76" s="187"/>
      <c r="S76" s="81"/>
      <c r="T76" s="81"/>
      <c r="U76" s="81"/>
      <c r="V76" s="81"/>
      <c r="W76" s="81"/>
      <c r="X76" s="81"/>
    </row>
    <row r="77" spans="1:24" ht="13.5" customHeight="1">
      <c r="A77" s="186" t="s">
        <v>596</v>
      </c>
      <c r="B77" s="181" t="s">
        <v>634</v>
      </c>
      <c r="C77" s="182" t="s">
        <v>635</v>
      </c>
      <c r="D77" s="189" t="s">
        <v>123</v>
      </c>
      <c r="E77" s="82">
        <v>6000</v>
      </c>
      <c r="F77" s="77">
        <f t="shared" si="0"/>
        <v>36830</v>
      </c>
      <c r="G77" s="79"/>
      <c r="H77" s="79"/>
      <c r="I77" s="79"/>
      <c r="J77" s="79">
        <v>36830</v>
      </c>
      <c r="K77" s="79"/>
      <c r="L77" s="79"/>
      <c r="M77" s="79"/>
      <c r="N77" s="79"/>
      <c r="O77" s="79"/>
      <c r="P77" s="79"/>
      <c r="Q77" s="79"/>
      <c r="R77" s="187"/>
      <c r="S77" s="81"/>
      <c r="T77" s="81"/>
      <c r="U77" s="81"/>
      <c r="V77" s="81"/>
      <c r="W77" s="81"/>
      <c r="X77" s="81"/>
    </row>
    <row r="78" spans="1:24" ht="13.5" customHeight="1">
      <c r="A78" s="186"/>
      <c r="B78" s="181"/>
      <c r="C78" s="182"/>
      <c r="D78" s="189" t="s">
        <v>765</v>
      </c>
      <c r="E78" s="82">
        <v>6000</v>
      </c>
      <c r="F78" s="77">
        <f t="shared" si="0"/>
        <v>36830</v>
      </c>
      <c r="G78" s="79"/>
      <c r="H78" s="79"/>
      <c r="I78" s="79"/>
      <c r="J78" s="79">
        <v>36830</v>
      </c>
      <c r="K78" s="79"/>
      <c r="L78" s="79"/>
      <c r="M78" s="79"/>
      <c r="N78" s="79"/>
      <c r="O78" s="79"/>
      <c r="P78" s="79"/>
      <c r="Q78" s="79"/>
      <c r="R78" s="187"/>
      <c r="S78" s="81"/>
      <c r="T78" s="81"/>
      <c r="U78" s="81"/>
      <c r="V78" s="81"/>
      <c r="W78" s="81"/>
      <c r="X78" s="81"/>
    </row>
    <row r="79" spans="1:24" ht="13.5" customHeight="1" thickBot="1">
      <c r="A79" s="194"/>
      <c r="B79" s="338"/>
      <c r="C79" s="339"/>
      <c r="D79" s="925" t="s">
        <v>944</v>
      </c>
      <c r="E79" s="340">
        <v>6300</v>
      </c>
      <c r="F79" s="631">
        <f t="shared" si="0"/>
        <v>44608</v>
      </c>
      <c r="G79" s="632"/>
      <c r="H79" s="632"/>
      <c r="I79" s="632"/>
      <c r="J79" s="632">
        <v>44608</v>
      </c>
      <c r="K79" s="632"/>
      <c r="L79" s="632"/>
      <c r="M79" s="632"/>
      <c r="N79" s="632"/>
      <c r="O79" s="632"/>
      <c r="P79" s="632"/>
      <c r="Q79" s="632"/>
      <c r="R79" s="625"/>
      <c r="S79" s="81"/>
      <c r="T79" s="81"/>
      <c r="U79" s="81"/>
      <c r="V79" s="81"/>
      <c r="W79" s="81"/>
      <c r="X79" s="81"/>
    </row>
    <row r="80" spans="1:18" ht="13.5" customHeight="1">
      <c r="A80" s="887" t="s">
        <v>593</v>
      </c>
      <c r="B80" s="342" t="s">
        <v>636</v>
      </c>
      <c r="C80" s="630" t="s">
        <v>637</v>
      </c>
      <c r="D80" s="888" t="s">
        <v>123</v>
      </c>
      <c r="E80" s="344"/>
      <c r="F80" s="344">
        <f t="shared" si="0"/>
        <v>23545</v>
      </c>
      <c r="G80" s="445"/>
      <c r="H80" s="445"/>
      <c r="I80" s="445">
        <v>23545</v>
      </c>
      <c r="J80" s="445"/>
      <c r="K80" s="445"/>
      <c r="L80" s="445"/>
      <c r="M80" s="445"/>
      <c r="N80" s="445"/>
      <c r="O80" s="445"/>
      <c r="P80" s="445"/>
      <c r="Q80" s="445"/>
      <c r="R80" s="889"/>
    </row>
    <row r="81" spans="1:18" ht="13.5" customHeight="1">
      <c r="A81" s="186"/>
      <c r="B81" s="181"/>
      <c r="C81" s="188"/>
      <c r="D81" s="189" t="s">
        <v>765</v>
      </c>
      <c r="E81" s="82"/>
      <c r="F81" s="77">
        <f t="shared" si="0"/>
        <v>23545</v>
      </c>
      <c r="G81" s="79"/>
      <c r="H81" s="79"/>
      <c r="I81" s="79">
        <v>23545</v>
      </c>
      <c r="J81" s="79"/>
      <c r="K81" s="79"/>
      <c r="L81" s="79"/>
      <c r="M81" s="79"/>
      <c r="N81" s="79"/>
      <c r="O81" s="79"/>
      <c r="P81" s="79"/>
      <c r="Q81" s="79"/>
      <c r="R81" s="187"/>
    </row>
    <row r="82" spans="1:18" ht="13.5" customHeight="1">
      <c r="A82" s="186"/>
      <c r="B82" s="181"/>
      <c r="C82" s="188"/>
      <c r="D82" s="884" t="s">
        <v>944</v>
      </c>
      <c r="E82" s="82"/>
      <c r="F82" s="77">
        <f t="shared" si="0"/>
        <v>32435</v>
      </c>
      <c r="G82" s="79"/>
      <c r="H82" s="79"/>
      <c r="I82" s="79">
        <v>32435</v>
      </c>
      <c r="J82" s="79"/>
      <c r="K82" s="79"/>
      <c r="L82" s="79"/>
      <c r="M82" s="79"/>
      <c r="N82" s="79"/>
      <c r="O82" s="79"/>
      <c r="P82" s="79"/>
      <c r="Q82" s="79"/>
      <c r="R82" s="187"/>
    </row>
    <row r="83" spans="1:18" ht="13.5" customHeight="1">
      <c r="A83" s="186" t="s">
        <v>593</v>
      </c>
      <c r="B83" s="181" t="s">
        <v>638</v>
      </c>
      <c r="C83" s="182" t="s">
        <v>639</v>
      </c>
      <c r="D83" s="189" t="s">
        <v>123</v>
      </c>
      <c r="E83" s="82">
        <v>22804</v>
      </c>
      <c r="F83" s="77">
        <f t="shared" si="0"/>
        <v>51948</v>
      </c>
      <c r="G83" s="79"/>
      <c r="H83" s="79"/>
      <c r="I83" s="79">
        <v>19144</v>
      </c>
      <c r="J83" s="79"/>
      <c r="K83" s="79"/>
      <c r="L83" s="79"/>
      <c r="M83" s="79">
        <v>32804</v>
      </c>
      <c r="N83" s="79"/>
      <c r="O83" s="79"/>
      <c r="P83" s="79"/>
      <c r="Q83" s="79"/>
      <c r="R83" s="187"/>
    </row>
    <row r="84" spans="1:18" ht="13.5" customHeight="1">
      <c r="A84" s="186"/>
      <c r="B84" s="181"/>
      <c r="C84" s="182"/>
      <c r="D84" s="189" t="s">
        <v>765</v>
      </c>
      <c r="E84" s="82">
        <v>22805</v>
      </c>
      <c r="F84" s="77">
        <f t="shared" si="0"/>
        <v>51949</v>
      </c>
      <c r="G84" s="79"/>
      <c r="H84" s="79"/>
      <c r="I84" s="79">
        <v>19144</v>
      </c>
      <c r="J84" s="79"/>
      <c r="K84" s="79"/>
      <c r="L84" s="79"/>
      <c r="M84" s="79">
        <v>32804</v>
      </c>
      <c r="N84" s="79"/>
      <c r="O84" s="79">
        <v>1</v>
      </c>
      <c r="P84" s="79"/>
      <c r="Q84" s="79"/>
      <c r="R84" s="187"/>
    </row>
    <row r="85" spans="1:18" ht="13.5" customHeight="1">
      <c r="A85" s="186"/>
      <c r="B85" s="181"/>
      <c r="C85" s="182"/>
      <c r="D85" s="884" t="s">
        <v>944</v>
      </c>
      <c r="E85" s="82">
        <v>22805</v>
      </c>
      <c r="F85" s="77">
        <f t="shared" si="0"/>
        <v>51949</v>
      </c>
      <c r="G85" s="79"/>
      <c r="H85" s="79"/>
      <c r="I85" s="79">
        <v>19144</v>
      </c>
      <c r="J85" s="79"/>
      <c r="K85" s="79"/>
      <c r="L85" s="79"/>
      <c r="M85" s="79">
        <v>32804</v>
      </c>
      <c r="N85" s="79"/>
      <c r="O85" s="79">
        <v>1</v>
      </c>
      <c r="P85" s="79"/>
      <c r="Q85" s="79"/>
      <c r="R85" s="187"/>
    </row>
    <row r="86" spans="1:24" ht="13.5" customHeight="1">
      <c r="A86" s="186" t="s">
        <v>593</v>
      </c>
      <c r="B86" s="181" t="s">
        <v>640</v>
      </c>
      <c r="C86" s="182" t="s">
        <v>641</v>
      </c>
      <c r="D86" s="189" t="s">
        <v>123</v>
      </c>
      <c r="E86" s="82">
        <v>429709</v>
      </c>
      <c r="F86" s="77">
        <f t="shared" si="0"/>
        <v>459444</v>
      </c>
      <c r="G86" s="80">
        <v>1270</v>
      </c>
      <c r="H86" s="80">
        <v>650</v>
      </c>
      <c r="I86" s="80">
        <v>29385</v>
      </c>
      <c r="J86" s="80"/>
      <c r="K86" s="80"/>
      <c r="L86" s="80"/>
      <c r="M86" s="80"/>
      <c r="N86" s="80">
        <v>428139</v>
      </c>
      <c r="O86" s="80"/>
      <c r="P86" s="80"/>
      <c r="Q86" s="80"/>
      <c r="R86" s="187"/>
      <c r="S86" s="81"/>
      <c r="T86" s="81"/>
      <c r="U86" s="81"/>
      <c r="V86" s="81"/>
      <c r="W86" s="81"/>
      <c r="X86" s="81"/>
    </row>
    <row r="87" spans="1:24" ht="13.5" customHeight="1">
      <c r="A87" s="186"/>
      <c r="B87" s="181"/>
      <c r="C87" s="182"/>
      <c r="D87" s="189" t="s">
        <v>765</v>
      </c>
      <c r="E87" s="82">
        <v>429709</v>
      </c>
      <c r="F87" s="77">
        <f t="shared" si="0"/>
        <v>459444</v>
      </c>
      <c r="G87" s="80">
        <v>1270</v>
      </c>
      <c r="H87" s="80">
        <v>650</v>
      </c>
      <c r="I87" s="80">
        <v>29385</v>
      </c>
      <c r="J87" s="80"/>
      <c r="K87" s="80"/>
      <c r="L87" s="80"/>
      <c r="M87" s="80"/>
      <c r="N87" s="80">
        <v>428139</v>
      </c>
      <c r="O87" s="80"/>
      <c r="P87" s="80"/>
      <c r="Q87" s="80"/>
      <c r="R87" s="187"/>
      <c r="S87" s="81"/>
      <c r="T87" s="81"/>
      <c r="U87" s="81"/>
      <c r="V87" s="81"/>
      <c r="W87" s="81"/>
      <c r="X87" s="81"/>
    </row>
    <row r="88" spans="1:24" ht="13.5" customHeight="1">
      <c r="A88" s="186"/>
      <c r="B88" s="181"/>
      <c r="C88" s="182"/>
      <c r="D88" s="884" t="s">
        <v>944</v>
      </c>
      <c r="E88" s="82">
        <v>429709</v>
      </c>
      <c r="F88" s="77">
        <f t="shared" si="0"/>
        <v>459255</v>
      </c>
      <c r="G88" s="80">
        <v>5780</v>
      </c>
      <c r="H88" s="80">
        <v>1746</v>
      </c>
      <c r="I88" s="80">
        <v>31856</v>
      </c>
      <c r="J88" s="80"/>
      <c r="K88" s="80"/>
      <c r="L88" s="80"/>
      <c r="M88" s="80"/>
      <c r="N88" s="80">
        <v>419873</v>
      </c>
      <c r="O88" s="80"/>
      <c r="P88" s="80"/>
      <c r="Q88" s="80"/>
      <c r="R88" s="187"/>
      <c r="S88" s="81"/>
      <c r="T88" s="81"/>
      <c r="U88" s="81"/>
      <c r="V88" s="81"/>
      <c r="W88" s="81"/>
      <c r="X88" s="81"/>
    </row>
    <row r="89" spans="1:24" ht="13.5" customHeight="1">
      <c r="A89" s="186" t="s">
        <v>593</v>
      </c>
      <c r="B89" s="181" t="s">
        <v>640</v>
      </c>
      <c r="C89" s="182" t="s">
        <v>642</v>
      </c>
      <c r="D89" s="189" t="s">
        <v>123</v>
      </c>
      <c r="E89" s="82">
        <v>7500</v>
      </c>
      <c r="F89" s="77">
        <f t="shared" si="0"/>
        <v>22440</v>
      </c>
      <c r="G89" s="80">
        <v>21240</v>
      </c>
      <c r="H89" s="80">
        <v>1200</v>
      </c>
      <c r="I89" s="80"/>
      <c r="J89" s="80"/>
      <c r="K89" s="80"/>
      <c r="L89" s="80"/>
      <c r="M89" s="80"/>
      <c r="N89" s="80"/>
      <c r="O89" s="80"/>
      <c r="P89" s="80"/>
      <c r="Q89" s="80"/>
      <c r="R89" s="187"/>
      <c r="S89" s="81"/>
      <c r="T89" s="81"/>
      <c r="U89" s="81"/>
      <c r="V89" s="81"/>
      <c r="W89" s="81"/>
      <c r="X89" s="81"/>
    </row>
    <row r="90" spans="1:24" ht="13.5" customHeight="1">
      <c r="A90" s="186"/>
      <c r="B90" s="181"/>
      <c r="C90" s="182"/>
      <c r="D90" s="189" t="s">
        <v>765</v>
      </c>
      <c r="E90" s="82">
        <v>7500</v>
      </c>
      <c r="F90" s="77">
        <f t="shared" si="0"/>
        <v>22440</v>
      </c>
      <c r="G90" s="80">
        <v>21240</v>
      </c>
      <c r="H90" s="80">
        <v>1200</v>
      </c>
      <c r="I90" s="80"/>
      <c r="J90" s="80"/>
      <c r="K90" s="80"/>
      <c r="L90" s="80"/>
      <c r="M90" s="80"/>
      <c r="N90" s="80"/>
      <c r="O90" s="80"/>
      <c r="P90" s="80"/>
      <c r="Q90" s="80"/>
      <c r="R90" s="187"/>
      <c r="S90" s="81"/>
      <c r="T90" s="81"/>
      <c r="U90" s="81"/>
      <c r="V90" s="81"/>
      <c r="W90" s="81"/>
      <c r="X90" s="81"/>
    </row>
    <row r="91" spans="1:24" ht="13.5" customHeight="1">
      <c r="A91" s="186"/>
      <c r="B91" s="181"/>
      <c r="C91" s="182"/>
      <c r="D91" s="884" t="s">
        <v>944</v>
      </c>
      <c r="E91" s="82">
        <v>7500</v>
      </c>
      <c r="F91" s="77">
        <f t="shared" si="0"/>
        <v>22440</v>
      </c>
      <c r="G91" s="80">
        <v>21240</v>
      </c>
      <c r="H91" s="80">
        <v>1200</v>
      </c>
      <c r="I91" s="80"/>
      <c r="J91" s="80"/>
      <c r="K91" s="80"/>
      <c r="L91" s="80"/>
      <c r="M91" s="80"/>
      <c r="N91" s="80"/>
      <c r="O91" s="80"/>
      <c r="P91" s="80"/>
      <c r="Q91" s="80"/>
      <c r="R91" s="187"/>
      <c r="S91" s="81"/>
      <c r="T91" s="81"/>
      <c r="U91" s="81"/>
      <c r="V91" s="81"/>
      <c r="W91" s="81"/>
      <c r="X91" s="81"/>
    </row>
    <row r="92" spans="1:24" ht="13.5" customHeight="1">
      <c r="A92" s="186" t="s">
        <v>596</v>
      </c>
      <c r="B92" s="181" t="s">
        <v>643</v>
      </c>
      <c r="C92" s="182" t="s">
        <v>644</v>
      </c>
      <c r="D92" s="189" t="s">
        <v>123</v>
      </c>
      <c r="E92" s="82">
        <v>2200</v>
      </c>
      <c r="F92" s="77">
        <f t="shared" si="0"/>
        <v>3500</v>
      </c>
      <c r="G92" s="80"/>
      <c r="H92" s="80"/>
      <c r="I92" s="80"/>
      <c r="J92" s="80"/>
      <c r="K92" s="80"/>
      <c r="L92" s="80"/>
      <c r="M92" s="80"/>
      <c r="N92" s="80"/>
      <c r="O92" s="80">
        <v>3500</v>
      </c>
      <c r="P92" s="80"/>
      <c r="Q92" s="80"/>
      <c r="R92" s="187"/>
      <c r="S92" s="81"/>
      <c r="T92" s="81"/>
      <c r="U92" s="81"/>
      <c r="V92" s="81"/>
      <c r="W92" s="81"/>
      <c r="X92" s="81"/>
    </row>
    <row r="93" spans="1:24" ht="13.5" customHeight="1">
      <c r="A93" s="186"/>
      <c r="B93" s="181"/>
      <c r="C93" s="182"/>
      <c r="D93" s="189" t="s">
        <v>765</v>
      </c>
      <c r="E93" s="82">
        <v>2200</v>
      </c>
      <c r="F93" s="77">
        <f t="shared" si="0"/>
        <v>3500</v>
      </c>
      <c r="G93" s="80"/>
      <c r="H93" s="80"/>
      <c r="I93" s="80"/>
      <c r="J93" s="80"/>
      <c r="K93" s="80"/>
      <c r="L93" s="80"/>
      <c r="M93" s="80"/>
      <c r="N93" s="80"/>
      <c r="O93" s="80">
        <v>3500</v>
      </c>
      <c r="P93" s="80"/>
      <c r="Q93" s="80"/>
      <c r="R93" s="187"/>
      <c r="S93" s="81"/>
      <c r="T93" s="81"/>
      <c r="U93" s="81"/>
      <c r="V93" s="81"/>
      <c r="W93" s="81"/>
      <c r="X93" s="81"/>
    </row>
    <row r="94" spans="1:24" ht="13.5" customHeight="1">
      <c r="A94" s="186"/>
      <c r="B94" s="181"/>
      <c r="C94" s="182"/>
      <c r="D94" s="884" t="s">
        <v>944</v>
      </c>
      <c r="E94" s="82">
        <v>2200</v>
      </c>
      <c r="F94" s="77">
        <f t="shared" si="0"/>
        <v>3350</v>
      </c>
      <c r="G94" s="80"/>
      <c r="H94" s="80"/>
      <c r="I94" s="80"/>
      <c r="J94" s="80"/>
      <c r="K94" s="80"/>
      <c r="L94" s="80"/>
      <c r="M94" s="80"/>
      <c r="N94" s="80"/>
      <c r="O94" s="80">
        <v>3350</v>
      </c>
      <c r="P94" s="80"/>
      <c r="Q94" s="80"/>
      <c r="R94" s="187"/>
      <c r="S94" s="81"/>
      <c r="T94" s="81"/>
      <c r="U94" s="81"/>
      <c r="V94" s="81"/>
      <c r="W94" s="81"/>
      <c r="X94" s="81"/>
    </row>
    <row r="95" spans="1:18" ht="13.5" customHeight="1">
      <c r="A95" s="186" t="s">
        <v>593</v>
      </c>
      <c r="B95" s="181" t="s">
        <v>645</v>
      </c>
      <c r="C95" s="189" t="s">
        <v>646</v>
      </c>
      <c r="D95" s="189" t="s">
        <v>123</v>
      </c>
      <c r="E95" s="82">
        <v>196</v>
      </c>
      <c r="F95" s="77">
        <f t="shared" si="0"/>
        <v>18838</v>
      </c>
      <c r="G95" s="79"/>
      <c r="H95" s="79"/>
      <c r="I95" s="79">
        <v>642</v>
      </c>
      <c r="J95" s="79"/>
      <c r="K95" s="79"/>
      <c r="L95" s="79"/>
      <c r="M95" s="79">
        <v>196</v>
      </c>
      <c r="N95" s="79">
        <v>18000</v>
      </c>
      <c r="O95" s="79"/>
      <c r="P95" s="79"/>
      <c r="Q95" s="79"/>
      <c r="R95" s="187"/>
    </row>
    <row r="96" spans="1:18" ht="13.5" customHeight="1">
      <c r="A96" s="186"/>
      <c r="B96" s="181"/>
      <c r="C96" s="189"/>
      <c r="D96" s="189" t="s">
        <v>765</v>
      </c>
      <c r="E96" s="82">
        <v>196</v>
      </c>
      <c r="F96" s="77">
        <f t="shared" si="0"/>
        <v>18838</v>
      </c>
      <c r="G96" s="79"/>
      <c r="H96" s="79"/>
      <c r="I96" s="79">
        <v>642</v>
      </c>
      <c r="J96" s="79"/>
      <c r="K96" s="79"/>
      <c r="L96" s="79"/>
      <c r="M96" s="79">
        <v>196</v>
      </c>
      <c r="N96" s="79">
        <v>18000</v>
      </c>
      <c r="O96" s="79"/>
      <c r="P96" s="79"/>
      <c r="Q96" s="79"/>
      <c r="R96" s="187"/>
    </row>
    <row r="97" spans="1:18" ht="13.5" customHeight="1">
      <c r="A97" s="186"/>
      <c r="B97" s="181"/>
      <c r="C97" s="189"/>
      <c r="D97" s="884" t="s">
        <v>944</v>
      </c>
      <c r="E97" s="82">
        <v>196</v>
      </c>
      <c r="F97" s="77">
        <f t="shared" si="0"/>
        <v>18838</v>
      </c>
      <c r="G97" s="79"/>
      <c r="H97" s="79"/>
      <c r="I97" s="79">
        <v>642</v>
      </c>
      <c r="J97" s="79"/>
      <c r="K97" s="79"/>
      <c r="L97" s="79"/>
      <c r="M97" s="79">
        <v>196</v>
      </c>
      <c r="N97" s="79">
        <v>18000</v>
      </c>
      <c r="O97" s="79"/>
      <c r="P97" s="79"/>
      <c r="Q97" s="79"/>
      <c r="R97" s="187"/>
    </row>
    <row r="98" spans="1:24" ht="13.5" customHeight="1">
      <c r="A98" s="186" t="s">
        <v>593</v>
      </c>
      <c r="B98" s="181" t="s">
        <v>647</v>
      </c>
      <c r="C98" s="182" t="s">
        <v>648</v>
      </c>
      <c r="D98" s="189" t="s">
        <v>123</v>
      </c>
      <c r="E98" s="82">
        <v>143859</v>
      </c>
      <c r="F98" s="77">
        <f t="shared" si="0"/>
        <v>231450</v>
      </c>
      <c r="G98" s="80"/>
      <c r="H98" s="80"/>
      <c r="I98" s="80">
        <v>55850</v>
      </c>
      <c r="J98" s="80"/>
      <c r="K98" s="80"/>
      <c r="L98" s="80"/>
      <c r="M98" s="80">
        <v>6600</v>
      </c>
      <c r="N98" s="80">
        <v>169000</v>
      </c>
      <c r="O98" s="83"/>
      <c r="P98" s="80"/>
      <c r="Q98" s="80"/>
      <c r="R98" s="187"/>
      <c r="S98" s="81"/>
      <c r="T98" s="81"/>
      <c r="U98" s="81"/>
      <c r="V98" s="81"/>
      <c r="W98" s="81"/>
      <c r="X98" s="81"/>
    </row>
    <row r="99" spans="1:24" ht="13.5" customHeight="1">
      <c r="A99" s="186"/>
      <c r="B99" s="181"/>
      <c r="C99" s="182"/>
      <c r="D99" s="189" t="s">
        <v>765</v>
      </c>
      <c r="E99" s="82">
        <v>143859</v>
      </c>
      <c r="F99" s="77">
        <f t="shared" si="0"/>
        <v>231450</v>
      </c>
      <c r="G99" s="80"/>
      <c r="H99" s="80"/>
      <c r="I99" s="80">
        <v>55850</v>
      </c>
      <c r="J99" s="80"/>
      <c r="K99" s="80"/>
      <c r="L99" s="80"/>
      <c r="M99" s="80">
        <v>6600</v>
      </c>
      <c r="N99" s="80">
        <v>169000</v>
      </c>
      <c r="O99" s="83"/>
      <c r="P99" s="80"/>
      <c r="Q99" s="80"/>
      <c r="R99" s="187"/>
      <c r="S99" s="81"/>
      <c r="T99" s="81"/>
      <c r="U99" s="81"/>
      <c r="V99" s="81"/>
      <c r="W99" s="81"/>
      <c r="X99" s="81"/>
    </row>
    <row r="100" spans="1:24" ht="13.5" customHeight="1">
      <c r="A100" s="186"/>
      <c r="B100" s="181"/>
      <c r="C100" s="182"/>
      <c r="D100" s="884" t="s">
        <v>944</v>
      </c>
      <c r="E100" s="82">
        <v>143859</v>
      </c>
      <c r="F100" s="77">
        <f t="shared" si="0"/>
        <v>231450</v>
      </c>
      <c r="G100" s="80">
        <v>2070</v>
      </c>
      <c r="H100" s="80">
        <v>504</v>
      </c>
      <c r="I100" s="80">
        <v>55850</v>
      </c>
      <c r="J100" s="80"/>
      <c r="K100" s="80"/>
      <c r="L100" s="80"/>
      <c r="M100" s="80">
        <v>6600</v>
      </c>
      <c r="N100" s="80">
        <v>166426</v>
      </c>
      <c r="O100" s="83"/>
      <c r="P100" s="80"/>
      <c r="Q100" s="80"/>
      <c r="R100" s="187"/>
      <c r="S100" s="81"/>
      <c r="T100" s="81"/>
      <c r="U100" s="81"/>
      <c r="V100" s="81"/>
      <c r="W100" s="81"/>
      <c r="X100" s="81"/>
    </row>
    <row r="101" spans="1:24" ht="13.5" customHeight="1">
      <c r="A101" s="186" t="s">
        <v>593</v>
      </c>
      <c r="B101" s="181" t="s">
        <v>649</v>
      </c>
      <c r="C101" s="182" t="s">
        <v>650</v>
      </c>
      <c r="D101" s="189" t="s">
        <v>123</v>
      </c>
      <c r="E101" s="82"/>
      <c r="F101" s="77">
        <f t="shared" si="0"/>
        <v>68740</v>
      </c>
      <c r="G101" s="79"/>
      <c r="H101" s="79"/>
      <c r="I101" s="79">
        <v>66740</v>
      </c>
      <c r="J101" s="79"/>
      <c r="K101" s="79"/>
      <c r="L101" s="79"/>
      <c r="M101" s="79">
        <v>2000</v>
      </c>
      <c r="N101" s="79"/>
      <c r="O101" s="79"/>
      <c r="P101" s="79"/>
      <c r="Q101" s="79"/>
      <c r="R101" s="187"/>
      <c r="S101" s="81"/>
      <c r="T101" s="81"/>
      <c r="U101" s="81"/>
      <c r="V101" s="81"/>
      <c r="W101" s="81"/>
      <c r="X101" s="81"/>
    </row>
    <row r="102" spans="1:24" ht="13.5" customHeight="1">
      <c r="A102" s="186"/>
      <c r="B102" s="181"/>
      <c r="C102" s="182"/>
      <c r="D102" s="189" t="s">
        <v>765</v>
      </c>
      <c r="E102" s="82"/>
      <c r="F102" s="77">
        <f t="shared" si="0"/>
        <v>68740</v>
      </c>
      <c r="G102" s="79"/>
      <c r="H102" s="79"/>
      <c r="I102" s="79">
        <v>66740</v>
      </c>
      <c r="J102" s="79"/>
      <c r="K102" s="79"/>
      <c r="L102" s="79"/>
      <c r="M102" s="79">
        <v>2000</v>
      </c>
      <c r="N102" s="79"/>
      <c r="O102" s="79"/>
      <c r="P102" s="79"/>
      <c r="Q102" s="79"/>
      <c r="R102" s="187"/>
      <c r="S102" s="81"/>
      <c r="T102" s="81"/>
      <c r="U102" s="81"/>
      <c r="V102" s="81"/>
      <c r="W102" s="81"/>
      <c r="X102" s="81"/>
    </row>
    <row r="103" spans="1:24" ht="13.5" customHeight="1">
      <c r="A103" s="186"/>
      <c r="B103" s="181"/>
      <c r="C103" s="182"/>
      <c r="D103" s="884" t="s">
        <v>944</v>
      </c>
      <c r="E103" s="82"/>
      <c r="F103" s="77">
        <f t="shared" si="0"/>
        <v>71670</v>
      </c>
      <c r="G103" s="79"/>
      <c r="H103" s="79"/>
      <c r="I103" s="79">
        <v>69670</v>
      </c>
      <c r="J103" s="79"/>
      <c r="K103" s="79"/>
      <c r="L103" s="79"/>
      <c r="M103" s="79">
        <v>2000</v>
      </c>
      <c r="N103" s="79"/>
      <c r="O103" s="79"/>
      <c r="P103" s="79"/>
      <c r="Q103" s="79"/>
      <c r="R103" s="187"/>
      <c r="S103" s="81"/>
      <c r="T103" s="81"/>
      <c r="U103" s="81"/>
      <c r="V103" s="81"/>
      <c r="W103" s="81"/>
      <c r="X103" s="81"/>
    </row>
    <row r="104" spans="1:24" ht="13.5" customHeight="1">
      <c r="A104" s="186" t="s">
        <v>593</v>
      </c>
      <c r="B104" s="181" t="s">
        <v>649</v>
      </c>
      <c r="C104" s="182" t="s">
        <v>651</v>
      </c>
      <c r="D104" s="189" t="s">
        <v>123</v>
      </c>
      <c r="E104" s="82"/>
      <c r="F104" s="77">
        <f t="shared" si="0"/>
        <v>9500</v>
      </c>
      <c r="G104" s="80"/>
      <c r="H104" s="80"/>
      <c r="I104" s="80">
        <v>4500</v>
      </c>
      <c r="J104" s="80"/>
      <c r="K104" s="80"/>
      <c r="L104" s="80"/>
      <c r="M104" s="80">
        <v>5000</v>
      </c>
      <c r="N104" s="80"/>
      <c r="O104" s="80"/>
      <c r="P104" s="80"/>
      <c r="Q104" s="80"/>
      <c r="R104" s="187"/>
      <c r="S104" s="81"/>
      <c r="T104" s="81"/>
      <c r="U104" s="81"/>
      <c r="V104" s="81"/>
      <c r="W104" s="81"/>
      <c r="X104" s="81"/>
    </row>
    <row r="105" spans="1:24" ht="13.5" customHeight="1">
      <c r="A105" s="186"/>
      <c r="B105" s="181"/>
      <c r="C105" s="182"/>
      <c r="D105" s="189" t="s">
        <v>765</v>
      </c>
      <c r="E105" s="82"/>
      <c r="F105" s="77">
        <f t="shared" si="0"/>
        <v>9500</v>
      </c>
      <c r="G105" s="80"/>
      <c r="H105" s="80"/>
      <c r="I105" s="80">
        <v>4500</v>
      </c>
      <c r="J105" s="80"/>
      <c r="K105" s="80"/>
      <c r="L105" s="80"/>
      <c r="M105" s="80">
        <v>5000</v>
      </c>
      <c r="N105" s="80"/>
      <c r="O105" s="80"/>
      <c r="P105" s="80"/>
      <c r="Q105" s="80"/>
      <c r="R105" s="187"/>
      <c r="S105" s="81"/>
      <c r="T105" s="81"/>
      <c r="U105" s="81"/>
      <c r="V105" s="81"/>
      <c r="W105" s="81"/>
      <c r="X105" s="81"/>
    </row>
    <row r="106" spans="1:24" ht="13.5" customHeight="1">
      <c r="A106" s="186"/>
      <c r="B106" s="181"/>
      <c r="C106" s="182"/>
      <c r="D106" s="884" t="s">
        <v>944</v>
      </c>
      <c r="E106" s="82"/>
      <c r="F106" s="77">
        <f t="shared" si="0"/>
        <v>9500</v>
      </c>
      <c r="G106" s="80"/>
      <c r="H106" s="80"/>
      <c r="I106" s="80">
        <v>4500</v>
      </c>
      <c r="J106" s="80"/>
      <c r="K106" s="80"/>
      <c r="L106" s="80"/>
      <c r="M106" s="80">
        <v>5000</v>
      </c>
      <c r="N106" s="80"/>
      <c r="O106" s="80"/>
      <c r="P106" s="80"/>
      <c r="Q106" s="80"/>
      <c r="R106" s="187"/>
      <c r="S106" s="81"/>
      <c r="T106" s="81"/>
      <c r="U106" s="81"/>
      <c r="V106" s="81"/>
      <c r="W106" s="81"/>
      <c r="X106" s="81"/>
    </row>
    <row r="107" spans="1:24" ht="13.5" customHeight="1">
      <c r="A107" s="186" t="s">
        <v>593</v>
      </c>
      <c r="B107" s="181" t="s">
        <v>649</v>
      </c>
      <c r="C107" s="182" t="s">
        <v>652</v>
      </c>
      <c r="D107" s="189" t="s">
        <v>123</v>
      </c>
      <c r="E107" s="82">
        <v>4000</v>
      </c>
      <c r="F107" s="77">
        <f t="shared" si="0"/>
        <v>9273</v>
      </c>
      <c r="G107" s="80">
        <v>8673</v>
      </c>
      <c r="H107" s="80">
        <v>600</v>
      </c>
      <c r="I107" s="80"/>
      <c r="J107" s="80"/>
      <c r="K107" s="80"/>
      <c r="L107" s="80"/>
      <c r="M107" s="80"/>
      <c r="N107" s="80"/>
      <c r="O107" s="80"/>
      <c r="P107" s="80"/>
      <c r="Q107" s="80"/>
      <c r="R107" s="187"/>
      <c r="S107" s="81"/>
      <c r="T107" s="81"/>
      <c r="U107" s="81"/>
      <c r="V107" s="81"/>
      <c r="W107" s="81"/>
      <c r="X107" s="81"/>
    </row>
    <row r="108" spans="1:24" ht="13.5" customHeight="1">
      <c r="A108" s="186"/>
      <c r="B108" s="181"/>
      <c r="C108" s="182"/>
      <c r="D108" s="189" t="s">
        <v>765</v>
      </c>
      <c r="E108" s="82">
        <v>4000</v>
      </c>
      <c r="F108" s="77">
        <f t="shared" si="0"/>
        <v>9273</v>
      </c>
      <c r="G108" s="80">
        <v>8673</v>
      </c>
      <c r="H108" s="80">
        <v>600</v>
      </c>
      <c r="I108" s="80"/>
      <c r="J108" s="80"/>
      <c r="K108" s="80"/>
      <c r="L108" s="80"/>
      <c r="M108" s="80"/>
      <c r="N108" s="80"/>
      <c r="O108" s="80"/>
      <c r="P108" s="80"/>
      <c r="Q108" s="80"/>
      <c r="R108" s="187"/>
      <c r="S108" s="81"/>
      <c r="T108" s="81"/>
      <c r="U108" s="81"/>
      <c r="V108" s="81"/>
      <c r="W108" s="81"/>
      <c r="X108" s="81"/>
    </row>
    <row r="109" spans="1:24" ht="13.5" customHeight="1">
      <c r="A109" s="186"/>
      <c r="B109" s="181"/>
      <c r="C109" s="182"/>
      <c r="D109" s="884" t="s">
        <v>944</v>
      </c>
      <c r="E109" s="82">
        <v>4000</v>
      </c>
      <c r="F109" s="77">
        <f t="shared" si="0"/>
        <v>9273</v>
      </c>
      <c r="G109" s="80">
        <v>8673</v>
      </c>
      <c r="H109" s="80">
        <v>600</v>
      </c>
      <c r="I109" s="80"/>
      <c r="J109" s="80"/>
      <c r="K109" s="80"/>
      <c r="L109" s="80"/>
      <c r="M109" s="80"/>
      <c r="N109" s="80"/>
      <c r="O109" s="80"/>
      <c r="P109" s="80"/>
      <c r="Q109" s="80"/>
      <c r="R109" s="187"/>
      <c r="S109" s="81"/>
      <c r="T109" s="81"/>
      <c r="U109" s="81"/>
      <c r="V109" s="81"/>
      <c r="W109" s="81"/>
      <c r="X109" s="81"/>
    </row>
    <row r="110" spans="1:24" ht="13.5" customHeight="1">
      <c r="A110" s="186" t="s">
        <v>593</v>
      </c>
      <c r="B110" s="181" t="s">
        <v>653</v>
      </c>
      <c r="C110" s="182" t="s">
        <v>654</v>
      </c>
      <c r="D110" s="189" t="s">
        <v>123</v>
      </c>
      <c r="E110" s="82"/>
      <c r="F110" s="77">
        <f t="shared" si="0"/>
        <v>8200</v>
      </c>
      <c r="G110" s="80"/>
      <c r="H110" s="80"/>
      <c r="I110" s="80">
        <v>8200</v>
      </c>
      <c r="J110" s="80"/>
      <c r="K110" s="80"/>
      <c r="L110" s="80"/>
      <c r="M110" s="80"/>
      <c r="N110" s="80"/>
      <c r="O110" s="80"/>
      <c r="P110" s="80"/>
      <c r="Q110" s="80"/>
      <c r="R110" s="187"/>
      <c r="S110" s="81"/>
      <c r="T110" s="81"/>
      <c r="U110" s="81"/>
      <c r="V110" s="81"/>
      <c r="W110" s="81"/>
      <c r="X110" s="81"/>
    </row>
    <row r="111" spans="1:24" ht="13.5" customHeight="1">
      <c r="A111" s="186"/>
      <c r="B111" s="181"/>
      <c r="C111" s="182"/>
      <c r="D111" s="189" t="s">
        <v>765</v>
      </c>
      <c r="E111" s="82"/>
      <c r="F111" s="77">
        <f t="shared" si="0"/>
        <v>8200</v>
      </c>
      <c r="G111" s="80"/>
      <c r="H111" s="80"/>
      <c r="I111" s="80">
        <v>8200</v>
      </c>
      <c r="J111" s="80"/>
      <c r="K111" s="80"/>
      <c r="L111" s="80"/>
      <c r="M111" s="80"/>
      <c r="N111" s="80"/>
      <c r="O111" s="80"/>
      <c r="P111" s="80"/>
      <c r="Q111" s="80"/>
      <c r="R111" s="187"/>
      <c r="S111" s="81"/>
      <c r="T111" s="81"/>
      <c r="U111" s="81"/>
      <c r="V111" s="81"/>
      <c r="W111" s="81"/>
      <c r="X111" s="81"/>
    </row>
    <row r="112" spans="1:24" ht="13.5" customHeight="1">
      <c r="A112" s="186"/>
      <c r="B112" s="181"/>
      <c r="C112" s="182"/>
      <c r="D112" s="884" t="s">
        <v>944</v>
      </c>
      <c r="E112" s="82"/>
      <c r="F112" s="77">
        <f t="shared" si="0"/>
        <v>8200</v>
      </c>
      <c r="G112" s="80"/>
      <c r="H112" s="80"/>
      <c r="I112" s="80">
        <v>8200</v>
      </c>
      <c r="J112" s="80"/>
      <c r="K112" s="80"/>
      <c r="L112" s="80"/>
      <c r="M112" s="80"/>
      <c r="N112" s="80"/>
      <c r="O112" s="80"/>
      <c r="P112" s="80"/>
      <c r="Q112" s="80"/>
      <c r="R112" s="187"/>
      <c r="S112" s="81"/>
      <c r="T112" s="81"/>
      <c r="U112" s="81"/>
      <c r="V112" s="81"/>
      <c r="W112" s="81"/>
      <c r="X112" s="81"/>
    </row>
    <row r="113" spans="1:24" ht="13.5" customHeight="1">
      <c r="A113" s="186" t="s">
        <v>593</v>
      </c>
      <c r="B113" s="181" t="s">
        <v>653</v>
      </c>
      <c r="C113" s="182" t="s">
        <v>655</v>
      </c>
      <c r="D113" s="189" t="s">
        <v>123</v>
      </c>
      <c r="E113" s="82"/>
      <c r="F113" s="77">
        <f t="shared" si="0"/>
        <v>28300</v>
      </c>
      <c r="G113" s="79">
        <v>1000</v>
      </c>
      <c r="H113" s="79">
        <v>300</v>
      </c>
      <c r="I113" s="79">
        <v>19753</v>
      </c>
      <c r="J113" s="79"/>
      <c r="K113" s="79"/>
      <c r="L113" s="79"/>
      <c r="M113" s="79"/>
      <c r="N113" s="79"/>
      <c r="O113" s="79">
        <v>7247</v>
      </c>
      <c r="P113" s="79"/>
      <c r="Q113" s="79"/>
      <c r="R113" s="187"/>
      <c r="S113" s="81"/>
      <c r="T113" s="81"/>
      <c r="U113" s="81"/>
      <c r="V113" s="81"/>
      <c r="W113" s="81"/>
      <c r="X113" s="81"/>
    </row>
    <row r="114" spans="1:24" ht="13.5" customHeight="1">
      <c r="A114" s="186"/>
      <c r="B114" s="181"/>
      <c r="C114" s="182"/>
      <c r="D114" s="189" t="s">
        <v>765</v>
      </c>
      <c r="E114" s="82"/>
      <c r="F114" s="77">
        <f t="shared" si="0"/>
        <v>28300</v>
      </c>
      <c r="G114" s="79">
        <v>1000</v>
      </c>
      <c r="H114" s="79">
        <v>300</v>
      </c>
      <c r="I114" s="79">
        <v>19753</v>
      </c>
      <c r="J114" s="79"/>
      <c r="K114" s="79"/>
      <c r="L114" s="79"/>
      <c r="M114" s="79"/>
      <c r="N114" s="79"/>
      <c r="O114" s="79">
        <v>7247</v>
      </c>
      <c r="P114" s="79"/>
      <c r="Q114" s="79"/>
      <c r="R114" s="187"/>
      <c r="S114" s="81"/>
      <c r="T114" s="81"/>
      <c r="U114" s="81"/>
      <c r="V114" s="81"/>
      <c r="W114" s="81"/>
      <c r="X114" s="81"/>
    </row>
    <row r="115" spans="1:24" ht="13.5" customHeight="1">
      <c r="A115" s="186"/>
      <c r="B115" s="181"/>
      <c r="C115" s="182"/>
      <c r="D115" s="884" t="s">
        <v>944</v>
      </c>
      <c r="E115" s="82"/>
      <c r="F115" s="77">
        <f t="shared" si="0"/>
        <v>30059</v>
      </c>
      <c r="G115" s="79">
        <v>1000</v>
      </c>
      <c r="H115" s="79">
        <v>300</v>
      </c>
      <c r="I115" s="79">
        <v>21512</v>
      </c>
      <c r="J115" s="79"/>
      <c r="K115" s="79"/>
      <c r="L115" s="79"/>
      <c r="M115" s="79"/>
      <c r="N115" s="79"/>
      <c r="O115" s="79">
        <v>7247</v>
      </c>
      <c r="P115" s="79"/>
      <c r="Q115" s="79"/>
      <c r="R115" s="187"/>
      <c r="S115" s="81"/>
      <c r="T115" s="81"/>
      <c r="U115" s="81"/>
      <c r="V115" s="81"/>
      <c r="W115" s="81"/>
      <c r="X115" s="81"/>
    </row>
    <row r="116" spans="1:24" ht="13.5" customHeight="1">
      <c r="A116" s="186" t="s">
        <v>593</v>
      </c>
      <c r="B116" s="181" t="s">
        <v>656</v>
      </c>
      <c r="C116" s="182" t="s">
        <v>657</v>
      </c>
      <c r="D116" s="189" t="s">
        <v>123</v>
      </c>
      <c r="E116" s="82"/>
      <c r="F116" s="77">
        <f t="shared" si="0"/>
        <v>152382</v>
      </c>
      <c r="G116" s="80"/>
      <c r="H116" s="80"/>
      <c r="I116" s="80">
        <v>15000</v>
      </c>
      <c r="J116" s="80">
        <v>137382</v>
      </c>
      <c r="K116" s="80"/>
      <c r="L116" s="80"/>
      <c r="M116" s="80"/>
      <c r="N116" s="80"/>
      <c r="O116" s="83"/>
      <c r="P116" s="80"/>
      <c r="Q116" s="80"/>
      <c r="R116" s="187"/>
      <c r="S116" s="81"/>
      <c r="T116" s="81"/>
      <c r="U116" s="81"/>
      <c r="V116" s="81"/>
      <c r="W116" s="81"/>
      <c r="X116" s="81"/>
    </row>
    <row r="117" spans="1:24" ht="13.5" customHeight="1">
      <c r="A117" s="186"/>
      <c r="B117" s="181"/>
      <c r="C117" s="182"/>
      <c r="D117" s="189" t="s">
        <v>765</v>
      </c>
      <c r="E117" s="82"/>
      <c r="F117" s="77">
        <f t="shared" si="0"/>
        <v>154011</v>
      </c>
      <c r="G117" s="80"/>
      <c r="H117" s="80"/>
      <c r="I117" s="80">
        <v>15000</v>
      </c>
      <c r="J117" s="80">
        <v>137382</v>
      </c>
      <c r="K117" s="80"/>
      <c r="L117" s="80"/>
      <c r="M117" s="80"/>
      <c r="N117" s="80">
        <v>1629</v>
      </c>
      <c r="O117" s="83"/>
      <c r="P117" s="80"/>
      <c r="Q117" s="80"/>
      <c r="R117" s="187"/>
      <c r="S117" s="81"/>
      <c r="T117" s="81"/>
      <c r="U117" s="81"/>
      <c r="V117" s="81"/>
      <c r="W117" s="81"/>
      <c r="X117" s="81"/>
    </row>
    <row r="118" spans="1:24" ht="13.5" customHeight="1">
      <c r="A118" s="186"/>
      <c r="B118" s="181"/>
      <c r="C118" s="182"/>
      <c r="D118" s="884" t="s">
        <v>944</v>
      </c>
      <c r="E118" s="82">
        <v>7006</v>
      </c>
      <c r="F118" s="77">
        <f t="shared" si="0"/>
        <v>153294</v>
      </c>
      <c r="G118" s="80"/>
      <c r="H118" s="80"/>
      <c r="I118" s="80">
        <v>15658</v>
      </c>
      <c r="J118" s="80">
        <v>137382</v>
      </c>
      <c r="K118" s="80"/>
      <c r="L118" s="80"/>
      <c r="M118" s="80"/>
      <c r="N118" s="80">
        <v>254</v>
      </c>
      <c r="O118" s="83"/>
      <c r="P118" s="80"/>
      <c r="Q118" s="80"/>
      <c r="R118" s="187"/>
      <c r="S118" s="81"/>
      <c r="T118" s="81"/>
      <c r="U118" s="81"/>
      <c r="V118" s="81"/>
      <c r="W118" s="81"/>
      <c r="X118" s="81"/>
    </row>
    <row r="119" spans="1:24" ht="13.5" customHeight="1">
      <c r="A119" s="186" t="s">
        <v>596</v>
      </c>
      <c r="B119" s="181" t="s">
        <v>658</v>
      </c>
      <c r="C119" s="182" t="s">
        <v>481</v>
      </c>
      <c r="D119" s="189" t="s">
        <v>123</v>
      </c>
      <c r="E119" s="82"/>
      <c r="F119" s="77">
        <f t="shared" si="0"/>
        <v>16356</v>
      </c>
      <c r="G119" s="80"/>
      <c r="H119" s="80"/>
      <c r="I119" s="80">
        <v>16356</v>
      </c>
      <c r="J119" s="80"/>
      <c r="K119" s="80"/>
      <c r="L119" s="80"/>
      <c r="M119" s="80"/>
      <c r="N119" s="80"/>
      <c r="O119" s="83"/>
      <c r="P119" s="80"/>
      <c r="Q119" s="80"/>
      <c r="R119" s="187"/>
      <c r="S119" s="81"/>
      <c r="T119" s="81"/>
      <c r="U119" s="81"/>
      <c r="V119" s="81"/>
      <c r="W119" s="81"/>
      <c r="X119" s="81"/>
    </row>
    <row r="120" spans="1:24" ht="13.5" customHeight="1">
      <c r="A120" s="186"/>
      <c r="B120" s="181"/>
      <c r="C120" s="182"/>
      <c r="D120" s="189" t="s">
        <v>765</v>
      </c>
      <c r="E120" s="82"/>
      <c r="F120" s="77">
        <f t="shared" si="0"/>
        <v>16356</v>
      </c>
      <c r="G120" s="80"/>
      <c r="H120" s="80"/>
      <c r="I120" s="80">
        <v>16356</v>
      </c>
      <c r="J120" s="80"/>
      <c r="K120" s="80"/>
      <c r="L120" s="80"/>
      <c r="M120" s="80"/>
      <c r="N120" s="80"/>
      <c r="O120" s="83"/>
      <c r="P120" s="80"/>
      <c r="Q120" s="80"/>
      <c r="R120" s="187"/>
      <c r="S120" s="81"/>
      <c r="T120" s="81"/>
      <c r="U120" s="81"/>
      <c r="V120" s="81"/>
      <c r="W120" s="81"/>
      <c r="X120" s="81"/>
    </row>
    <row r="121" spans="1:24" ht="13.5" customHeight="1">
      <c r="A121" s="186"/>
      <c r="B121" s="181"/>
      <c r="C121" s="182"/>
      <c r="D121" s="884" t="s">
        <v>944</v>
      </c>
      <c r="E121" s="82"/>
      <c r="F121" s="77">
        <f t="shared" si="0"/>
        <v>16356</v>
      </c>
      <c r="G121" s="80"/>
      <c r="H121" s="80"/>
      <c r="I121" s="80">
        <v>16356</v>
      </c>
      <c r="J121" s="80"/>
      <c r="K121" s="80"/>
      <c r="L121" s="80"/>
      <c r="M121" s="80"/>
      <c r="N121" s="80"/>
      <c r="O121" s="83"/>
      <c r="P121" s="80"/>
      <c r="Q121" s="80"/>
      <c r="R121" s="187"/>
      <c r="S121" s="81"/>
      <c r="T121" s="81"/>
      <c r="U121" s="81"/>
      <c r="V121" s="81"/>
      <c r="W121" s="81"/>
      <c r="X121" s="81"/>
    </row>
    <row r="122" spans="1:24" ht="13.5" customHeight="1">
      <c r="A122" s="186" t="s">
        <v>596</v>
      </c>
      <c r="B122" s="181" t="s">
        <v>659</v>
      </c>
      <c r="C122" s="182" t="s">
        <v>660</v>
      </c>
      <c r="D122" s="189" t="s">
        <v>123</v>
      </c>
      <c r="E122" s="82">
        <v>115</v>
      </c>
      <c r="F122" s="77">
        <f t="shared" si="0"/>
        <v>8729</v>
      </c>
      <c r="G122" s="80">
        <v>4500</v>
      </c>
      <c r="H122" s="80">
        <v>2304</v>
      </c>
      <c r="I122" s="80">
        <v>1925</v>
      </c>
      <c r="J122" s="80"/>
      <c r="K122" s="80"/>
      <c r="L122" s="80"/>
      <c r="M122" s="80"/>
      <c r="N122" s="80"/>
      <c r="O122" s="80"/>
      <c r="P122" s="80"/>
      <c r="Q122" s="80"/>
      <c r="R122" s="187"/>
      <c r="S122" s="81"/>
      <c r="T122" s="81"/>
      <c r="U122" s="81"/>
      <c r="V122" s="81"/>
      <c r="W122" s="81"/>
      <c r="X122" s="81"/>
    </row>
    <row r="123" spans="1:24" ht="13.5" customHeight="1">
      <c r="A123" s="186"/>
      <c r="B123" s="181"/>
      <c r="C123" s="182"/>
      <c r="D123" s="189" t="s">
        <v>765</v>
      </c>
      <c r="E123" s="82">
        <v>115</v>
      </c>
      <c r="F123" s="77">
        <f t="shared" si="0"/>
        <v>9399</v>
      </c>
      <c r="G123" s="80">
        <v>5170</v>
      </c>
      <c r="H123" s="80">
        <v>2304</v>
      </c>
      <c r="I123" s="80">
        <v>1925</v>
      </c>
      <c r="J123" s="80"/>
      <c r="K123" s="80"/>
      <c r="L123" s="80"/>
      <c r="M123" s="80"/>
      <c r="N123" s="80"/>
      <c r="O123" s="80"/>
      <c r="P123" s="80"/>
      <c r="Q123" s="80"/>
      <c r="R123" s="187"/>
      <c r="S123" s="81"/>
      <c r="T123" s="81"/>
      <c r="U123" s="81"/>
      <c r="V123" s="81"/>
      <c r="W123" s="81"/>
      <c r="X123" s="81"/>
    </row>
    <row r="124" spans="1:24" ht="13.5" customHeight="1">
      <c r="A124" s="186"/>
      <c r="B124" s="181"/>
      <c r="C124" s="182"/>
      <c r="D124" s="884" t="s">
        <v>944</v>
      </c>
      <c r="E124" s="82">
        <v>215</v>
      </c>
      <c r="F124" s="77">
        <f t="shared" si="0"/>
        <v>10171</v>
      </c>
      <c r="G124" s="80">
        <v>5786</v>
      </c>
      <c r="H124" s="80">
        <v>2304</v>
      </c>
      <c r="I124" s="80">
        <v>2025</v>
      </c>
      <c r="J124" s="80">
        <v>56</v>
      </c>
      <c r="K124" s="80"/>
      <c r="L124" s="80"/>
      <c r="M124" s="80"/>
      <c r="N124" s="80"/>
      <c r="O124" s="80"/>
      <c r="P124" s="80"/>
      <c r="Q124" s="80"/>
      <c r="R124" s="187"/>
      <c r="S124" s="81"/>
      <c r="T124" s="81"/>
      <c r="U124" s="81"/>
      <c r="V124" s="81"/>
      <c r="W124" s="81"/>
      <c r="X124" s="81"/>
    </row>
    <row r="125" spans="1:24" ht="13.5" customHeight="1">
      <c r="A125" s="186" t="s">
        <v>596</v>
      </c>
      <c r="B125" s="181" t="s">
        <v>661</v>
      </c>
      <c r="C125" s="182" t="s">
        <v>662</v>
      </c>
      <c r="D125" s="189" t="s">
        <v>123</v>
      </c>
      <c r="E125" s="82"/>
      <c r="F125" s="77">
        <f t="shared" si="0"/>
        <v>1300</v>
      </c>
      <c r="G125" s="80"/>
      <c r="H125" s="80"/>
      <c r="I125" s="80">
        <v>1300</v>
      </c>
      <c r="J125" s="80"/>
      <c r="K125" s="80"/>
      <c r="L125" s="80"/>
      <c r="M125" s="80"/>
      <c r="N125" s="80"/>
      <c r="O125" s="83"/>
      <c r="P125" s="80"/>
      <c r="Q125" s="80"/>
      <c r="R125" s="187"/>
      <c r="S125" s="81"/>
      <c r="T125" s="81"/>
      <c r="U125" s="81"/>
      <c r="V125" s="81"/>
      <c r="W125" s="81"/>
      <c r="X125" s="81"/>
    </row>
    <row r="126" spans="1:24" ht="13.5" customHeight="1">
      <c r="A126" s="186"/>
      <c r="B126" s="181"/>
      <c r="C126" s="182"/>
      <c r="D126" s="189" t="s">
        <v>765</v>
      </c>
      <c r="E126" s="82"/>
      <c r="F126" s="77">
        <f t="shared" si="0"/>
        <v>1300</v>
      </c>
      <c r="G126" s="80"/>
      <c r="H126" s="80"/>
      <c r="I126" s="80">
        <v>1300</v>
      </c>
      <c r="J126" s="80"/>
      <c r="K126" s="80"/>
      <c r="L126" s="80"/>
      <c r="M126" s="80"/>
      <c r="N126" s="80"/>
      <c r="O126" s="83"/>
      <c r="P126" s="80"/>
      <c r="Q126" s="80"/>
      <c r="R126" s="187"/>
      <c r="S126" s="81"/>
      <c r="T126" s="81"/>
      <c r="U126" s="81"/>
      <c r="V126" s="81"/>
      <c r="W126" s="81"/>
      <c r="X126" s="81"/>
    </row>
    <row r="127" spans="1:24" ht="13.5" customHeight="1">
      <c r="A127" s="186"/>
      <c r="B127" s="181"/>
      <c r="C127" s="182"/>
      <c r="D127" s="884" t="s">
        <v>944</v>
      </c>
      <c r="E127" s="82"/>
      <c r="F127" s="77">
        <f t="shared" si="0"/>
        <v>1300</v>
      </c>
      <c r="G127" s="80"/>
      <c r="H127" s="80"/>
      <c r="I127" s="80">
        <v>1300</v>
      </c>
      <c r="J127" s="80"/>
      <c r="K127" s="80"/>
      <c r="L127" s="80"/>
      <c r="M127" s="80"/>
      <c r="N127" s="80"/>
      <c r="O127" s="83"/>
      <c r="P127" s="80"/>
      <c r="Q127" s="80"/>
      <c r="R127" s="187"/>
      <c r="S127" s="81"/>
      <c r="T127" s="81"/>
      <c r="U127" s="81"/>
      <c r="V127" s="81"/>
      <c r="W127" s="81"/>
      <c r="X127" s="81"/>
    </row>
    <row r="128" spans="1:24" ht="13.5" customHeight="1">
      <c r="A128" s="186" t="s">
        <v>593</v>
      </c>
      <c r="B128" s="181" t="s">
        <v>663</v>
      </c>
      <c r="C128" s="182" t="s">
        <v>664</v>
      </c>
      <c r="D128" s="189" t="s">
        <v>123</v>
      </c>
      <c r="E128" s="82"/>
      <c r="F128" s="77">
        <f t="shared" si="0"/>
        <v>87240</v>
      </c>
      <c r="G128" s="80"/>
      <c r="H128" s="80"/>
      <c r="I128" s="80"/>
      <c r="J128" s="80">
        <v>87240</v>
      </c>
      <c r="K128" s="80"/>
      <c r="L128" s="80"/>
      <c r="M128" s="80"/>
      <c r="N128" s="80"/>
      <c r="O128" s="80"/>
      <c r="P128" s="80"/>
      <c r="Q128" s="80"/>
      <c r="R128" s="187"/>
      <c r="S128" s="81"/>
      <c r="T128" s="81"/>
      <c r="U128" s="81"/>
      <c r="V128" s="81"/>
      <c r="W128" s="81"/>
      <c r="X128" s="81"/>
    </row>
    <row r="129" spans="1:24" ht="13.5" customHeight="1">
      <c r="A129" s="186"/>
      <c r="B129" s="181"/>
      <c r="C129" s="182"/>
      <c r="D129" s="189" t="s">
        <v>765</v>
      </c>
      <c r="E129" s="82"/>
      <c r="F129" s="77">
        <f t="shared" si="0"/>
        <v>87240</v>
      </c>
      <c r="G129" s="80"/>
      <c r="H129" s="80"/>
      <c r="I129" s="80"/>
      <c r="J129" s="80">
        <v>87240</v>
      </c>
      <c r="K129" s="80"/>
      <c r="L129" s="80"/>
      <c r="M129" s="80"/>
      <c r="N129" s="80"/>
      <c r="O129" s="80"/>
      <c r="P129" s="80"/>
      <c r="Q129" s="80"/>
      <c r="R129" s="187"/>
      <c r="S129" s="81"/>
      <c r="T129" s="81"/>
      <c r="U129" s="81"/>
      <c r="V129" s="81"/>
      <c r="W129" s="81"/>
      <c r="X129" s="81"/>
    </row>
    <row r="130" spans="1:24" ht="13.5" customHeight="1">
      <c r="A130" s="186"/>
      <c r="B130" s="181"/>
      <c r="C130" s="182"/>
      <c r="D130" s="884" t="s">
        <v>944</v>
      </c>
      <c r="E130" s="82">
        <v>6500</v>
      </c>
      <c r="F130" s="77">
        <f t="shared" si="0"/>
        <v>91877</v>
      </c>
      <c r="G130" s="80"/>
      <c r="H130" s="80"/>
      <c r="I130" s="80">
        <v>650</v>
      </c>
      <c r="J130" s="80">
        <v>91227</v>
      </c>
      <c r="K130" s="80"/>
      <c r="L130" s="80"/>
      <c r="M130" s="80"/>
      <c r="N130" s="80"/>
      <c r="O130" s="80"/>
      <c r="P130" s="80"/>
      <c r="Q130" s="80"/>
      <c r="R130" s="187"/>
      <c r="S130" s="81"/>
      <c r="T130" s="81"/>
      <c r="U130" s="81"/>
      <c r="V130" s="81"/>
      <c r="W130" s="81"/>
      <c r="X130" s="81"/>
    </row>
    <row r="131" spans="1:24" ht="13.5" customHeight="1">
      <c r="A131" s="186" t="s">
        <v>596</v>
      </c>
      <c r="B131" s="181" t="s">
        <v>665</v>
      </c>
      <c r="C131" s="182" t="s">
        <v>666</v>
      </c>
      <c r="D131" s="189" t="s">
        <v>123</v>
      </c>
      <c r="E131" s="82"/>
      <c r="F131" s="77">
        <f t="shared" si="0"/>
        <v>1800</v>
      </c>
      <c r="G131" s="79"/>
      <c r="H131" s="79"/>
      <c r="I131" s="79">
        <v>1800</v>
      </c>
      <c r="J131" s="79"/>
      <c r="K131" s="82"/>
      <c r="L131" s="82"/>
      <c r="M131" s="84"/>
      <c r="N131" s="79"/>
      <c r="O131" s="79"/>
      <c r="P131" s="79"/>
      <c r="Q131" s="79"/>
      <c r="R131" s="187"/>
      <c r="S131" s="81"/>
      <c r="T131" s="81"/>
      <c r="U131" s="81"/>
      <c r="V131" s="81"/>
      <c r="W131" s="81"/>
      <c r="X131" s="81"/>
    </row>
    <row r="132" spans="1:24" ht="13.5" customHeight="1">
      <c r="A132" s="186"/>
      <c r="B132" s="181"/>
      <c r="C132" s="182"/>
      <c r="D132" s="189" t="s">
        <v>765</v>
      </c>
      <c r="E132" s="82"/>
      <c r="F132" s="77">
        <f t="shared" si="0"/>
        <v>1800</v>
      </c>
      <c r="G132" s="79"/>
      <c r="H132" s="79"/>
      <c r="I132" s="79">
        <v>1800</v>
      </c>
      <c r="J132" s="79"/>
      <c r="K132" s="82"/>
      <c r="L132" s="82"/>
      <c r="M132" s="84"/>
      <c r="N132" s="79"/>
      <c r="O132" s="79"/>
      <c r="P132" s="79"/>
      <c r="Q132" s="79"/>
      <c r="R132" s="187"/>
      <c r="S132" s="81"/>
      <c r="T132" s="81"/>
      <c r="U132" s="81"/>
      <c r="V132" s="81"/>
      <c r="W132" s="81"/>
      <c r="X132" s="81"/>
    </row>
    <row r="133" spans="1:24" ht="13.5" customHeight="1">
      <c r="A133" s="186"/>
      <c r="B133" s="181"/>
      <c r="C133" s="182"/>
      <c r="D133" s="884" t="s">
        <v>944</v>
      </c>
      <c r="E133" s="82"/>
      <c r="F133" s="77">
        <f t="shared" si="0"/>
        <v>2200</v>
      </c>
      <c r="G133" s="79"/>
      <c r="H133" s="79"/>
      <c r="I133" s="79">
        <v>1800</v>
      </c>
      <c r="J133" s="79">
        <v>400</v>
      </c>
      <c r="K133" s="82"/>
      <c r="L133" s="82"/>
      <c r="M133" s="84"/>
      <c r="N133" s="79"/>
      <c r="O133" s="79"/>
      <c r="P133" s="79"/>
      <c r="Q133" s="79"/>
      <c r="R133" s="187"/>
      <c r="S133" s="81"/>
      <c r="T133" s="81"/>
      <c r="U133" s="81"/>
      <c r="V133" s="81"/>
      <c r="W133" s="81"/>
      <c r="X133" s="81"/>
    </row>
    <row r="134" spans="1:24" ht="13.5" customHeight="1">
      <c r="A134" s="186" t="s">
        <v>596</v>
      </c>
      <c r="B134" s="190" t="s">
        <v>667</v>
      </c>
      <c r="C134" s="191" t="s">
        <v>668</v>
      </c>
      <c r="D134" s="189" t="s">
        <v>123</v>
      </c>
      <c r="E134" s="82"/>
      <c r="F134" s="77">
        <f t="shared" si="0"/>
        <v>28730</v>
      </c>
      <c r="G134" s="80">
        <v>5760</v>
      </c>
      <c r="H134" s="80">
        <v>1400</v>
      </c>
      <c r="I134" s="80">
        <v>21570</v>
      </c>
      <c r="J134" s="80"/>
      <c r="K134" s="80"/>
      <c r="L134" s="80"/>
      <c r="M134" s="80"/>
      <c r="N134" s="80"/>
      <c r="O134" s="80"/>
      <c r="P134" s="80"/>
      <c r="Q134" s="80"/>
      <c r="R134" s="187"/>
      <c r="S134" s="81"/>
      <c r="T134" s="81"/>
      <c r="U134" s="81"/>
      <c r="V134" s="81"/>
      <c r="W134" s="81"/>
      <c r="X134" s="81"/>
    </row>
    <row r="135" spans="1:24" ht="13.5" customHeight="1">
      <c r="A135" s="186"/>
      <c r="B135" s="190"/>
      <c r="C135" s="191"/>
      <c r="D135" s="189" t="s">
        <v>765</v>
      </c>
      <c r="E135" s="82"/>
      <c r="F135" s="77">
        <f t="shared" si="0"/>
        <v>29437</v>
      </c>
      <c r="G135" s="80">
        <v>5760</v>
      </c>
      <c r="H135" s="80">
        <v>1400</v>
      </c>
      <c r="I135" s="80">
        <v>22277</v>
      </c>
      <c r="J135" s="80"/>
      <c r="K135" s="80"/>
      <c r="L135" s="80"/>
      <c r="M135" s="80"/>
      <c r="N135" s="80"/>
      <c r="O135" s="80"/>
      <c r="P135" s="80"/>
      <c r="Q135" s="80"/>
      <c r="R135" s="187"/>
      <c r="S135" s="81"/>
      <c r="T135" s="81"/>
      <c r="U135" s="81"/>
      <c r="V135" s="81"/>
      <c r="W135" s="81"/>
      <c r="X135" s="81"/>
    </row>
    <row r="136" spans="1:24" ht="13.5" customHeight="1">
      <c r="A136" s="186"/>
      <c r="B136" s="190"/>
      <c r="C136" s="191"/>
      <c r="D136" s="884" t="s">
        <v>944</v>
      </c>
      <c r="E136" s="82"/>
      <c r="F136" s="77">
        <f t="shared" si="0"/>
        <v>29437</v>
      </c>
      <c r="G136" s="80">
        <v>5760</v>
      </c>
      <c r="H136" s="80">
        <v>1400</v>
      </c>
      <c r="I136" s="80">
        <v>22277</v>
      </c>
      <c r="J136" s="80"/>
      <c r="K136" s="80"/>
      <c r="L136" s="80"/>
      <c r="M136" s="80"/>
      <c r="N136" s="80"/>
      <c r="O136" s="80"/>
      <c r="P136" s="80"/>
      <c r="Q136" s="80"/>
      <c r="R136" s="187"/>
      <c r="S136" s="81"/>
      <c r="T136" s="81"/>
      <c r="U136" s="81"/>
      <c r="V136" s="81"/>
      <c r="W136" s="81"/>
      <c r="X136" s="81"/>
    </row>
    <row r="137" spans="1:18" s="81" customFormat="1" ht="13.5" customHeight="1">
      <c r="A137" s="186" t="s">
        <v>596</v>
      </c>
      <c r="B137" s="181" t="s">
        <v>669</v>
      </c>
      <c r="C137" s="182" t="s">
        <v>670</v>
      </c>
      <c r="D137" s="189" t="s">
        <v>123</v>
      </c>
      <c r="E137" s="82">
        <v>2000</v>
      </c>
      <c r="F137" s="77">
        <f t="shared" si="0"/>
        <v>295656</v>
      </c>
      <c r="G137" s="79"/>
      <c r="H137" s="79"/>
      <c r="I137" s="79"/>
      <c r="J137" s="79">
        <v>244604</v>
      </c>
      <c r="K137" s="79"/>
      <c r="L137" s="79"/>
      <c r="M137" s="79"/>
      <c r="N137" s="79"/>
      <c r="O137" s="79">
        <v>51052</v>
      </c>
      <c r="P137" s="79"/>
      <c r="Q137" s="79"/>
      <c r="R137" s="187"/>
    </row>
    <row r="138" spans="1:18" s="81" customFormat="1" ht="13.5" customHeight="1">
      <c r="A138" s="186"/>
      <c r="B138" s="181"/>
      <c r="C138" s="182"/>
      <c r="D138" s="189" t="s">
        <v>765</v>
      </c>
      <c r="E138" s="82">
        <v>2000</v>
      </c>
      <c r="F138" s="77">
        <f aca="true" t="shared" si="1" ref="F138:F201">SUM(G138:R138)</f>
        <v>321306</v>
      </c>
      <c r="G138" s="79"/>
      <c r="H138" s="79"/>
      <c r="I138" s="79"/>
      <c r="J138" s="79">
        <v>246254</v>
      </c>
      <c r="K138" s="79"/>
      <c r="L138" s="79"/>
      <c r="M138" s="79"/>
      <c r="N138" s="79"/>
      <c r="O138" s="79">
        <v>75052</v>
      </c>
      <c r="P138" s="79"/>
      <c r="Q138" s="79"/>
      <c r="R138" s="187"/>
    </row>
    <row r="139" spans="1:18" s="81" customFormat="1" ht="13.5" customHeight="1">
      <c r="A139" s="186"/>
      <c r="B139" s="181"/>
      <c r="C139" s="182"/>
      <c r="D139" s="884" t="s">
        <v>944</v>
      </c>
      <c r="E139" s="82">
        <v>2000</v>
      </c>
      <c r="F139" s="77">
        <f t="shared" si="1"/>
        <v>305799</v>
      </c>
      <c r="G139" s="79"/>
      <c r="H139" s="79"/>
      <c r="I139" s="79"/>
      <c r="J139" s="79">
        <v>251618</v>
      </c>
      <c r="K139" s="79"/>
      <c r="L139" s="79"/>
      <c r="M139" s="79"/>
      <c r="N139" s="79"/>
      <c r="O139" s="79">
        <v>54181</v>
      </c>
      <c r="P139" s="79"/>
      <c r="Q139" s="79"/>
      <c r="R139" s="187"/>
    </row>
    <row r="140" spans="1:24" ht="13.5" customHeight="1">
      <c r="A140" s="186" t="s">
        <v>593</v>
      </c>
      <c r="B140" s="181" t="s">
        <v>671</v>
      </c>
      <c r="C140" s="182" t="s">
        <v>672</v>
      </c>
      <c r="D140" s="189" t="s">
        <v>123</v>
      </c>
      <c r="E140" s="82"/>
      <c r="F140" s="77">
        <f t="shared" si="1"/>
        <v>2400</v>
      </c>
      <c r="G140" s="80"/>
      <c r="H140" s="80"/>
      <c r="I140" s="80"/>
      <c r="J140" s="80">
        <v>2400</v>
      </c>
      <c r="K140" s="80"/>
      <c r="L140" s="80"/>
      <c r="M140" s="80"/>
      <c r="N140" s="80"/>
      <c r="O140" s="80"/>
      <c r="P140" s="80"/>
      <c r="Q140" s="80"/>
      <c r="R140" s="187"/>
      <c r="S140" s="81"/>
      <c r="T140" s="81"/>
      <c r="U140" s="81"/>
      <c r="V140" s="81"/>
      <c r="W140" s="81"/>
      <c r="X140" s="81"/>
    </row>
    <row r="141" spans="1:24" ht="13.5" customHeight="1">
      <c r="A141" s="186"/>
      <c r="B141" s="181"/>
      <c r="C141" s="182"/>
      <c r="D141" s="189" t="s">
        <v>765</v>
      </c>
      <c r="E141" s="82"/>
      <c r="F141" s="77">
        <f t="shared" si="1"/>
        <v>2400</v>
      </c>
      <c r="G141" s="80"/>
      <c r="H141" s="80"/>
      <c r="I141" s="80"/>
      <c r="J141" s="80">
        <v>2400</v>
      </c>
      <c r="K141" s="80"/>
      <c r="L141" s="80"/>
      <c r="M141" s="80"/>
      <c r="N141" s="80"/>
      <c r="O141" s="80"/>
      <c r="P141" s="80"/>
      <c r="Q141" s="80"/>
      <c r="R141" s="187"/>
      <c r="S141" s="81"/>
      <c r="T141" s="81"/>
      <c r="U141" s="81"/>
      <c r="V141" s="81"/>
      <c r="W141" s="81"/>
      <c r="X141" s="81"/>
    </row>
    <row r="142" spans="1:24" ht="13.5" customHeight="1">
      <c r="A142" s="186"/>
      <c r="B142" s="181"/>
      <c r="C142" s="182"/>
      <c r="D142" s="884" t="s">
        <v>944</v>
      </c>
      <c r="E142" s="82"/>
      <c r="F142" s="77">
        <f t="shared" si="1"/>
        <v>2400</v>
      </c>
      <c r="G142" s="80"/>
      <c r="H142" s="80"/>
      <c r="I142" s="80"/>
      <c r="J142" s="80">
        <v>2400</v>
      </c>
      <c r="K142" s="80"/>
      <c r="L142" s="80"/>
      <c r="M142" s="80"/>
      <c r="N142" s="80"/>
      <c r="O142" s="80"/>
      <c r="P142" s="80"/>
      <c r="Q142" s="80"/>
      <c r="R142" s="187"/>
      <c r="S142" s="81"/>
      <c r="T142" s="81"/>
      <c r="U142" s="81"/>
      <c r="V142" s="81"/>
      <c r="W142" s="81"/>
      <c r="X142" s="81"/>
    </row>
    <row r="143" spans="1:24" ht="13.5" customHeight="1">
      <c r="A143" s="186" t="s">
        <v>596</v>
      </c>
      <c r="B143" s="181" t="s">
        <v>673</v>
      </c>
      <c r="C143" s="188" t="s">
        <v>674</v>
      </c>
      <c r="D143" s="189" t="s">
        <v>123</v>
      </c>
      <c r="E143" s="82">
        <v>750</v>
      </c>
      <c r="F143" s="77">
        <f t="shared" si="1"/>
        <v>14818</v>
      </c>
      <c r="G143" s="80">
        <v>2250</v>
      </c>
      <c r="H143" s="80">
        <v>1152</v>
      </c>
      <c r="I143" s="80">
        <v>4916</v>
      </c>
      <c r="J143" s="80">
        <v>4000</v>
      </c>
      <c r="K143" s="80">
        <v>2500</v>
      </c>
      <c r="L143" s="80"/>
      <c r="M143" s="80"/>
      <c r="N143" s="80"/>
      <c r="O143" s="80"/>
      <c r="P143" s="80"/>
      <c r="Q143" s="80"/>
      <c r="R143" s="187"/>
      <c r="S143" s="81"/>
      <c r="T143" s="81"/>
      <c r="U143" s="81"/>
      <c r="V143" s="81"/>
      <c r="W143" s="81"/>
      <c r="X143" s="81"/>
    </row>
    <row r="144" spans="1:24" ht="13.5" customHeight="1">
      <c r="A144" s="186"/>
      <c r="B144" s="181"/>
      <c r="C144" s="188"/>
      <c r="D144" s="189" t="s">
        <v>765</v>
      </c>
      <c r="E144" s="82">
        <v>750</v>
      </c>
      <c r="F144" s="77">
        <f t="shared" si="1"/>
        <v>14818</v>
      </c>
      <c r="G144" s="80">
        <v>2250</v>
      </c>
      <c r="H144" s="80">
        <v>1152</v>
      </c>
      <c r="I144" s="80">
        <v>4916</v>
      </c>
      <c r="J144" s="80">
        <v>4000</v>
      </c>
      <c r="K144" s="80">
        <v>2500</v>
      </c>
      <c r="L144" s="80"/>
      <c r="M144" s="80"/>
      <c r="N144" s="80"/>
      <c r="O144" s="80"/>
      <c r="P144" s="80"/>
      <c r="Q144" s="80"/>
      <c r="R144" s="187"/>
      <c r="S144" s="81"/>
      <c r="T144" s="81"/>
      <c r="U144" s="81"/>
      <c r="V144" s="81"/>
      <c r="W144" s="81"/>
      <c r="X144" s="81"/>
    </row>
    <row r="145" spans="1:24" ht="13.5" customHeight="1">
      <c r="A145" s="186"/>
      <c r="B145" s="181"/>
      <c r="C145" s="188"/>
      <c r="D145" s="884" t="s">
        <v>944</v>
      </c>
      <c r="E145" s="82">
        <v>1650</v>
      </c>
      <c r="F145" s="77">
        <f t="shared" si="1"/>
        <v>15820</v>
      </c>
      <c r="G145" s="80">
        <v>2250</v>
      </c>
      <c r="H145" s="80">
        <v>1152</v>
      </c>
      <c r="I145" s="80">
        <v>5018</v>
      </c>
      <c r="J145" s="80">
        <v>3500</v>
      </c>
      <c r="K145" s="80">
        <v>3900</v>
      </c>
      <c r="L145" s="80"/>
      <c r="M145" s="80"/>
      <c r="N145" s="80"/>
      <c r="O145" s="80"/>
      <c r="P145" s="80"/>
      <c r="Q145" s="80"/>
      <c r="R145" s="187"/>
      <c r="S145" s="81"/>
      <c r="T145" s="81"/>
      <c r="U145" s="81"/>
      <c r="V145" s="81"/>
      <c r="W145" s="81"/>
      <c r="X145" s="81"/>
    </row>
    <row r="146" spans="1:24" ht="13.5" customHeight="1">
      <c r="A146" s="186" t="s">
        <v>596</v>
      </c>
      <c r="B146" s="181" t="s">
        <v>675</v>
      </c>
      <c r="C146" s="182" t="s">
        <v>676</v>
      </c>
      <c r="D146" s="189" t="s">
        <v>123</v>
      </c>
      <c r="E146" s="82">
        <v>140</v>
      </c>
      <c r="F146" s="77">
        <f t="shared" si="1"/>
        <v>26445</v>
      </c>
      <c r="G146" s="80">
        <v>9000</v>
      </c>
      <c r="H146" s="80">
        <v>4605</v>
      </c>
      <c r="I146" s="80">
        <v>12840</v>
      </c>
      <c r="J146" s="80"/>
      <c r="K146" s="80"/>
      <c r="L146" s="80"/>
      <c r="M146" s="80"/>
      <c r="N146" s="80"/>
      <c r="O146" s="80"/>
      <c r="P146" s="80"/>
      <c r="Q146" s="80"/>
      <c r="R146" s="187"/>
      <c r="S146" s="81"/>
      <c r="T146" s="81"/>
      <c r="U146" s="81"/>
      <c r="V146" s="81"/>
      <c r="W146" s="81"/>
      <c r="X146" s="81"/>
    </row>
    <row r="147" spans="1:24" ht="13.5" customHeight="1">
      <c r="A147" s="186"/>
      <c r="B147" s="181"/>
      <c r="C147" s="182"/>
      <c r="D147" s="189" t="s">
        <v>765</v>
      </c>
      <c r="E147" s="82">
        <v>140</v>
      </c>
      <c r="F147" s="77">
        <f t="shared" si="1"/>
        <v>26445</v>
      </c>
      <c r="G147" s="80">
        <v>9000</v>
      </c>
      <c r="H147" s="80">
        <v>4605</v>
      </c>
      <c r="I147" s="80">
        <v>12840</v>
      </c>
      <c r="J147" s="80"/>
      <c r="K147" s="80"/>
      <c r="L147" s="80"/>
      <c r="M147" s="80"/>
      <c r="N147" s="80"/>
      <c r="O147" s="80"/>
      <c r="P147" s="80"/>
      <c r="Q147" s="80"/>
      <c r="R147" s="187"/>
      <c r="S147" s="81"/>
      <c r="T147" s="81"/>
      <c r="U147" s="81"/>
      <c r="V147" s="81"/>
      <c r="W147" s="81"/>
      <c r="X147" s="81"/>
    </row>
    <row r="148" spans="1:24" ht="13.5" customHeight="1">
      <c r="A148" s="186"/>
      <c r="B148" s="181"/>
      <c r="C148" s="182"/>
      <c r="D148" s="884" t="s">
        <v>944</v>
      </c>
      <c r="E148" s="82">
        <v>140</v>
      </c>
      <c r="F148" s="77">
        <f t="shared" si="1"/>
        <v>26445</v>
      </c>
      <c r="G148" s="80">
        <v>9000</v>
      </c>
      <c r="H148" s="80">
        <v>4605</v>
      </c>
      <c r="I148" s="80">
        <v>12840</v>
      </c>
      <c r="J148" s="80"/>
      <c r="K148" s="80"/>
      <c r="L148" s="80"/>
      <c r="M148" s="80"/>
      <c r="N148" s="80"/>
      <c r="O148" s="80"/>
      <c r="P148" s="80"/>
      <c r="Q148" s="80"/>
      <c r="R148" s="187"/>
      <c r="S148" s="81"/>
      <c r="T148" s="81"/>
      <c r="U148" s="81"/>
      <c r="V148" s="81"/>
      <c r="W148" s="81"/>
      <c r="X148" s="81"/>
    </row>
    <row r="149" spans="1:24" ht="13.5" customHeight="1">
      <c r="A149" s="186" t="s">
        <v>596</v>
      </c>
      <c r="B149" s="181" t="s">
        <v>675</v>
      </c>
      <c r="C149" s="182" t="s">
        <v>677</v>
      </c>
      <c r="D149" s="189" t="s">
        <v>123</v>
      </c>
      <c r="E149" s="82"/>
      <c r="F149" s="77">
        <f t="shared" si="1"/>
        <v>1500</v>
      </c>
      <c r="G149" s="80"/>
      <c r="H149" s="80"/>
      <c r="I149" s="80">
        <v>1500</v>
      </c>
      <c r="J149" s="80"/>
      <c r="K149" s="80"/>
      <c r="L149" s="80"/>
      <c r="M149" s="80"/>
      <c r="N149" s="80"/>
      <c r="O149" s="80"/>
      <c r="P149" s="80"/>
      <c r="Q149" s="80"/>
      <c r="R149" s="187"/>
      <c r="S149" s="81"/>
      <c r="T149" s="81"/>
      <c r="U149" s="81"/>
      <c r="V149" s="81"/>
      <c r="W149" s="81"/>
      <c r="X149" s="81"/>
    </row>
    <row r="150" spans="1:24" ht="13.5" customHeight="1">
      <c r="A150" s="186"/>
      <c r="B150" s="181"/>
      <c r="C150" s="182"/>
      <c r="D150" s="189" t="s">
        <v>765</v>
      </c>
      <c r="E150" s="82"/>
      <c r="F150" s="77">
        <f t="shared" si="1"/>
        <v>1500</v>
      </c>
      <c r="G150" s="80"/>
      <c r="H150" s="80"/>
      <c r="I150" s="80">
        <v>1500</v>
      </c>
      <c r="J150" s="80"/>
      <c r="K150" s="80"/>
      <c r="L150" s="80"/>
      <c r="M150" s="80"/>
      <c r="N150" s="80"/>
      <c r="O150" s="80"/>
      <c r="P150" s="80"/>
      <c r="Q150" s="80"/>
      <c r="R150" s="187"/>
      <c r="S150" s="81"/>
      <c r="T150" s="81"/>
      <c r="U150" s="81"/>
      <c r="V150" s="81"/>
      <c r="W150" s="81"/>
      <c r="X150" s="81"/>
    </row>
    <row r="151" spans="1:24" ht="13.5" customHeight="1">
      <c r="A151" s="186"/>
      <c r="B151" s="181"/>
      <c r="C151" s="182"/>
      <c r="D151" s="884" t="s">
        <v>944</v>
      </c>
      <c r="E151" s="82"/>
      <c r="F151" s="77">
        <f t="shared" si="1"/>
        <v>1500</v>
      </c>
      <c r="G151" s="80"/>
      <c r="H151" s="80"/>
      <c r="I151" s="80">
        <v>1500</v>
      </c>
      <c r="J151" s="80"/>
      <c r="K151" s="80"/>
      <c r="L151" s="80"/>
      <c r="M151" s="80"/>
      <c r="N151" s="80"/>
      <c r="O151" s="80"/>
      <c r="P151" s="80"/>
      <c r="Q151" s="80"/>
      <c r="R151" s="187"/>
      <c r="S151" s="81"/>
      <c r="T151" s="81"/>
      <c r="U151" s="81"/>
      <c r="V151" s="81"/>
      <c r="W151" s="81"/>
      <c r="X151" s="81"/>
    </row>
    <row r="152" spans="1:24" ht="13.5" customHeight="1">
      <c r="A152" s="186" t="s">
        <v>596</v>
      </c>
      <c r="B152" s="181" t="s">
        <v>675</v>
      </c>
      <c r="C152" s="182" t="s">
        <v>678</v>
      </c>
      <c r="D152" s="189" t="s">
        <v>123</v>
      </c>
      <c r="E152" s="82">
        <v>4600</v>
      </c>
      <c r="F152" s="77">
        <f t="shared" si="1"/>
        <v>4600</v>
      </c>
      <c r="G152" s="80"/>
      <c r="H152" s="80"/>
      <c r="I152" s="80">
        <v>4600</v>
      </c>
      <c r="J152" s="80"/>
      <c r="K152" s="80"/>
      <c r="L152" s="80"/>
      <c r="M152" s="80"/>
      <c r="N152" s="80"/>
      <c r="O152" s="80"/>
      <c r="P152" s="80"/>
      <c r="Q152" s="80"/>
      <c r="R152" s="187"/>
      <c r="S152" s="81"/>
      <c r="T152" s="81"/>
      <c r="U152" s="81"/>
      <c r="V152" s="81"/>
      <c r="W152" s="81"/>
      <c r="X152" s="81"/>
    </row>
    <row r="153" spans="1:24" ht="13.5" customHeight="1">
      <c r="A153" s="186"/>
      <c r="B153" s="181"/>
      <c r="C153" s="182"/>
      <c r="D153" s="189" t="s">
        <v>765</v>
      </c>
      <c r="E153" s="82">
        <v>4600</v>
      </c>
      <c r="F153" s="77">
        <f t="shared" si="1"/>
        <v>4600</v>
      </c>
      <c r="G153" s="80"/>
      <c r="H153" s="80"/>
      <c r="I153" s="80">
        <v>4600</v>
      </c>
      <c r="J153" s="80"/>
      <c r="K153" s="80"/>
      <c r="L153" s="80"/>
      <c r="M153" s="80"/>
      <c r="N153" s="80"/>
      <c r="O153" s="80"/>
      <c r="P153" s="80"/>
      <c r="Q153" s="80"/>
      <c r="R153" s="187"/>
      <c r="S153" s="81"/>
      <c r="T153" s="81"/>
      <c r="U153" s="81"/>
      <c r="V153" s="81"/>
      <c r="W153" s="81"/>
      <c r="X153" s="81"/>
    </row>
    <row r="154" spans="1:24" ht="13.5" customHeight="1" thickBot="1">
      <c r="A154" s="194"/>
      <c r="B154" s="338"/>
      <c r="C154" s="339"/>
      <c r="D154" s="925" t="s">
        <v>944</v>
      </c>
      <c r="E154" s="340">
        <v>4600</v>
      </c>
      <c r="F154" s="631">
        <f t="shared" si="1"/>
        <v>4600</v>
      </c>
      <c r="G154" s="341"/>
      <c r="H154" s="341"/>
      <c r="I154" s="341">
        <v>4600</v>
      </c>
      <c r="J154" s="341"/>
      <c r="K154" s="341"/>
      <c r="L154" s="341"/>
      <c r="M154" s="341"/>
      <c r="N154" s="341"/>
      <c r="O154" s="341"/>
      <c r="P154" s="341"/>
      <c r="Q154" s="341"/>
      <c r="R154" s="625"/>
      <c r="S154" s="81"/>
      <c r="T154" s="81"/>
      <c r="U154" s="81"/>
      <c r="V154" s="81"/>
      <c r="W154" s="81"/>
      <c r="X154" s="81"/>
    </row>
    <row r="155" spans="1:24" ht="13.5" customHeight="1">
      <c r="A155" s="887" t="s">
        <v>596</v>
      </c>
      <c r="B155" s="342" t="s">
        <v>679</v>
      </c>
      <c r="C155" s="627" t="s">
        <v>680</v>
      </c>
      <c r="D155" s="888" t="s">
        <v>123</v>
      </c>
      <c r="E155" s="344"/>
      <c r="F155" s="344">
        <f t="shared" si="1"/>
        <v>1500</v>
      </c>
      <c r="G155" s="628"/>
      <c r="H155" s="628"/>
      <c r="I155" s="628">
        <v>1500</v>
      </c>
      <c r="J155" s="628"/>
      <c r="K155" s="628"/>
      <c r="L155" s="628"/>
      <c r="M155" s="628"/>
      <c r="N155" s="628"/>
      <c r="O155" s="629"/>
      <c r="P155" s="628"/>
      <c r="Q155" s="628"/>
      <c r="R155" s="889"/>
      <c r="S155" s="81"/>
      <c r="T155" s="81"/>
      <c r="U155" s="81"/>
      <c r="V155" s="81"/>
      <c r="W155" s="81"/>
      <c r="X155" s="81"/>
    </row>
    <row r="156" spans="1:24" ht="13.5" customHeight="1">
      <c r="A156" s="186"/>
      <c r="B156" s="181"/>
      <c r="C156" s="182"/>
      <c r="D156" s="189" t="s">
        <v>765</v>
      </c>
      <c r="E156" s="82"/>
      <c r="F156" s="77">
        <f t="shared" si="1"/>
        <v>1500</v>
      </c>
      <c r="G156" s="80"/>
      <c r="H156" s="80"/>
      <c r="I156" s="80">
        <v>1500</v>
      </c>
      <c r="J156" s="80"/>
      <c r="K156" s="80"/>
      <c r="L156" s="80"/>
      <c r="M156" s="80"/>
      <c r="N156" s="80"/>
      <c r="O156" s="83"/>
      <c r="P156" s="80"/>
      <c r="Q156" s="80"/>
      <c r="R156" s="187"/>
      <c r="S156" s="81"/>
      <c r="T156" s="81"/>
      <c r="U156" s="81"/>
      <c r="V156" s="81"/>
      <c r="W156" s="81"/>
      <c r="X156" s="81"/>
    </row>
    <row r="157" spans="1:24" ht="13.5" customHeight="1">
      <c r="A157" s="186"/>
      <c r="B157" s="181"/>
      <c r="C157" s="182"/>
      <c r="D157" s="884" t="s">
        <v>944</v>
      </c>
      <c r="E157" s="82"/>
      <c r="F157" s="77">
        <f t="shared" si="1"/>
        <v>1591</v>
      </c>
      <c r="G157" s="80">
        <v>300</v>
      </c>
      <c r="H157" s="80"/>
      <c r="I157" s="80">
        <v>1291</v>
      </c>
      <c r="J157" s="80"/>
      <c r="K157" s="80"/>
      <c r="L157" s="80"/>
      <c r="M157" s="80"/>
      <c r="N157" s="80"/>
      <c r="O157" s="83"/>
      <c r="P157" s="80"/>
      <c r="Q157" s="80"/>
      <c r="R157" s="187"/>
      <c r="S157" s="81"/>
      <c r="T157" s="81"/>
      <c r="U157" s="81"/>
      <c r="V157" s="81"/>
      <c r="W157" s="81"/>
      <c r="X157" s="81"/>
    </row>
    <row r="158" spans="1:29" ht="13.5" customHeight="1">
      <c r="A158" s="186" t="s">
        <v>596</v>
      </c>
      <c r="B158" s="181" t="s">
        <v>681</v>
      </c>
      <c r="C158" s="182" t="s">
        <v>682</v>
      </c>
      <c r="D158" s="189" t="s">
        <v>123</v>
      </c>
      <c r="E158" s="82"/>
      <c r="F158" s="77">
        <f t="shared" si="1"/>
        <v>0</v>
      </c>
      <c r="G158" s="80"/>
      <c r="H158" s="80"/>
      <c r="I158" s="80"/>
      <c r="J158" s="80"/>
      <c r="K158" s="80"/>
      <c r="L158" s="80"/>
      <c r="M158" s="80"/>
      <c r="N158" s="80"/>
      <c r="O158" s="83"/>
      <c r="P158" s="80"/>
      <c r="Q158" s="80"/>
      <c r="R158" s="187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</row>
    <row r="159" spans="1:29" ht="13.5" customHeight="1">
      <c r="A159" s="186"/>
      <c r="B159" s="181"/>
      <c r="C159" s="182"/>
      <c r="D159" s="189" t="s">
        <v>765</v>
      </c>
      <c r="E159" s="82"/>
      <c r="F159" s="77">
        <f t="shared" si="1"/>
        <v>0</v>
      </c>
      <c r="G159" s="80"/>
      <c r="H159" s="80"/>
      <c r="I159" s="80"/>
      <c r="J159" s="80"/>
      <c r="K159" s="80"/>
      <c r="L159" s="80"/>
      <c r="M159" s="80"/>
      <c r="N159" s="80"/>
      <c r="O159" s="83"/>
      <c r="P159" s="80"/>
      <c r="Q159" s="80"/>
      <c r="R159" s="187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</row>
    <row r="160" spans="1:29" ht="13.5" customHeight="1">
      <c r="A160" s="186"/>
      <c r="B160" s="181"/>
      <c r="C160" s="182"/>
      <c r="D160" s="884" t="s">
        <v>944</v>
      </c>
      <c r="E160" s="82"/>
      <c r="F160" s="77">
        <f t="shared" si="1"/>
        <v>0</v>
      </c>
      <c r="G160" s="80"/>
      <c r="H160" s="80"/>
      <c r="I160" s="80"/>
      <c r="J160" s="80"/>
      <c r="K160" s="80"/>
      <c r="L160" s="80"/>
      <c r="M160" s="80"/>
      <c r="N160" s="80"/>
      <c r="O160" s="83"/>
      <c r="P160" s="80"/>
      <c r="Q160" s="80"/>
      <c r="R160" s="187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</row>
    <row r="161" spans="1:24" ht="13.5" customHeight="1">
      <c r="A161" s="186" t="s">
        <v>596</v>
      </c>
      <c r="B161" s="181" t="s">
        <v>683</v>
      </c>
      <c r="C161" s="182" t="s">
        <v>279</v>
      </c>
      <c r="D161" s="189" t="s">
        <v>123</v>
      </c>
      <c r="E161" s="82"/>
      <c r="F161" s="77">
        <f t="shared" si="1"/>
        <v>2500</v>
      </c>
      <c r="G161" s="80"/>
      <c r="H161" s="80"/>
      <c r="I161" s="80"/>
      <c r="J161" s="80"/>
      <c r="K161" s="80">
        <v>2500</v>
      </c>
      <c r="L161" s="80"/>
      <c r="M161" s="80"/>
      <c r="N161" s="80"/>
      <c r="O161" s="80"/>
      <c r="P161" s="80"/>
      <c r="Q161" s="80"/>
      <c r="R161" s="187"/>
      <c r="S161" s="81"/>
      <c r="T161" s="81"/>
      <c r="U161" s="81"/>
      <c r="V161" s="81"/>
      <c r="W161" s="81"/>
      <c r="X161" s="81"/>
    </row>
    <row r="162" spans="1:24" ht="13.5" customHeight="1">
      <c r="A162" s="186"/>
      <c r="B162" s="181"/>
      <c r="C162" s="182"/>
      <c r="D162" s="189" t="s">
        <v>765</v>
      </c>
      <c r="E162" s="82"/>
      <c r="F162" s="77">
        <f t="shared" si="1"/>
        <v>2500</v>
      </c>
      <c r="G162" s="80"/>
      <c r="H162" s="80"/>
      <c r="I162" s="80"/>
      <c r="J162" s="80"/>
      <c r="K162" s="80">
        <v>2500</v>
      </c>
      <c r="L162" s="80"/>
      <c r="M162" s="80"/>
      <c r="N162" s="80"/>
      <c r="O162" s="80"/>
      <c r="P162" s="80"/>
      <c r="Q162" s="80"/>
      <c r="R162" s="187"/>
      <c r="S162" s="81"/>
      <c r="T162" s="81"/>
      <c r="U162" s="81"/>
      <c r="V162" s="81"/>
      <c r="W162" s="81"/>
      <c r="X162" s="81"/>
    </row>
    <row r="163" spans="1:24" ht="13.5" customHeight="1">
      <c r="A163" s="186"/>
      <c r="B163" s="181"/>
      <c r="C163" s="182"/>
      <c r="D163" s="884" t="s">
        <v>944</v>
      </c>
      <c r="E163" s="82"/>
      <c r="F163" s="77">
        <f t="shared" si="1"/>
        <v>2500</v>
      </c>
      <c r="G163" s="80"/>
      <c r="H163" s="80"/>
      <c r="I163" s="80"/>
      <c r="J163" s="80"/>
      <c r="K163" s="80">
        <v>2500</v>
      </c>
      <c r="L163" s="80"/>
      <c r="M163" s="80"/>
      <c r="N163" s="80"/>
      <c r="O163" s="80"/>
      <c r="P163" s="80"/>
      <c r="Q163" s="80"/>
      <c r="R163" s="187"/>
      <c r="S163" s="81"/>
      <c r="T163" s="81"/>
      <c r="U163" s="81"/>
      <c r="V163" s="81"/>
      <c r="W163" s="81"/>
      <c r="X163" s="81"/>
    </row>
    <row r="164" spans="1:24" ht="13.5" customHeight="1">
      <c r="A164" s="186" t="s">
        <v>596</v>
      </c>
      <c r="B164" s="181" t="s">
        <v>683</v>
      </c>
      <c r="C164" s="182" t="s">
        <v>684</v>
      </c>
      <c r="D164" s="189" t="s">
        <v>123</v>
      </c>
      <c r="E164" s="82"/>
      <c r="F164" s="77">
        <f t="shared" si="1"/>
        <v>2500</v>
      </c>
      <c r="G164" s="80"/>
      <c r="H164" s="80"/>
      <c r="I164" s="80"/>
      <c r="J164" s="80"/>
      <c r="K164" s="80">
        <v>2500</v>
      </c>
      <c r="L164" s="80"/>
      <c r="M164" s="80"/>
      <c r="N164" s="80"/>
      <c r="O164" s="80"/>
      <c r="P164" s="80"/>
      <c r="Q164" s="80"/>
      <c r="R164" s="187"/>
      <c r="S164" s="81"/>
      <c r="T164" s="81"/>
      <c r="U164" s="81"/>
      <c r="V164" s="81"/>
      <c r="W164" s="81"/>
      <c r="X164" s="81"/>
    </row>
    <row r="165" spans="1:24" ht="13.5" customHeight="1">
      <c r="A165" s="186"/>
      <c r="B165" s="181"/>
      <c r="C165" s="182"/>
      <c r="D165" s="189" t="s">
        <v>765</v>
      </c>
      <c r="E165" s="82"/>
      <c r="F165" s="77">
        <f t="shared" si="1"/>
        <v>2500</v>
      </c>
      <c r="G165" s="80"/>
      <c r="H165" s="80"/>
      <c r="I165" s="80"/>
      <c r="J165" s="80"/>
      <c r="K165" s="80">
        <v>2500</v>
      </c>
      <c r="L165" s="80"/>
      <c r="M165" s="80"/>
      <c r="N165" s="80"/>
      <c r="O165" s="80"/>
      <c r="P165" s="80"/>
      <c r="Q165" s="80"/>
      <c r="R165" s="187"/>
      <c r="S165" s="81"/>
      <c r="T165" s="81"/>
      <c r="U165" s="81"/>
      <c r="V165" s="81"/>
      <c r="W165" s="81"/>
      <c r="X165" s="81"/>
    </row>
    <row r="166" spans="1:24" ht="13.5" customHeight="1">
      <c r="A166" s="186"/>
      <c r="B166" s="181"/>
      <c r="C166" s="182"/>
      <c r="D166" s="884" t="s">
        <v>944</v>
      </c>
      <c r="E166" s="82"/>
      <c r="F166" s="77">
        <f t="shared" si="1"/>
        <v>2500</v>
      </c>
      <c r="G166" s="80"/>
      <c r="H166" s="80"/>
      <c r="I166" s="80"/>
      <c r="J166" s="80"/>
      <c r="K166" s="80">
        <v>2500</v>
      </c>
      <c r="L166" s="80"/>
      <c r="M166" s="80"/>
      <c r="N166" s="80"/>
      <c r="O166" s="80"/>
      <c r="P166" s="80"/>
      <c r="Q166" s="80"/>
      <c r="R166" s="187"/>
      <c r="S166" s="81"/>
      <c r="T166" s="81"/>
      <c r="U166" s="81"/>
      <c r="V166" s="81"/>
      <c r="W166" s="81"/>
      <c r="X166" s="81"/>
    </row>
    <row r="167" spans="1:24" ht="13.5" customHeight="1">
      <c r="A167" s="186" t="s">
        <v>596</v>
      </c>
      <c r="B167" s="181" t="s">
        <v>685</v>
      </c>
      <c r="C167" s="182" t="s">
        <v>686</v>
      </c>
      <c r="D167" s="189" t="s">
        <v>123</v>
      </c>
      <c r="E167" s="82"/>
      <c r="F167" s="77">
        <f t="shared" si="1"/>
        <v>0</v>
      </c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187"/>
      <c r="S167" s="81"/>
      <c r="T167" s="81"/>
      <c r="U167" s="81"/>
      <c r="V167" s="81"/>
      <c r="W167" s="81"/>
      <c r="X167" s="81"/>
    </row>
    <row r="168" spans="1:24" ht="13.5" customHeight="1">
      <c r="A168" s="186"/>
      <c r="B168" s="181"/>
      <c r="C168" s="182"/>
      <c r="D168" s="189" t="s">
        <v>765</v>
      </c>
      <c r="E168" s="82"/>
      <c r="F168" s="77">
        <f t="shared" si="1"/>
        <v>0</v>
      </c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187"/>
      <c r="S168" s="81"/>
      <c r="T168" s="81"/>
      <c r="U168" s="81"/>
      <c r="V168" s="81"/>
      <c r="W168" s="81"/>
      <c r="X168" s="81"/>
    </row>
    <row r="169" spans="1:24" ht="13.5" customHeight="1">
      <c r="A169" s="186"/>
      <c r="B169" s="181"/>
      <c r="C169" s="182"/>
      <c r="D169" s="884" t="s">
        <v>944</v>
      </c>
      <c r="E169" s="82"/>
      <c r="F169" s="77">
        <f t="shared" si="1"/>
        <v>0</v>
      </c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187"/>
      <c r="S169" s="81"/>
      <c r="T169" s="81"/>
      <c r="U169" s="81"/>
      <c r="V169" s="81"/>
      <c r="W169" s="81"/>
      <c r="X169" s="81"/>
    </row>
    <row r="170" spans="1:24" ht="13.5" customHeight="1">
      <c r="A170" s="186" t="s">
        <v>593</v>
      </c>
      <c r="B170" s="181" t="s">
        <v>687</v>
      </c>
      <c r="C170" s="182" t="s">
        <v>688</v>
      </c>
      <c r="D170" s="189" t="s">
        <v>123</v>
      </c>
      <c r="E170" s="82"/>
      <c r="F170" s="77">
        <f t="shared" si="1"/>
        <v>0</v>
      </c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187"/>
      <c r="S170" s="81"/>
      <c r="T170" s="81"/>
      <c r="U170" s="81"/>
      <c r="V170" s="81"/>
      <c r="W170" s="81"/>
      <c r="X170" s="81"/>
    </row>
    <row r="171" spans="1:24" ht="13.5" customHeight="1">
      <c r="A171" s="277"/>
      <c r="B171" s="273"/>
      <c r="C171" s="274"/>
      <c r="D171" s="916" t="s">
        <v>765</v>
      </c>
      <c r="E171" s="275"/>
      <c r="F171" s="77">
        <f t="shared" si="1"/>
        <v>0</v>
      </c>
      <c r="G171" s="276"/>
      <c r="H171" s="276"/>
      <c r="I171" s="276"/>
      <c r="J171" s="276"/>
      <c r="K171" s="276"/>
      <c r="L171" s="276"/>
      <c r="M171" s="276"/>
      <c r="N171" s="276"/>
      <c r="O171" s="276"/>
      <c r="P171" s="276"/>
      <c r="Q171" s="276"/>
      <c r="R171" s="891"/>
      <c r="S171" s="81"/>
      <c r="T171" s="81"/>
      <c r="U171" s="81"/>
      <c r="V171" s="81"/>
      <c r="W171" s="81"/>
      <c r="X171" s="81"/>
    </row>
    <row r="172" spans="1:24" ht="13.5" customHeight="1">
      <c r="A172" s="277"/>
      <c r="B172" s="273"/>
      <c r="C172" s="274"/>
      <c r="D172" s="884" t="s">
        <v>944</v>
      </c>
      <c r="E172" s="275"/>
      <c r="F172" s="77">
        <f t="shared" si="1"/>
        <v>0</v>
      </c>
      <c r="G172" s="276"/>
      <c r="H172" s="276"/>
      <c r="I172" s="276"/>
      <c r="J172" s="276"/>
      <c r="K172" s="276"/>
      <c r="L172" s="276"/>
      <c r="M172" s="276"/>
      <c r="N172" s="276"/>
      <c r="O172" s="276"/>
      <c r="P172" s="276"/>
      <c r="Q172" s="276"/>
      <c r="R172" s="891"/>
      <c r="S172" s="81"/>
      <c r="T172" s="81"/>
      <c r="U172" s="81"/>
      <c r="V172" s="81"/>
      <c r="W172" s="81"/>
      <c r="X172" s="81"/>
    </row>
    <row r="173" spans="1:24" ht="13.5" customHeight="1">
      <c r="A173" s="277" t="s">
        <v>593</v>
      </c>
      <c r="B173" s="273" t="s">
        <v>689</v>
      </c>
      <c r="C173" s="274" t="s">
        <v>690</v>
      </c>
      <c r="D173" s="890" t="s">
        <v>123</v>
      </c>
      <c r="E173" s="275">
        <v>300</v>
      </c>
      <c r="F173" s="77">
        <f t="shared" si="1"/>
        <v>0</v>
      </c>
      <c r="G173" s="280"/>
      <c r="H173" s="280"/>
      <c r="I173" s="280"/>
      <c r="J173" s="280"/>
      <c r="K173" s="280"/>
      <c r="L173" s="280"/>
      <c r="M173" s="280"/>
      <c r="N173" s="280"/>
      <c r="O173" s="280"/>
      <c r="P173" s="280"/>
      <c r="Q173" s="280"/>
      <c r="R173" s="891"/>
      <c r="S173" s="81"/>
      <c r="T173" s="81"/>
      <c r="U173" s="81"/>
      <c r="V173" s="81"/>
      <c r="W173" s="81"/>
      <c r="X173" s="81"/>
    </row>
    <row r="174" spans="1:24" ht="13.5" customHeight="1">
      <c r="A174" s="186"/>
      <c r="B174" s="181"/>
      <c r="C174" s="182"/>
      <c r="D174" s="189" t="s">
        <v>765</v>
      </c>
      <c r="E174" s="82">
        <v>300</v>
      </c>
      <c r="F174" s="77">
        <f t="shared" si="1"/>
        <v>0</v>
      </c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187"/>
      <c r="S174" s="81"/>
      <c r="T174" s="81"/>
      <c r="U174" s="81"/>
      <c r="V174" s="81"/>
      <c r="W174" s="81"/>
      <c r="X174" s="81"/>
    </row>
    <row r="175" spans="1:24" ht="13.5" customHeight="1">
      <c r="A175" s="883"/>
      <c r="B175" s="195"/>
      <c r="C175" s="196"/>
      <c r="D175" s="884" t="s">
        <v>944</v>
      </c>
      <c r="E175" s="77">
        <v>300</v>
      </c>
      <c r="F175" s="77">
        <f t="shared" si="1"/>
        <v>0</v>
      </c>
      <c r="G175" s="444"/>
      <c r="H175" s="444"/>
      <c r="I175" s="444"/>
      <c r="J175" s="444"/>
      <c r="K175" s="444"/>
      <c r="L175" s="444"/>
      <c r="M175" s="444"/>
      <c r="N175" s="444"/>
      <c r="O175" s="444"/>
      <c r="P175" s="444"/>
      <c r="Q175" s="444"/>
      <c r="R175" s="885"/>
      <c r="S175" s="81"/>
      <c r="T175" s="81"/>
      <c r="U175" s="81"/>
      <c r="V175" s="81"/>
      <c r="W175" s="81"/>
      <c r="X175" s="81"/>
    </row>
    <row r="176" spans="1:24" ht="13.5" customHeight="1">
      <c r="A176" s="883" t="s">
        <v>593</v>
      </c>
      <c r="B176" s="195" t="s">
        <v>689</v>
      </c>
      <c r="C176" s="196" t="s">
        <v>690</v>
      </c>
      <c r="D176" s="884" t="s">
        <v>123</v>
      </c>
      <c r="E176" s="77"/>
      <c r="F176" s="77">
        <f t="shared" si="1"/>
        <v>0</v>
      </c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885"/>
      <c r="S176" s="81"/>
      <c r="T176" s="81"/>
      <c r="U176" s="81"/>
      <c r="V176" s="81"/>
      <c r="W176" s="81"/>
      <c r="X176" s="81"/>
    </row>
    <row r="177" spans="1:24" ht="13.5" customHeight="1">
      <c r="A177" s="883"/>
      <c r="B177" s="195"/>
      <c r="C177" s="196"/>
      <c r="D177" s="884" t="s">
        <v>765</v>
      </c>
      <c r="E177" s="77"/>
      <c r="F177" s="77">
        <f t="shared" si="1"/>
        <v>0</v>
      </c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885"/>
      <c r="S177" s="81"/>
      <c r="T177" s="81"/>
      <c r="U177" s="81"/>
      <c r="V177" s="81"/>
      <c r="W177" s="81"/>
      <c r="X177" s="81"/>
    </row>
    <row r="178" spans="1:24" ht="13.5" customHeight="1">
      <c r="A178" s="883"/>
      <c r="B178" s="195"/>
      <c r="C178" s="196"/>
      <c r="D178" s="884" t="s">
        <v>944</v>
      </c>
      <c r="E178" s="77"/>
      <c r="F178" s="77">
        <f t="shared" si="1"/>
        <v>0</v>
      </c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885"/>
      <c r="S178" s="81"/>
      <c r="T178" s="81"/>
      <c r="U178" s="81"/>
      <c r="V178" s="81"/>
      <c r="W178" s="81"/>
      <c r="X178" s="81"/>
    </row>
    <row r="179" spans="1:18" s="81" customFormat="1" ht="13.5" customHeight="1">
      <c r="A179" s="186" t="s">
        <v>593</v>
      </c>
      <c r="B179" s="181" t="s">
        <v>689</v>
      </c>
      <c r="C179" s="182" t="s">
        <v>691</v>
      </c>
      <c r="D179" s="189" t="s">
        <v>123</v>
      </c>
      <c r="E179" s="82"/>
      <c r="F179" s="77">
        <f t="shared" si="1"/>
        <v>0</v>
      </c>
      <c r="G179" s="80"/>
      <c r="H179" s="80"/>
      <c r="I179" s="80"/>
      <c r="J179" s="80"/>
      <c r="K179" s="80"/>
      <c r="L179" s="80"/>
      <c r="M179" s="80"/>
      <c r="N179" s="80"/>
      <c r="O179" s="83"/>
      <c r="P179" s="80"/>
      <c r="Q179" s="80"/>
      <c r="R179" s="187"/>
    </row>
    <row r="180" spans="1:18" s="81" customFormat="1" ht="13.5" customHeight="1">
      <c r="A180" s="186"/>
      <c r="B180" s="181"/>
      <c r="C180" s="182"/>
      <c r="D180" s="189" t="s">
        <v>765</v>
      </c>
      <c r="E180" s="82"/>
      <c r="F180" s="77">
        <f t="shared" si="1"/>
        <v>0</v>
      </c>
      <c r="G180" s="80"/>
      <c r="H180" s="80"/>
      <c r="I180" s="80"/>
      <c r="J180" s="80"/>
      <c r="K180" s="80"/>
      <c r="L180" s="80"/>
      <c r="M180" s="80"/>
      <c r="N180" s="80"/>
      <c r="O180" s="83"/>
      <c r="P180" s="80"/>
      <c r="Q180" s="80"/>
      <c r="R180" s="187"/>
    </row>
    <row r="181" spans="1:18" s="81" customFormat="1" ht="13.5" customHeight="1">
      <c r="A181" s="186"/>
      <c r="B181" s="181"/>
      <c r="C181" s="182"/>
      <c r="D181" s="884" t="s">
        <v>944</v>
      </c>
      <c r="E181" s="82"/>
      <c r="F181" s="77">
        <f t="shared" si="1"/>
        <v>0</v>
      </c>
      <c r="G181" s="80"/>
      <c r="H181" s="80"/>
      <c r="I181" s="80"/>
      <c r="J181" s="80"/>
      <c r="K181" s="80"/>
      <c r="L181" s="80"/>
      <c r="M181" s="80"/>
      <c r="N181" s="80"/>
      <c r="O181" s="83"/>
      <c r="P181" s="80"/>
      <c r="Q181" s="80"/>
      <c r="R181" s="187"/>
    </row>
    <row r="182" spans="1:24" ht="13.5" customHeight="1">
      <c r="A182" s="186" t="s">
        <v>593</v>
      </c>
      <c r="B182" s="181" t="s">
        <v>692</v>
      </c>
      <c r="C182" s="182" t="s">
        <v>693</v>
      </c>
      <c r="D182" s="189" t="s">
        <v>123</v>
      </c>
      <c r="E182" s="82">
        <v>69600</v>
      </c>
      <c r="F182" s="77">
        <f t="shared" si="1"/>
        <v>0</v>
      </c>
      <c r="G182" s="80"/>
      <c r="H182" s="80"/>
      <c r="I182" s="80"/>
      <c r="J182" s="80"/>
      <c r="K182" s="80"/>
      <c r="L182" s="80"/>
      <c r="M182" s="80"/>
      <c r="N182" s="80"/>
      <c r="O182" s="83"/>
      <c r="P182" s="80"/>
      <c r="Q182" s="80"/>
      <c r="R182" s="187"/>
      <c r="S182" s="81"/>
      <c r="T182" s="81"/>
      <c r="U182" s="81"/>
      <c r="V182" s="81"/>
      <c r="W182" s="81"/>
      <c r="X182" s="81"/>
    </row>
    <row r="183" spans="1:24" ht="13.5" customHeight="1">
      <c r="A183" s="883"/>
      <c r="B183" s="195"/>
      <c r="C183" s="196"/>
      <c r="D183" s="884" t="s">
        <v>765</v>
      </c>
      <c r="E183" s="77">
        <v>69600</v>
      </c>
      <c r="F183" s="77">
        <f t="shared" si="1"/>
        <v>0</v>
      </c>
      <c r="G183" s="444"/>
      <c r="H183" s="444"/>
      <c r="I183" s="444"/>
      <c r="J183" s="444"/>
      <c r="K183" s="444"/>
      <c r="L183" s="444"/>
      <c r="M183" s="444"/>
      <c r="N183" s="444"/>
      <c r="O183" s="446"/>
      <c r="P183" s="444"/>
      <c r="Q183" s="444"/>
      <c r="R183" s="885"/>
      <c r="S183" s="81"/>
      <c r="T183" s="81"/>
      <c r="U183" s="81"/>
      <c r="V183" s="81"/>
      <c r="W183" s="81"/>
      <c r="X183" s="81"/>
    </row>
    <row r="184" spans="1:24" ht="13.5" customHeight="1">
      <c r="A184" s="883"/>
      <c r="B184" s="195"/>
      <c r="C184" s="196"/>
      <c r="D184" s="884" t="s">
        <v>944</v>
      </c>
      <c r="E184" s="77">
        <v>69600</v>
      </c>
      <c r="F184" s="77">
        <f t="shared" si="1"/>
        <v>0</v>
      </c>
      <c r="G184" s="444"/>
      <c r="H184" s="444"/>
      <c r="I184" s="444"/>
      <c r="J184" s="444"/>
      <c r="K184" s="444"/>
      <c r="L184" s="444"/>
      <c r="M184" s="444"/>
      <c r="N184" s="444"/>
      <c r="O184" s="446"/>
      <c r="P184" s="444"/>
      <c r="Q184" s="444"/>
      <c r="R184" s="885"/>
      <c r="S184" s="81"/>
      <c r="T184" s="81"/>
      <c r="U184" s="81"/>
      <c r="V184" s="81"/>
      <c r="W184" s="81"/>
      <c r="X184" s="81"/>
    </row>
    <row r="185" spans="1:24" ht="13.5" customHeight="1">
      <c r="A185" s="186" t="s">
        <v>593</v>
      </c>
      <c r="B185" s="181" t="s">
        <v>694</v>
      </c>
      <c r="C185" s="182" t="s">
        <v>695</v>
      </c>
      <c r="D185" s="189" t="s">
        <v>123</v>
      </c>
      <c r="E185" s="82">
        <v>30000</v>
      </c>
      <c r="F185" s="77">
        <f t="shared" si="1"/>
        <v>40975</v>
      </c>
      <c r="G185" s="79"/>
      <c r="H185" s="79"/>
      <c r="I185" s="79">
        <v>40975</v>
      </c>
      <c r="J185" s="79"/>
      <c r="K185" s="79"/>
      <c r="L185" s="79"/>
      <c r="M185" s="79"/>
      <c r="N185" s="79"/>
      <c r="O185" s="79"/>
      <c r="P185" s="79"/>
      <c r="Q185" s="79"/>
      <c r="R185" s="187"/>
      <c r="S185" s="81"/>
      <c r="T185" s="81"/>
      <c r="U185" s="81"/>
      <c r="V185" s="81"/>
      <c r="W185" s="81"/>
      <c r="X185" s="81"/>
    </row>
    <row r="186" spans="1:24" ht="13.5" customHeight="1">
      <c r="A186" s="186"/>
      <c r="B186" s="181"/>
      <c r="C186" s="182"/>
      <c r="D186" s="189" t="s">
        <v>765</v>
      </c>
      <c r="E186" s="82">
        <v>30000</v>
      </c>
      <c r="F186" s="77">
        <f t="shared" si="1"/>
        <v>40975</v>
      </c>
      <c r="G186" s="79"/>
      <c r="H186" s="79"/>
      <c r="I186" s="79">
        <v>40975</v>
      </c>
      <c r="J186" s="79"/>
      <c r="K186" s="79"/>
      <c r="L186" s="79"/>
      <c r="M186" s="79"/>
      <c r="N186" s="79"/>
      <c r="O186" s="79"/>
      <c r="P186" s="79"/>
      <c r="Q186" s="79"/>
      <c r="R186" s="187"/>
      <c r="S186" s="81"/>
      <c r="T186" s="81"/>
      <c r="U186" s="81"/>
      <c r="V186" s="81"/>
      <c r="W186" s="81"/>
      <c r="X186" s="81"/>
    </row>
    <row r="187" spans="1:24" ht="13.5" customHeight="1">
      <c r="A187" s="186"/>
      <c r="B187" s="181"/>
      <c r="C187" s="182"/>
      <c r="D187" s="884" t="s">
        <v>944</v>
      </c>
      <c r="E187" s="82">
        <v>30000</v>
      </c>
      <c r="F187" s="77">
        <f t="shared" si="1"/>
        <v>40975</v>
      </c>
      <c r="G187" s="79"/>
      <c r="H187" s="79"/>
      <c r="I187" s="79">
        <v>40975</v>
      </c>
      <c r="J187" s="79"/>
      <c r="K187" s="79"/>
      <c r="L187" s="79"/>
      <c r="M187" s="79"/>
      <c r="N187" s="79"/>
      <c r="O187" s="79"/>
      <c r="P187" s="79"/>
      <c r="Q187" s="79"/>
      <c r="R187" s="187"/>
      <c r="S187" s="81"/>
      <c r="T187" s="81"/>
      <c r="U187" s="81"/>
      <c r="V187" s="81"/>
      <c r="W187" s="81"/>
      <c r="X187" s="81"/>
    </row>
    <row r="188" spans="1:24" ht="13.5" customHeight="1">
      <c r="A188" s="186" t="s">
        <v>593</v>
      </c>
      <c r="B188" s="181" t="s">
        <v>696</v>
      </c>
      <c r="C188" s="182" t="s">
        <v>697</v>
      </c>
      <c r="D188" s="189" t="s">
        <v>123</v>
      </c>
      <c r="E188" s="82">
        <v>18000</v>
      </c>
      <c r="F188" s="77">
        <f t="shared" si="1"/>
        <v>0</v>
      </c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187"/>
      <c r="S188" s="81"/>
      <c r="T188" s="81"/>
      <c r="U188" s="81"/>
      <c r="V188" s="81"/>
      <c r="W188" s="81"/>
      <c r="X188" s="81"/>
    </row>
    <row r="189" spans="1:24" ht="13.5" customHeight="1">
      <c r="A189" s="186"/>
      <c r="B189" s="181"/>
      <c r="C189" s="182"/>
      <c r="D189" s="189" t="s">
        <v>765</v>
      </c>
      <c r="E189" s="82">
        <v>18000</v>
      </c>
      <c r="F189" s="77">
        <f t="shared" si="1"/>
        <v>0</v>
      </c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187"/>
      <c r="S189" s="81"/>
      <c r="T189" s="81"/>
      <c r="U189" s="81"/>
      <c r="V189" s="81"/>
      <c r="W189" s="81"/>
      <c r="X189" s="81"/>
    </row>
    <row r="190" spans="1:24" ht="13.5" customHeight="1">
      <c r="A190" s="186"/>
      <c r="B190" s="181"/>
      <c r="C190" s="182"/>
      <c r="D190" s="884" t="s">
        <v>944</v>
      </c>
      <c r="E190" s="82">
        <v>18000</v>
      </c>
      <c r="F190" s="77">
        <f t="shared" si="1"/>
        <v>0</v>
      </c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187"/>
      <c r="S190" s="81"/>
      <c r="T190" s="81"/>
      <c r="U190" s="81"/>
      <c r="V190" s="81"/>
      <c r="W190" s="81"/>
      <c r="X190" s="81"/>
    </row>
    <row r="191" spans="1:24" ht="13.5" customHeight="1">
      <c r="A191" s="186" t="s">
        <v>596</v>
      </c>
      <c r="B191" s="181" t="s">
        <v>696</v>
      </c>
      <c r="C191" s="182" t="s">
        <v>697</v>
      </c>
      <c r="D191" s="189" t="s">
        <v>123</v>
      </c>
      <c r="E191" s="82"/>
      <c r="F191" s="77">
        <f t="shared" si="1"/>
        <v>0</v>
      </c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187"/>
      <c r="S191" s="81"/>
      <c r="T191" s="81"/>
      <c r="U191" s="81"/>
      <c r="V191" s="81"/>
      <c r="W191" s="81"/>
      <c r="X191" s="81"/>
    </row>
    <row r="192" spans="1:24" ht="13.5" customHeight="1">
      <c r="A192" s="186"/>
      <c r="B192" s="181"/>
      <c r="C192" s="182"/>
      <c r="D192" s="189" t="s">
        <v>765</v>
      </c>
      <c r="E192" s="82"/>
      <c r="F192" s="77">
        <f t="shared" si="1"/>
        <v>0</v>
      </c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187"/>
      <c r="S192" s="81"/>
      <c r="T192" s="81"/>
      <c r="U192" s="81"/>
      <c r="V192" s="81"/>
      <c r="W192" s="81"/>
      <c r="X192" s="81"/>
    </row>
    <row r="193" spans="1:24" ht="13.5" customHeight="1">
      <c r="A193" s="186"/>
      <c r="B193" s="181"/>
      <c r="C193" s="182"/>
      <c r="D193" s="884" t="s">
        <v>944</v>
      </c>
      <c r="E193" s="82"/>
      <c r="F193" s="77">
        <f t="shared" si="1"/>
        <v>0</v>
      </c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187"/>
      <c r="S193" s="81"/>
      <c r="T193" s="81"/>
      <c r="U193" s="81"/>
      <c r="V193" s="81"/>
      <c r="W193" s="81"/>
      <c r="X193" s="81"/>
    </row>
    <row r="194" spans="1:24" ht="13.5" customHeight="1">
      <c r="A194" s="186" t="s">
        <v>596</v>
      </c>
      <c r="B194" s="181" t="s">
        <v>696</v>
      </c>
      <c r="C194" s="182" t="s">
        <v>697</v>
      </c>
      <c r="D194" s="189" t="s">
        <v>123</v>
      </c>
      <c r="E194" s="82">
        <v>4950</v>
      </c>
      <c r="F194" s="77">
        <f t="shared" si="1"/>
        <v>0</v>
      </c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187"/>
      <c r="S194" s="81"/>
      <c r="T194" s="81"/>
      <c r="U194" s="81"/>
      <c r="V194" s="81"/>
      <c r="W194" s="81"/>
      <c r="X194" s="81"/>
    </row>
    <row r="195" spans="1:24" ht="13.5" customHeight="1">
      <c r="A195" s="186"/>
      <c r="B195" s="181"/>
      <c r="C195" s="182"/>
      <c r="D195" s="189" t="s">
        <v>765</v>
      </c>
      <c r="E195" s="82">
        <v>4950</v>
      </c>
      <c r="F195" s="77">
        <f t="shared" si="1"/>
        <v>0</v>
      </c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187"/>
      <c r="S195" s="81"/>
      <c r="T195" s="81"/>
      <c r="U195" s="81"/>
      <c r="V195" s="81"/>
      <c r="W195" s="81"/>
      <c r="X195" s="81"/>
    </row>
    <row r="196" spans="1:24" ht="13.5" customHeight="1">
      <c r="A196" s="186"/>
      <c r="B196" s="181"/>
      <c r="C196" s="182"/>
      <c r="D196" s="884" t="s">
        <v>944</v>
      </c>
      <c r="E196" s="82">
        <v>4950</v>
      </c>
      <c r="F196" s="77">
        <f t="shared" si="1"/>
        <v>0</v>
      </c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187"/>
      <c r="S196" s="81"/>
      <c r="T196" s="81"/>
      <c r="U196" s="81"/>
      <c r="V196" s="81"/>
      <c r="W196" s="81"/>
      <c r="X196" s="81"/>
    </row>
    <row r="197" spans="1:24" ht="13.5" customHeight="1">
      <c r="A197" s="186" t="s">
        <v>593</v>
      </c>
      <c r="B197" s="181" t="s">
        <v>698</v>
      </c>
      <c r="C197" s="182" t="s">
        <v>699</v>
      </c>
      <c r="D197" s="189" t="s">
        <v>123</v>
      </c>
      <c r="E197" s="82"/>
      <c r="F197" s="77">
        <f t="shared" si="1"/>
        <v>25000</v>
      </c>
      <c r="G197" s="80"/>
      <c r="H197" s="80"/>
      <c r="I197" s="80"/>
      <c r="J197" s="80"/>
      <c r="K197" s="80">
        <v>25000</v>
      </c>
      <c r="L197" s="80"/>
      <c r="M197" s="80"/>
      <c r="N197" s="80"/>
      <c r="O197" s="80"/>
      <c r="P197" s="80"/>
      <c r="Q197" s="80"/>
      <c r="R197" s="187"/>
      <c r="S197" s="81"/>
      <c r="T197" s="81"/>
      <c r="U197" s="81"/>
      <c r="V197" s="81"/>
      <c r="W197" s="81"/>
      <c r="X197" s="81"/>
    </row>
    <row r="198" spans="1:24" ht="13.5" customHeight="1">
      <c r="A198" s="186"/>
      <c r="B198" s="181"/>
      <c r="C198" s="182"/>
      <c r="D198" s="189" t="s">
        <v>765</v>
      </c>
      <c r="E198" s="82"/>
      <c r="F198" s="77">
        <f t="shared" si="1"/>
        <v>25000</v>
      </c>
      <c r="G198" s="80"/>
      <c r="H198" s="80"/>
      <c r="I198" s="80"/>
      <c r="J198" s="80"/>
      <c r="K198" s="80">
        <v>25000</v>
      </c>
      <c r="L198" s="80"/>
      <c r="M198" s="80"/>
      <c r="N198" s="80"/>
      <c r="O198" s="80"/>
      <c r="P198" s="80"/>
      <c r="Q198" s="80"/>
      <c r="R198" s="187"/>
      <c r="S198" s="81"/>
      <c r="T198" s="81"/>
      <c r="U198" s="81"/>
      <c r="V198" s="81"/>
      <c r="W198" s="81"/>
      <c r="X198" s="81"/>
    </row>
    <row r="199" spans="1:24" ht="13.5" customHeight="1">
      <c r="A199" s="186"/>
      <c r="B199" s="181"/>
      <c r="C199" s="182"/>
      <c r="D199" s="884" t="s">
        <v>944</v>
      </c>
      <c r="E199" s="82"/>
      <c r="F199" s="77">
        <f t="shared" si="1"/>
        <v>25000</v>
      </c>
      <c r="G199" s="80"/>
      <c r="H199" s="80"/>
      <c r="I199" s="80"/>
      <c r="J199" s="80"/>
      <c r="K199" s="80">
        <v>25000</v>
      </c>
      <c r="L199" s="80"/>
      <c r="M199" s="80"/>
      <c r="N199" s="80"/>
      <c r="O199" s="80"/>
      <c r="P199" s="80"/>
      <c r="Q199" s="80"/>
      <c r="R199" s="187"/>
      <c r="S199" s="81"/>
      <c r="T199" s="81"/>
      <c r="U199" s="81"/>
      <c r="V199" s="81"/>
      <c r="W199" s="81"/>
      <c r="X199" s="81"/>
    </row>
    <row r="200" spans="1:24" ht="13.5" customHeight="1">
      <c r="A200" s="186" t="s">
        <v>596</v>
      </c>
      <c r="B200" s="181" t="s">
        <v>698</v>
      </c>
      <c r="C200" s="182" t="s">
        <v>699</v>
      </c>
      <c r="D200" s="189" t="s">
        <v>123</v>
      </c>
      <c r="E200" s="82"/>
      <c r="F200" s="77">
        <f t="shared" si="1"/>
        <v>29000</v>
      </c>
      <c r="G200" s="80"/>
      <c r="H200" s="80"/>
      <c r="I200" s="80"/>
      <c r="J200" s="80"/>
      <c r="K200" s="80">
        <v>29000</v>
      </c>
      <c r="L200" s="80"/>
      <c r="M200" s="80"/>
      <c r="N200" s="80"/>
      <c r="O200" s="80"/>
      <c r="P200" s="80"/>
      <c r="Q200" s="80"/>
      <c r="R200" s="187"/>
      <c r="S200" s="81"/>
      <c r="T200" s="81"/>
      <c r="U200" s="81"/>
      <c r="V200" s="81"/>
      <c r="W200" s="81"/>
      <c r="X200" s="81"/>
    </row>
    <row r="201" spans="1:24" ht="13.5" customHeight="1">
      <c r="A201" s="186"/>
      <c r="B201" s="181"/>
      <c r="C201" s="182"/>
      <c r="D201" s="189" t="s">
        <v>765</v>
      </c>
      <c r="E201" s="82"/>
      <c r="F201" s="77">
        <f t="shared" si="1"/>
        <v>29000</v>
      </c>
      <c r="G201" s="80"/>
      <c r="H201" s="80"/>
      <c r="I201" s="80"/>
      <c r="J201" s="80"/>
      <c r="K201" s="80">
        <v>29000</v>
      </c>
      <c r="L201" s="80"/>
      <c r="M201" s="80"/>
      <c r="N201" s="80"/>
      <c r="O201" s="80"/>
      <c r="P201" s="80"/>
      <c r="Q201" s="80"/>
      <c r="R201" s="187"/>
      <c r="S201" s="81"/>
      <c r="T201" s="81"/>
      <c r="U201" s="81"/>
      <c r="V201" s="81"/>
      <c r="W201" s="81"/>
      <c r="X201" s="81"/>
    </row>
    <row r="202" spans="1:24" ht="13.5" customHeight="1">
      <c r="A202" s="186"/>
      <c r="B202" s="181"/>
      <c r="C202" s="182"/>
      <c r="D202" s="884" t="s">
        <v>944</v>
      </c>
      <c r="E202" s="82"/>
      <c r="F202" s="77">
        <f aca="true" t="shared" si="2" ref="F202:F217">SUM(G202:R202)</f>
        <v>29000</v>
      </c>
      <c r="G202" s="80"/>
      <c r="H202" s="80"/>
      <c r="I202" s="80"/>
      <c r="J202" s="80"/>
      <c r="K202" s="80">
        <v>29000</v>
      </c>
      <c r="L202" s="80"/>
      <c r="M202" s="80"/>
      <c r="N202" s="80"/>
      <c r="O202" s="80"/>
      <c r="P202" s="80"/>
      <c r="Q202" s="80"/>
      <c r="R202" s="187"/>
      <c r="S202" s="81"/>
      <c r="T202" s="81"/>
      <c r="U202" s="81"/>
      <c r="V202" s="81"/>
      <c r="W202" s="81"/>
      <c r="X202" s="81"/>
    </row>
    <row r="203" spans="1:24" ht="13.5" customHeight="1">
      <c r="A203" s="186" t="s">
        <v>596</v>
      </c>
      <c r="B203" s="181" t="s">
        <v>698</v>
      </c>
      <c r="C203" s="182" t="s">
        <v>699</v>
      </c>
      <c r="D203" s="189" t="s">
        <v>123</v>
      </c>
      <c r="E203" s="82"/>
      <c r="F203" s="77">
        <f t="shared" si="2"/>
        <v>150</v>
      </c>
      <c r="G203" s="80"/>
      <c r="H203" s="80"/>
      <c r="I203" s="80"/>
      <c r="J203" s="80"/>
      <c r="K203" s="80">
        <v>150</v>
      </c>
      <c r="L203" s="80"/>
      <c r="M203" s="80"/>
      <c r="N203" s="80"/>
      <c r="O203" s="80"/>
      <c r="P203" s="80"/>
      <c r="Q203" s="80"/>
      <c r="R203" s="187"/>
      <c r="S203" s="81"/>
      <c r="T203" s="81"/>
      <c r="U203" s="81"/>
      <c r="V203" s="81"/>
      <c r="W203" s="81"/>
      <c r="X203" s="81"/>
    </row>
    <row r="204" spans="1:24" ht="13.5" customHeight="1">
      <c r="A204" s="186"/>
      <c r="B204" s="181"/>
      <c r="C204" s="182"/>
      <c r="D204" s="189" t="s">
        <v>765</v>
      </c>
      <c r="E204" s="82"/>
      <c r="F204" s="77">
        <f t="shared" si="2"/>
        <v>150</v>
      </c>
      <c r="G204" s="80"/>
      <c r="H204" s="80"/>
      <c r="I204" s="80"/>
      <c r="J204" s="80"/>
      <c r="K204" s="80">
        <v>150</v>
      </c>
      <c r="L204" s="80"/>
      <c r="M204" s="80"/>
      <c r="N204" s="80"/>
      <c r="O204" s="80"/>
      <c r="P204" s="80"/>
      <c r="Q204" s="80"/>
      <c r="R204" s="187"/>
      <c r="S204" s="81"/>
      <c r="T204" s="81"/>
      <c r="U204" s="81"/>
      <c r="V204" s="81"/>
      <c r="W204" s="81"/>
      <c r="X204" s="81"/>
    </row>
    <row r="205" spans="1:24" ht="13.5" customHeight="1">
      <c r="A205" s="186"/>
      <c r="B205" s="181"/>
      <c r="C205" s="182"/>
      <c r="D205" s="884" t="s">
        <v>944</v>
      </c>
      <c r="E205" s="82"/>
      <c r="F205" s="77">
        <f t="shared" si="2"/>
        <v>300</v>
      </c>
      <c r="G205" s="80"/>
      <c r="H205" s="80"/>
      <c r="I205" s="80"/>
      <c r="J205" s="80"/>
      <c r="K205" s="80">
        <v>300</v>
      </c>
      <c r="L205" s="80"/>
      <c r="M205" s="80"/>
      <c r="N205" s="80"/>
      <c r="O205" s="80"/>
      <c r="P205" s="80"/>
      <c r="Q205" s="80"/>
      <c r="R205" s="187"/>
      <c r="S205" s="81"/>
      <c r="T205" s="81"/>
      <c r="U205" s="81"/>
      <c r="V205" s="81"/>
      <c r="W205" s="81"/>
      <c r="X205" s="81"/>
    </row>
    <row r="206" spans="1:24" ht="13.5" customHeight="1">
      <c r="A206" s="186" t="s">
        <v>593</v>
      </c>
      <c r="B206" s="181" t="s">
        <v>698</v>
      </c>
      <c r="C206" s="182" t="s">
        <v>699</v>
      </c>
      <c r="D206" s="189" t="s">
        <v>123</v>
      </c>
      <c r="E206" s="82"/>
      <c r="F206" s="77">
        <f t="shared" si="2"/>
        <v>2500</v>
      </c>
      <c r="G206" s="80"/>
      <c r="H206" s="80"/>
      <c r="I206" s="80"/>
      <c r="J206" s="80"/>
      <c r="K206" s="80">
        <v>2500</v>
      </c>
      <c r="L206" s="80"/>
      <c r="M206" s="80"/>
      <c r="N206" s="80"/>
      <c r="O206" s="80"/>
      <c r="P206" s="80"/>
      <c r="Q206" s="80"/>
      <c r="R206" s="187"/>
      <c r="S206" s="81"/>
      <c r="T206" s="81"/>
      <c r="U206" s="81"/>
      <c r="V206" s="81"/>
      <c r="W206" s="81"/>
      <c r="X206" s="81"/>
    </row>
    <row r="207" spans="1:24" ht="13.5" customHeight="1">
      <c r="A207" s="186"/>
      <c r="B207" s="181"/>
      <c r="C207" s="182"/>
      <c r="D207" s="189" t="s">
        <v>765</v>
      </c>
      <c r="E207" s="82"/>
      <c r="F207" s="77">
        <f t="shared" si="2"/>
        <v>2500</v>
      </c>
      <c r="G207" s="80"/>
      <c r="H207" s="80"/>
      <c r="I207" s="80"/>
      <c r="J207" s="80"/>
      <c r="K207" s="80">
        <v>2500</v>
      </c>
      <c r="L207" s="80"/>
      <c r="M207" s="80"/>
      <c r="N207" s="80"/>
      <c r="O207" s="80"/>
      <c r="P207" s="80"/>
      <c r="Q207" s="80"/>
      <c r="R207" s="187"/>
      <c r="S207" s="81"/>
      <c r="T207" s="81"/>
      <c r="U207" s="81"/>
      <c r="V207" s="81"/>
      <c r="W207" s="81"/>
      <c r="X207" s="81"/>
    </row>
    <row r="208" spans="1:24" ht="13.5" customHeight="1">
      <c r="A208" s="186"/>
      <c r="B208" s="181"/>
      <c r="C208" s="182"/>
      <c r="D208" s="884" t="s">
        <v>944</v>
      </c>
      <c r="E208" s="82"/>
      <c r="F208" s="77">
        <f t="shared" si="2"/>
        <v>2500</v>
      </c>
      <c r="G208" s="80"/>
      <c r="H208" s="80"/>
      <c r="I208" s="80"/>
      <c r="J208" s="80"/>
      <c r="K208" s="80">
        <v>2500</v>
      </c>
      <c r="L208" s="80"/>
      <c r="M208" s="80"/>
      <c r="N208" s="80"/>
      <c r="O208" s="80"/>
      <c r="P208" s="80"/>
      <c r="Q208" s="80"/>
      <c r="R208" s="187"/>
      <c r="S208" s="81"/>
      <c r="T208" s="81"/>
      <c r="U208" s="81"/>
      <c r="V208" s="81"/>
      <c r="W208" s="81"/>
      <c r="X208" s="81"/>
    </row>
    <row r="209" spans="1:24" ht="13.5" customHeight="1">
      <c r="A209" s="186" t="s">
        <v>588</v>
      </c>
      <c r="B209" s="181" t="s">
        <v>700</v>
      </c>
      <c r="C209" s="182" t="s">
        <v>701</v>
      </c>
      <c r="D209" s="189" t="s">
        <v>123</v>
      </c>
      <c r="E209" s="82">
        <v>904031</v>
      </c>
      <c r="F209" s="77">
        <f t="shared" si="2"/>
        <v>222032</v>
      </c>
      <c r="G209" s="80"/>
      <c r="H209" s="80"/>
      <c r="I209" s="80">
        <v>44916</v>
      </c>
      <c r="J209" s="80"/>
      <c r="K209" s="80"/>
      <c r="L209" s="80"/>
      <c r="M209" s="80"/>
      <c r="N209" s="80"/>
      <c r="O209" s="80">
        <v>808</v>
      </c>
      <c r="P209" s="80"/>
      <c r="Q209" s="80">
        <v>176308</v>
      </c>
      <c r="R209" s="187"/>
      <c r="S209" s="81"/>
      <c r="T209" s="81"/>
      <c r="U209" s="81"/>
      <c r="V209" s="81"/>
      <c r="W209" s="81"/>
      <c r="X209" s="81"/>
    </row>
    <row r="210" spans="1:24" ht="13.5" customHeight="1">
      <c r="A210" s="186"/>
      <c r="B210" s="181"/>
      <c r="C210" s="182"/>
      <c r="D210" s="189" t="s">
        <v>765</v>
      </c>
      <c r="E210" s="82">
        <v>904031</v>
      </c>
      <c r="F210" s="77">
        <f t="shared" si="2"/>
        <v>163547</v>
      </c>
      <c r="G210" s="80"/>
      <c r="H210" s="80"/>
      <c r="I210" s="80">
        <v>21628</v>
      </c>
      <c r="J210" s="80"/>
      <c r="K210" s="80"/>
      <c r="L210" s="80"/>
      <c r="M210" s="80"/>
      <c r="N210" s="80"/>
      <c r="O210" s="80">
        <v>808</v>
      </c>
      <c r="P210" s="80"/>
      <c r="Q210" s="80">
        <v>141111</v>
      </c>
      <c r="R210" s="187"/>
      <c r="S210" s="81"/>
      <c r="T210" s="81"/>
      <c r="U210" s="81"/>
      <c r="V210" s="81"/>
      <c r="W210" s="81"/>
      <c r="X210" s="81"/>
    </row>
    <row r="211" spans="1:24" ht="13.5" customHeight="1">
      <c r="A211" s="186"/>
      <c r="B211" s="181"/>
      <c r="C211" s="182"/>
      <c r="D211" s="884" t="s">
        <v>944</v>
      </c>
      <c r="E211" s="82">
        <v>900000</v>
      </c>
      <c r="F211" s="77">
        <f t="shared" si="2"/>
        <v>116592</v>
      </c>
      <c r="G211" s="80"/>
      <c r="H211" s="80"/>
      <c r="I211" s="80">
        <v>21929</v>
      </c>
      <c r="J211" s="80"/>
      <c r="K211" s="80"/>
      <c r="L211" s="80"/>
      <c r="M211" s="80"/>
      <c r="N211" s="80"/>
      <c r="O211" s="80">
        <v>808</v>
      </c>
      <c r="P211" s="80"/>
      <c r="Q211" s="80">
        <v>93855</v>
      </c>
      <c r="R211" s="187"/>
      <c r="S211" s="81"/>
      <c r="T211" s="81"/>
      <c r="U211" s="81"/>
      <c r="V211" s="81"/>
      <c r="W211" s="81"/>
      <c r="X211" s="81"/>
    </row>
    <row r="212" spans="1:24" ht="13.5" customHeight="1">
      <c r="A212" s="186" t="s">
        <v>588</v>
      </c>
      <c r="B212" s="181" t="s">
        <v>702</v>
      </c>
      <c r="C212" s="182" t="s">
        <v>703</v>
      </c>
      <c r="D212" s="189" t="s">
        <v>123</v>
      </c>
      <c r="E212" s="82"/>
      <c r="F212" s="77">
        <f t="shared" si="2"/>
        <v>13000</v>
      </c>
      <c r="G212" s="80"/>
      <c r="H212" s="80"/>
      <c r="I212" s="80"/>
      <c r="J212" s="80"/>
      <c r="K212" s="80"/>
      <c r="L212" s="80">
        <v>13000</v>
      </c>
      <c r="M212" s="80"/>
      <c r="N212" s="80"/>
      <c r="O212" s="80"/>
      <c r="P212" s="80"/>
      <c r="Q212" s="80"/>
      <c r="R212" s="187"/>
      <c r="S212" s="81"/>
      <c r="T212" s="81"/>
      <c r="U212" s="81"/>
      <c r="V212" s="81"/>
      <c r="W212" s="81"/>
      <c r="X212" s="81"/>
    </row>
    <row r="213" spans="1:24" ht="13.5" customHeight="1">
      <c r="A213" s="186"/>
      <c r="B213" s="181"/>
      <c r="C213" s="182"/>
      <c r="D213" s="189" t="s">
        <v>765</v>
      </c>
      <c r="E213" s="82"/>
      <c r="F213" s="77">
        <f t="shared" si="2"/>
        <v>10189</v>
      </c>
      <c r="G213" s="80"/>
      <c r="H213" s="80"/>
      <c r="I213" s="80"/>
      <c r="J213" s="80"/>
      <c r="K213" s="80"/>
      <c r="L213" s="80">
        <v>10189</v>
      </c>
      <c r="M213" s="80"/>
      <c r="N213" s="80"/>
      <c r="O213" s="80"/>
      <c r="P213" s="80"/>
      <c r="Q213" s="80"/>
      <c r="R213" s="187"/>
      <c r="S213" s="81"/>
      <c r="T213" s="81"/>
      <c r="U213" s="81"/>
      <c r="V213" s="81"/>
      <c r="W213" s="81"/>
      <c r="X213" s="81"/>
    </row>
    <row r="214" spans="1:24" ht="13.5" customHeight="1">
      <c r="A214" s="186"/>
      <c r="B214" s="181"/>
      <c r="C214" s="182"/>
      <c r="D214" s="884" t="s">
        <v>944</v>
      </c>
      <c r="E214" s="82"/>
      <c r="F214" s="77">
        <f t="shared" si="2"/>
        <v>10189</v>
      </c>
      <c r="G214" s="80"/>
      <c r="H214" s="80"/>
      <c r="I214" s="80"/>
      <c r="J214" s="80"/>
      <c r="K214" s="80"/>
      <c r="L214" s="80">
        <v>10189</v>
      </c>
      <c r="M214" s="80"/>
      <c r="N214" s="80"/>
      <c r="O214" s="80"/>
      <c r="P214" s="80"/>
      <c r="Q214" s="80"/>
      <c r="R214" s="187"/>
      <c r="S214" s="81"/>
      <c r="T214" s="81"/>
      <c r="U214" s="81"/>
      <c r="V214" s="81"/>
      <c r="W214" s="81"/>
      <c r="X214" s="81"/>
    </row>
    <row r="215" spans="1:24" ht="13.5" customHeight="1">
      <c r="A215" s="186" t="s">
        <v>588</v>
      </c>
      <c r="B215" s="181" t="s">
        <v>702</v>
      </c>
      <c r="C215" s="182" t="s">
        <v>759</v>
      </c>
      <c r="D215" s="189" t="s">
        <v>123</v>
      </c>
      <c r="E215" s="82"/>
      <c r="F215" s="77">
        <f t="shared" si="2"/>
        <v>1476965</v>
      </c>
      <c r="G215" s="80"/>
      <c r="H215" s="80"/>
      <c r="I215" s="80"/>
      <c r="J215" s="80"/>
      <c r="K215" s="80"/>
      <c r="L215" s="80">
        <v>148700</v>
      </c>
      <c r="M215" s="80"/>
      <c r="N215" s="80"/>
      <c r="O215" s="80"/>
      <c r="P215" s="80">
        <v>1328265</v>
      </c>
      <c r="Q215" s="80"/>
      <c r="R215" s="187"/>
      <c r="S215" s="81"/>
      <c r="T215" s="81"/>
      <c r="U215" s="81"/>
      <c r="V215" s="81"/>
      <c r="W215" s="81"/>
      <c r="X215" s="81"/>
    </row>
    <row r="216" spans="1:24" ht="13.5" customHeight="1">
      <c r="A216" s="186"/>
      <c r="B216" s="181"/>
      <c r="C216" s="182"/>
      <c r="D216" s="189" t="s">
        <v>765</v>
      </c>
      <c r="E216" s="82"/>
      <c r="F216" s="77">
        <f t="shared" si="2"/>
        <v>1522160</v>
      </c>
      <c r="G216" s="80"/>
      <c r="H216" s="80"/>
      <c r="I216" s="80"/>
      <c r="J216" s="80"/>
      <c r="K216" s="80"/>
      <c r="L216" s="80">
        <v>177707</v>
      </c>
      <c r="M216" s="80"/>
      <c r="N216" s="80"/>
      <c r="O216" s="80"/>
      <c r="P216" s="80">
        <v>1344453</v>
      </c>
      <c r="Q216" s="80"/>
      <c r="R216" s="187"/>
      <c r="S216" s="81"/>
      <c r="T216" s="81"/>
      <c r="U216" s="81"/>
      <c r="V216" s="81"/>
      <c r="W216" s="81"/>
      <c r="X216" s="81"/>
    </row>
    <row r="217" spans="1:24" ht="13.5" customHeight="1">
      <c r="A217" s="186"/>
      <c r="B217" s="181"/>
      <c r="C217" s="182"/>
      <c r="D217" s="884" t="s">
        <v>944</v>
      </c>
      <c r="E217" s="82"/>
      <c r="F217" s="77">
        <f t="shared" si="2"/>
        <v>1428864</v>
      </c>
      <c r="G217" s="80"/>
      <c r="H217" s="80"/>
      <c r="I217" s="80"/>
      <c r="J217" s="80"/>
      <c r="K217" s="80"/>
      <c r="L217" s="80">
        <v>129942</v>
      </c>
      <c r="M217" s="80"/>
      <c r="N217" s="80"/>
      <c r="O217" s="80"/>
      <c r="P217" s="80">
        <v>1298922</v>
      </c>
      <c r="Q217" s="80"/>
      <c r="R217" s="187"/>
      <c r="S217" s="81"/>
      <c r="T217" s="81"/>
      <c r="U217" s="81"/>
      <c r="V217" s="81"/>
      <c r="W217" s="81"/>
      <c r="X217" s="81"/>
    </row>
    <row r="218" spans="1:24" ht="13.5" customHeight="1">
      <c r="A218" s="186"/>
      <c r="B218" s="995" t="s">
        <v>525</v>
      </c>
      <c r="C218" s="995"/>
      <c r="D218" s="177" t="s">
        <v>163</v>
      </c>
      <c r="E218" s="85">
        <f aca="true" t="shared" si="3" ref="E218:R218">SUM(E8+E11+E14+E17+E20+E23+E26+E29+E32+E35+E38+E41+E44+E47+E50+E53+E56+E59+E62+E65+E68+E71+E74+E77+E80+E83+E86+E89+E92+E95+E98+E101+E104+E107+E110+E113+E116+E119+E122+E125+E128+E131+E134+E137+E140+E143+E146+E149+E152+E155+E158+E161+E164+E167+E170+E173+E176+E179+E182+E185+E188+E191+E194+E197+E200+E203+E206+E209+E212+E215)</f>
        <v>8092646</v>
      </c>
      <c r="F218" s="85">
        <f t="shared" si="3"/>
        <v>8092646</v>
      </c>
      <c r="G218" s="85">
        <f t="shared" si="3"/>
        <v>193853</v>
      </c>
      <c r="H218" s="85">
        <f t="shared" si="3"/>
        <v>44709</v>
      </c>
      <c r="I218" s="85">
        <f t="shared" si="3"/>
        <v>896883</v>
      </c>
      <c r="J218" s="85">
        <f t="shared" si="3"/>
        <v>840414</v>
      </c>
      <c r="K218" s="85">
        <f t="shared" si="3"/>
        <v>64150</v>
      </c>
      <c r="L218" s="85">
        <f t="shared" si="3"/>
        <v>161700</v>
      </c>
      <c r="M218" s="85">
        <f t="shared" si="3"/>
        <v>251919</v>
      </c>
      <c r="N218" s="85">
        <f t="shared" si="3"/>
        <v>2418569</v>
      </c>
      <c r="O218" s="85">
        <f t="shared" si="3"/>
        <v>78069</v>
      </c>
      <c r="P218" s="85">
        <f t="shared" si="3"/>
        <v>1328265</v>
      </c>
      <c r="Q218" s="85">
        <f t="shared" si="3"/>
        <v>176308</v>
      </c>
      <c r="R218" s="86">
        <f t="shared" si="3"/>
        <v>1637807</v>
      </c>
      <c r="S218" s="81"/>
      <c r="T218" s="81"/>
      <c r="U218" s="81"/>
      <c r="V218" s="81"/>
      <c r="W218" s="81"/>
      <c r="X218" s="81"/>
    </row>
    <row r="219" spans="1:24" ht="13.5" customHeight="1">
      <c r="A219" s="186"/>
      <c r="B219" s="177"/>
      <c r="C219" s="177"/>
      <c r="D219" s="177" t="s">
        <v>765</v>
      </c>
      <c r="E219" s="85">
        <f aca="true" t="shared" si="4" ref="E219:R219">SUM(E9+E12+E15+E18+E21+E24+E27+E30+E33+E36+E39+E42+E45+E48+E51+E54+E57+E60+E63+E66+E69+E72+E75+E78+E81+E84+E87+E90+E93+E96+E99+E102+E105+E108+E111+E114+E117+E120+E123+E126+E129+E132+E135+E138+E141+E144+E147+E150+E153+E156+E159+E162+E165+E168+E171+E174+E177+E180+E183+E186+E189+E192+E195+E198+E201+E204+E207+E210+E213+E216)</f>
        <v>8276823</v>
      </c>
      <c r="F219" s="85">
        <f t="shared" si="4"/>
        <v>8276823</v>
      </c>
      <c r="G219" s="85">
        <f t="shared" si="4"/>
        <v>207023</v>
      </c>
      <c r="H219" s="85">
        <f t="shared" si="4"/>
        <v>47857</v>
      </c>
      <c r="I219" s="85">
        <f t="shared" si="4"/>
        <v>914379</v>
      </c>
      <c r="J219" s="85">
        <f t="shared" si="4"/>
        <v>863548</v>
      </c>
      <c r="K219" s="85">
        <f t="shared" si="4"/>
        <v>64150</v>
      </c>
      <c r="L219" s="85">
        <f t="shared" si="4"/>
        <v>187896</v>
      </c>
      <c r="M219" s="85">
        <f t="shared" si="4"/>
        <v>260634</v>
      </c>
      <c r="N219" s="85">
        <f t="shared" si="4"/>
        <v>2495689</v>
      </c>
      <c r="O219" s="85">
        <f t="shared" si="4"/>
        <v>102070</v>
      </c>
      <c r="P219" s="85">
        <f t="shared" si="4"/>
        <v>1344453</v>
      </c>
      <c r="Q219" s="85">
        <f t="shared" si="4"/>
        <v>141111</v>
      </c>
      <c r="R219" s="86">
        <f t="shared" si="4"/>
        <v>1648013</v>
      </c>
      <c r="S219" s="81"/>
      <c r="T219" s="81"/>
      <c r="U219" s="81"/>
      <c r="V219" s="81"/>
      <c r="W219" s="81"/>
      <c r="X219" s="81"/>
    </row>
    <row r="220" spans="1:24" ht="13.5" customHeight="1">
      <c r="A220" s="186"/>
      <c r="B220" s="177"/>
      <c r="C220" s="177"/>
      <c r="D220" s="892" t="s">
        <v>944</v>
      </c>
      <c r="E220" s="85">
        <f>SUM(E10+E13+E16+E19+E22+E25+E28+E31+E34+E37+E40+E43+E46+E49+E52+E55+E58+E61+E64+E67+E70+E73+E76+E79+E82+E85+E88+E91+E94+E97+E100+E103+E106+E109+E112+E115+E118+E121+E124+E127+E130+E133+E136+E139+E142+E145+E148+E151+E154+E157+E160+E163+E166+E169+E172+E175+E178+E181+E184+E187+E190+E193+E196+E199+E202+E205+E208+E211+E214+E217)</f>
        <v>8293386</v>
      </c>
      <c r="F220" s="85">
        <f aca="true" t="shared" si="5" ref="F220:R220">SUM(F10+F13+F16+F19+F22+F25+F28+F31+F34+F37+F40+F43+F46+F49+F52+F55+F58+F61+F64+F67+F70+F73+F76+F79+F82+F85+F88+F91+F94+F97+F100+F103+F106+F109+F112+F115+F118+F121+F124+F127+F130+F133+F136+F139+F142+F145+F148+F151+F154+F157+F160+F163+F166+F169+F172+F175+F178+F181+F184+F187+F190+F193+F196+F199+F202+F205+F208+F211+F214+F217)</f>
        <v>8293386</v>
      </c>
      <c r="G220" s="85">
        <f t="shared" si="5"/>
        <v>216832</v>
      </c>
      <c r="H220" s="85">
        <f t="shared" si="5"/>
        <v>46850</v>
      </c>
      <c r="I220" s="85">
        <f t="shared" si="5"/>
        <v>937226</v>
      </c>
      <c r="J220" s="85">
        <f t="shared" si="5"/>
        <v>890555</v>
      </c>
      <c r="K220" s="85">
        <f t="shared" si="5"/>
        <v>65700</v>
      </c>
      <c r="L220" s="85">
        <f t="shared" si="5"/>
        <v>140131</v>
      </c>
      <c r="M220" s="85">
        <f t="shared" si="5"/>
        <v>334376</v>
      </c>
      <c r="N220" s="85">
        <f t="shared" si="5"/>
        <v>2527109</v>
      </c>
      <c r="O220" s="85">
        <f t="shared" si="5"/>
        <v>81049</v>
      </c>
      <c r="P220" s="85">
        <f t="shared" si="5"/>
        <v>1298922</v>
      </c>
      <c r="Q220" s="85">
        <f t="shared" si="5"/>
        <v>93855</v>
      </c>
      <c r="R220" s="86">
        <f t="shared" si="5"/>
        <v>1660781</v>
      </c>
      <c r="S220" s="81"/>
      <c r="T220" s="81"/>
      <c r="U220" s="81"/>
      <c r="V220" s="81"/>
      <c r="W220" s="81"/>
      <c r="X220" s="81"/>
    </row>
    <row r="221" spans="1:24" ht="13.5" customHeight="1">
      <c r="A221" s="186"/>
      <c r="B221" s="177"/>
      <c r="C221" s="177"/>
      <c r="D221" s="193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6"/>
      <c r="S221" s="81"/>
      <c r="T221" s="81"/>
      <c r="U221" s="81"/>
      <c r="V221" s="81"/>
      <c r="W221" s="81"/>
      <c r="X221" s="81"/>
    </row>
    <row r="222" spans="1:24" ht="13.5" customHeight="1">
      <c r="A222" s="186"/>
      <c r="B222" s="988" t="s">
        <v>760</v>
      </c>
      <c r="C222" s="988"/>
      <c r="D222" s="193" t="s">
        <v>163</v>
      </c>
      <c r="E222" s="87">
        <f aca="true" t="shared" si="6" ref="E222:R222">SUM(E14+E20+E23+E47+E50+E53+E56+E59+E62+E65+E68+E71+E74+E80+E83+E86+E89+E95+E98+E101+E104+E107+E110+E113+E116+E128+E140+E170+E173+E176+E179+E182+E185+E188+E197+E206)</f>
        <v>5509970</v>
      </c>
      <c r="F222" s="87">
        <f t="shared" si="6"/>
        <v>3649045</v>
      </c>
      <c r="G222" s="87">
        <f t="shared" si="6"/>
        <v>108281</v>
      </c>
      <c r="H222" s="87">
        <f t="shared" si="6"/>
        <v>13023</v>
      </c>
      <c r="I222" s="87">
        <f t="shared" si="6"/>
        <v>747137</v>
      </c>
      <c r="J222" s="87">
        <f t="shared" si="6"/>
        <v>235022</v>
      </c>
      <c r="K222" s="87">
        <f t="shared" si="6"/>
        <v>27500</v>
      </c>
      <c r="L222" s="87">
        <f t="shared" si="6"/>
        <v>0</v>
      </c>
      <c r="M222" s="87">
        <f t="shared" si="6"/>
        <v>249379</v>
      </c>
      <c r="N222" s="87">
        <f t="shared" si="6"/>
        <v>2245994</v>
      </c>
      <c r="O222" s="87">
        <f t="shared" si="6"/>
        <v>22709</v>
      </c>
      <c r="P222" s="87">
        <f t="shared" si="6"/>
        <v>0</v>
      </c>
      <c r="Q222" s="87">
        <f t="shared" si="6"/>
        <v>0</v>
      </c>
      <c r="R222" s="88">
        <f t="shared" si="6"/>
        <v>0</v>
      </c>
      <c r="S222" s="81"/>
      <c r="T222" s="81"/>
      <c r="U222" s="81"/>
      <c r="V222" s="81"/>
      <c r="W222" s="81"/>
      <c r="X222" s="81"/>
    </row>
    <row r="223" spans="1:24" ht="13.5" customHeight="1">
      <c r="A223" s="186"/>
      <c r="B223" s="193"/>
      <c r="C223" s="193"/>
      <c r="D223" s="193" t="s">
        <v>765</v>
      </c>
      <c r="E223" s="87">
        <f aca="true" t="shared" si="7" ref="E223:R224">SUM(E15+E21+E24+E48+E51+E54+E57+E60+E63+E66+E69+E72+E75+E81+E84+E87+E90+E96+E99+E102+E105+E108+E111+E114+E117+E129+E141+E171+E174+E177+E180+E183+E186+E189+E198+E207)</f>
        <v>5509971</v>
      </c>
      <c r="F223" s="87">
        <f t="shared" si="7"/>
        <v>3787298</v>
      </c>
      <c r="G223" s="87">
        <f t="shared" si="7"/>
        <v>109957</v>
      </c>
      <c r="H223" s="87">
        <f t="shared" si="7"/>
        <v>13430</v>
      </c>
      <c r="I223" s="87">
        <f t="shared" si="7"/>
        <v>741471</v>
      </c>
      <c r="J223" s="87">
        <f t="shared" si="7"/>
        <v>235022</v>
      </c>
      <c r="K223" s="87">
        <f t="shared" si="7"/>
        <v>27500</v>
      </c>
      <c r="L223" s="87">
        <f t="shared" si="7"/>
        <v>0</v>
      </c>
      <c r="M223" s="87">
        <f t="shared" si="7"/>
        <v>258094</v>
      </c>
      <c r="N223" s="87">
        <f t="shared" si="7"/>
        <v>2379114</v>
      </c>
      <c r="O223" s="87">
        <f t="shared" si="7"/>
        <v>22710</v>
      </c>
      <c r="P223" s="87">
        <f t="shared" si="7"/>
        <v>0</v>
      </c>
      <c r="Q223" s="87">
        <f t="shared" si="7"/>
        <v>0</v>
      </c>
      <c r="R223" s="88">
        <f t="shared" si="7"/>
        <v>0</v>
      </c>
      <c r="S223" s="81"/>
      <c r="T223" s="81"/>
      <c r="U223" s="81"/>
      <c r="V223" s="81"/>
      <c r="W223" s="81"/>
      <c r="X223" s="81"/>
    </row>
    <row r="224" spans="1:24" ht="13.5" customHeight="1">
      <c r="A224" s="186"/>
      <c r="B224" s="193"/>
      <c r="C224" s="193"/>
      <c r="D224" s="892" t="s">
        <v>944</v>
      </c>
      <c r="E224" s="87">
        <f t="shared" si="7"/>
        <v>5523577</v>
      </c>
      <c r="F224" s="87">
        <f t="shared" si="7"/>
        <v>3928177</v>
      </c>
      <c r="G224" s="87">
        <f t="shared" si="7"/>
        <v>116537</v>
      </c>
      <c r="H224" s="87">
        <f t="shared" si="7"/>
        <v>15030</v>
      </c>
      <c r="I224" s="87">
        <f t="shared" si="7"/>
        <v>765301</v>
      </c>
      <c r="J224" s="87">
        <f t="shared" si="7"/>
        <v>239009</v>
      </c>
      <c r="K224" s="87">
        <f t="shared" si="7"/>
        <v>27500</v>
      </c>
      <c r="L224" s="87">
        <f t="shared" si="7"/>
        <v>0</v>
      </c>
      <c r="M224" s="87">
        <f t="shared" si="7"/>
        <v>331388</v>
      </c>
      <c r="N224" s="87">
        <f t="shared" si="7"/>
        <v>2410702</v>
      </c>
      <c r="O224" s="87">
        <f t="shared" si="7"/>
        <v>22710</v>
      </c>
      <c r="P224" s="87">
        <f t="shared" si="7"/>
        <v>0</v>
      </c>
      <c r="Q224" s="87">
        <f t="shared" si="7"/>
        <v>0</v>
      </c>
      <c r="R224" s="88">
        <f t="shared" si="7"/>
        <v>0</v>
      </c>
      <c r="S224" s="81"/>
      <c r="T224" s="81"/>
      <c r="U224" s="81"/>
      <c r="V224" s="81"/>
      <c r="W224" s="81"/>
      <c r="X224" s="81"/>
    </row>
    <row r="225" spans="1:24" ht="13.5" customHeight="1">
      <c r="A225" s="186"/>
      <c r="B225" s="193"/>
      <c r="C225" s="193"/>
      <c r="D225" s="193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8"/>
      <c r="S225" s="81"/>
      <c r="T225" s="81"/>
      <c r="U225" s="81"/>
      <c r="V225" s="81"/>
      <c r="W225" s="81"/>
      <c r="X225" s="81"/>
    </row>
    <row r="226" spans="1:24" ht="13.5" customHeight="1">
      <c r="A226" s="186"/>
      <c r="B226" s="988" t="s">
        <v>763</v>
      </c>
      <c r="C226" s="988"/>
      <c r="D226" s="193" t="s">
        <v>163</v>
      </c>
      <c r="E226" s="87">
        <f aca="true" t="shared" si="8" ref="E226:R226">SUM(E17+E26+E29+E32+E35+E77+E92+E119+E122+E125+E131+E134+E137+E143+E146+E149+E152+E155+E158+E161+E164+E167+E191+E194+E200+E203)</f>
        <v>25755</v>
      </c>
      <c r="F226" s="87">
        <f t="shared" si="8"/>
        <v>504628</v>
      </c>
      <c r="G226" s="87">
        <f t="shared" si="8"/>
        <v>37310</v>
      </c>
      <c r="H226" s="87">
        <f t="shared" si="8"/>
        <v>16821</v>
      </c>
      <c r="I226" s="87">
        <f t="shared" si="8"/>
        <v>73861</v>
      </c>
      <c r="J226" s="87">
        <f t="shared" si="8"/>
        <v>285434</v>
      </c>
      <c r="K226" s="87">
        <f t="shared" si="8"/>
        <v>36650</v>
      </c>
      <c r="L226" s="87">
        <f t="shared" si="8"/>
        <v>0</v>
      </c>
      <c r="M226" s="87">
        <f t="shared" si="8"/>
        <v>0</v>
      </c>
      <c r="N226" s="87">
        <f t="shared" si="8"/>
        <v>0</v>
      </c>
      <c r="O226" s="87">
        <f t="shared" si="8"/>
        <v>54552</v>
      </c>
      <c r="P226" s="87">
        <f t="shared" si="8"/>
        <v>0</v>
      </c>
      <c r="Q226" s="87">
        <f t="shared" si="8"/>
        <v>0</v>
      </c>
      <c r="R226" s="88">
        <f t="shared" si="8"/>
        <v>0</v>
      </c>
      <c r="S226" s="81"/>
      <c r="T226" s="81"/>
      <c r="U226" s="81"/>
      <c r="V226" s="81"/>
      <c r="W226" s="81"/>
      <c r="X226" s="81"/>
    </row>
    <row r="227" spans="1:24" ht="13.5" customHeight="1">
      <c r="A227" s="186"/>
      <c r="B227" s="193"/>
      <c r="C227" s="193"/>
      <c r="D227" s="193" t="s">
        <v>765</v>
      </c>
      <c r="E227" s="87">
        <f aca="true" t="shared" si="9" ref="E227:R228">SUM(E18+E27+E30+E33+E36+E78+E93+E120+E123+E126+E132+E135+E138+E144+E147+E150+E153+E156+E159+E162+E165+E168+E192+E195+E201+E204)</f>
        <v>25755</v>
      </c>
      <c r="F227" s="87">
        <f t="shared" si="9"/>
        <v>531655</v>
      </c>
      <c r="G227" s="87">
        <f t="shared" si="9"/>
        <v>37980</v>
      </c>
      <c r="H227" s="87">
        <f t="shared" si="9"/>
        <v>16821</v>
      </c>
      <c r="I227" s="87">
        <f t="shared" si="9"/>
        <v>74568</v>
      </c>
      <c r="J227" s="87">
        <f t="shared" si="9"/>
        <v>287084</v>
      </c>
      <c r="K227" s="87">
        <f t="shared" si="9"/>
        <v>36650</v>
      </c>
      <c r="L227" s="87">
        <f t="shared" si="9"/>
        <v>0</v>
      </c>
      <c r="M227" s="87">
        <f t="shared" si="9"/>
        <v>0</v>
      </c>
      <c r="N227" s="87">
        <f t="shared" si="9"/>
        <v>0</v>
      </c>
      <c r="O227" s="87">
        <f t="shared" si="9"/>
        <v>78552</v>
      </c>
      <c r="P227" s="87">
        <f t="shared" si="9"/>
        <v>0</v>
      </c>
      <c r="Q227" s="87">
        <f t="shared" si="9"/>
        <v>0</v>
      </c>
      <c r="R227" s="88">
        <f t="shared" si="9"/>
        <v>0</v>
      </c>
      <c r="S227" s="81"/>
      <c r="T227" s="81"/>
      <c r="U227" s="81"/>
      <c r="V227" s="81"/>
      <c r="W227" s="81"/>
      <c r="X227" s="81"/>
    </row>
    <row r="228" spans="1:24" ht="13.5" customHeight="1">
      <c r="A228" s="186"/>
      <c r="B228" s="193"/>
      <c r="C228" s="193"/>
      <c r="D228" s="892" t="s">
        <v>944</v>
      </c>
      <c r="E228" s="87">
        <f t="shared" si="9"/>
        <v>27055</v>
      </c>
      <c r="F228" s="87">
        <f t="shared" si="9"/>
        <v>526541</v>
      </c>
      <c r="G228" s="87">
        <f t="shared" si="9"/>
        <v>38896</v>
      </c>
      <c r="H228" s="87">
        <f t="shared" si="9"/>
        <v>16821</v>
      </c>
      <c r="I228" s="87">
        <f t="shared" si="9"/>
        <v>74911</v>
      </c>
      <c r="J228" s="87">
        <f t="shared" si="9"/>
        <v>300182</v>
      </c>
      <c r="K228" s="87">
        <f t="shared" si="9"/>
        <v>38200</v>
      </c>
      <c r="L228" s="87">
        <f t="shared" si="9"/>
        <v>0</v>
      </c>
      <c r="M228" s="87">
        <f t="shared" si="9"/>
        <v>0</v>
      </c>
      <c r="N228" s="87">
        <f t="shared" si="9"/>
        <v>0</v>
      </c>
      <c r="O228" s="87">
        <f t="shared" si="9"/>
        <v>57531</v>
      </c>
      <c r="P228" s="87">
        <f t="shared" si="9"/>
        <v>0</v>
      </c>
      <c r="Q228" s="87">
        <f t="shared" si="9"/>
        <v>0</v>
      </c>
      <c r="R228" s="88">
        <f t="shared" si="9"/>
        <v>0</v>
      </c>
      <c r="S228" s="81"/>
      <c r="T228" s="81"/>
      <c r="U228" s="81"/>
      <c r="V228" s="81"/>
      <c r="W228" s="81"/>
      <c r="X228" s="81"/>
    </row>
    <row r="229" spans="1:24" ht="13.5" customHeight="1">
      <c r="A229" s="186"/>
      <c r="B229" s="193"/>
      <c r="C229" s="193"/>
      <c r="D229" s="884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8"/>
      <c r="S229" s="81"/>
      <c r="T229" s="81"/>
      <c r="U229" s="81"/>
      <c r="V229" s="81"/>
      <c r="W229" s="81"/>
      <c r="X229" s="81"/>
    </row>
    <row r="230" spans="1:24" ht="13.5" customHeight="1">
      <c r="A230" s="186"/>
      <c r="B230" s="988" t="s">
        <v>764</v>
      </c>
      <c r="C230" s="988"/>
      <c r="D230" s="193" t="s">
        <v>163</v>
      </c>
      <c r="E230" s="87">
        <f aca="true" t="shared" si="10" ref="E230:R230">SUM(E8+E11+E38+E41+E44+E209+E212+E215)</f>
        <v>2556921</v>
      </c>
      <c r="F230" s="87">
        <f t="shared" si="10"/>
        <v>3938973</v>
      </c>
      <c r="G230" s="87">
        <f t="shared" si="10"/>
        <v>48262</v>
      </c>
      <c r="H230" s="87">
        <f t="shared" si="10"/>
        <v>14865</v>
      </c>
      <c r="I230" s="87">
        <f t="shared" si="10"/>
        <v>75885</v>
      </c>
      <c r="J230" s="87">
        <f t="shared" si="10"/>
        <v>319958</v>
      </c>
      <c r="K230" s="87">
        <f t="shared" si="10"/>
        <v>0</v>
      </c>
      <c r="L230" s="87">
        <f t="shared" si="10"/>
        <v>161700</v>
      </c>
      <c r="M230" s="87">
        <f t="shared" si="10"/>
        <v>2540</v>
      </c>
      <c r="N230" s="87">
        <f t="shared" si="10"/>
        <v>172575</v>
      </c>
      <c r="O230" s="87">
        <f t="shared" si="10"/>
        <v>808</v>
      </c>
      <c r="P230" s="87">
        <f t="shared" si="10"/>
        <v>1328265</v>
      </c>
      <c r="Q230" s="87">
        <f t="shared" si="10"/>
        <v>176308</v>
      </c>
      <c r="R230" s="88">
        <f t="shared" si="10"/>
        <v>1637807</v>
      </c>
      <c r="S230" s="81"/>
      <c r="T230" s="81"/>
      <c r="U230" s="81"/>
      <c r="V230" s="81"/>
      <c r="W230" s="81"/>
      <c r="X230" s="81"/>
    </row>
    <row r="231" spans="1:24" ht="13.5" customHeight="1">
      <c r="A231" s="186"/>
      <c r="B231" s="83"/>
      <c r="C231" s="626"/>
      <c r="D231" s="177" t="s">
        <v>765</v>
      </c>
      <c r="E231" s="87">
        <f aca="true" t="shared" si="11" ref="E231:R232">SUM(E9+E12+E39+E42+E45+E210+E213+E216)</f>
        <v>2741097</v>
      </c>
      <c r="F231" s="87">
        <f t="shared" si="11"/>
        <v>3957870</v>
      </c>
      <c r="G231" s="87">
        <f t="shared" si="11"/>
        <v>59086</v>
      </c>
      <c r="H231" s="87">
        <f t="shared" si="11"/>
        <v>17606</v>
      </c>
      <c r="I231" s="87">
        <f t="shared" si="11"/>
        <v>98340</v>
      </c>
      <c r="J231" s="87">
        <f t="shared" si="11"/>
        <v>341442</v>
      </c>
      <c r="K231" s="87">
        <f t="shared" si="11"/>
        <v>0</v>
      </c>
      <c r="L231" s="87">
        <f t="shared" si="11"/>
        <v>187896</v>
      </c>
      <c r="M231" s="87">
        <f t="shared" si="11"/>
        <v>2540</v>
      </c>
      <c r="N231" s="87">
        <f t="shared" si="11"/>
        <v>116575</v>
      </c>
      <c r="O231" s="87">
        <f t="shared" si="11"/>
        <v>808</v>
      </c>
      <c r="P231" s="87">
        <f t="shared" si="11"/>
        <v>1344453</v>
      </c>
      <c r="Q231" s="87">
        <f t="shared" si="11"/>
        <v>141111</v>
      </c>
      <c r="R231" s="88">
        <f t="shared" si="11"/>
        <v>1648013</v>
      </c>
      <c r="S231" s="81"/>
      <c r="T231" s="81"/>
      <c r="U231" s="81"/>
      <c r="V231" s="81"/>
      <c r="W231" s="81"/>
      <c r="X231" s="81"/>
    </row>
    <row r="232" spans="1:24" ht="13.5" customHeight="1" thickBot="1">
      <c r="A232" s="194"/>
      <c r="B232" s="278"/>
      <c r="C232" s="279"/>
      <c r="D232" s="893" t="s">
        <v>944</v>
      </c>
      <c r="E232" s="917">
        <f t="shared" si="11"/>
        <v>2742754</v>
      </c>
      <c r="F232" s="917">
        <f t="shared" si="11"/>
        <v>3838668</v>
      </c>
      <c r="G232" s="917">
        <f t="shared" si="11"/>
        <v>61399</v>
      </c>
      <c r="H232" s="917">
        <f t="shared" si="11"/>
        <v>14999</v>
      </c>
      <c r="I232" s="917">
        <f t="shared" si="11"/>
        <v>97014</v>
      </c>
      <c r="J232" s="917">
        <f t="shared" si="11"/>
        <v>351364</v>
      </c>
      <c r="K232" s="917">
        <f t="shared" si="11"/>
        <v>0</v>
      </c>
      <c r="L232" s="917">
        <f t="shared" si="11"/>
        <v>140131</v>
      </c>
      <c r="M232" s="917">
        <f t="shared" si="11"/>
        <v>2988</v>
      </c>
      <c r="N232" s="917">
        <f t="shared" si="11"/>
        <v>116407</v>
      </c>
      <c r="O232" s="917">
        <f t="shared" si="11"/>
        <v>808</v>
      </c>
      <c r="P232" s="917">
        <f t="shared" si="11"/>
        <v>1298922</v>
      </c>
      <c r="Q232" s="917">
        <f t="shared" si="11"/>
        <v>93855</v>
      </c>
      <c r="R232" s="918">
        <f t="shared" si="11"/>
        <v>1660781</v>
      </c>
      <c r="S232" s="81"/>
      <c r="T232" s="81"/>
      <c r="U232" s="81"/>
      <c r="V232" s="81"/>
      <c r="W232" s="81"/>
      <c r="X232" s="81"/>
    </row>
    <row r="233" spans="7:24" ht="12.75">
      <c r="G233" s="74"/>
      <c r="H233" s="74"/>
      <c r="I233" s="74"/>
      <c r="J233" s="74"/>
      <c r="K233" s="74"/>
      <c r="L233" s="74"/>
      <c r="M233" s="74"/>
      <c r="N233" s="74"/>
      <c r="O233" s="89"/>
      <c r="P233" s="74"/>
      <c r="Q233" s="74"/>
      <c r="R233" s="81"/>
      <c r="S233" s="81"/>
      <c r="T233" s="81"/>
      <c r="U233" s="81"/>
      <c r="V233" s="81"/>
      <c r="W233" s="81"/>
      <c r="X233" s="81"/>
    </row>
    <row r="234" spans="7:24" ht="12.75">
      <c r="G234" s="74"/>
      <c r="H234" s="74"/>
      <c r="I234" s="74"/>
      <c r="J234" s="74"/>
      <c r="K234" s="74"/>
      <c r="L234" s="74"/>
      <c r="M234" s="74"/>
      <c r="N234" s="74"/>
      <c r="O234" s="89"/>
      <c r="P234" s="74"/>
      <c r="Q234" s="74"/>
      <c r="R234" s="81"/>
      <c r="S234" s="81"/>
      <c r="T234" s="81"/>
      <c r="U234" s="81"/>
      <c r="V234" s="81"/>
      <c r="W234" s="81"/>
      <c r="X234" s="81"/>
    </row>
    <row r="235" spans="7:24" ht="12.75">
      <c r="G235" s="74"/>
      <c r="H235" s="74"/>
      <c r="I235" s="74"/>
      <c r="J235" s="74"/>
      <c r="K235" s="74"/>
      <c r="L235" s="74"/>
      <c r="M235" s="74"/>
      <c r="N235" s="74"/>
      <c r="O235" s="89"/>
      <c r="P235" s="74"/>
      <c r="Q235" s="74"/>
      <c r="R235" s="81"/>
      <c r="S235" s="81"/>
      <c r="T235" s="81"/>
      <c r="U235" s="81"/>
      <c r="V235" s="81"/>
      <c r="W235" s="81"/>
      <c r="X235" s="81"/>
    </row>
    <row r="236" spans="7:24" ht="12.75">
      <c r="G236" s="74"/>
      <c r="H236" s="74"/>
      <c r="I236" s="74"/>
      <c r="J236" s="74"/>
      <c r="K236" s="74"/>
      <c r="L236" s="74"/>
      <c r="M236" s="74"/>
      <c r="N236" s="74"/>
      <c r="O236" s="89"/>
      <c r="P236" s="74"/>
      <c r="Q236" s="74"/>
      <c r="R236" s="81"/>
      <c r="S236" s="81"/>
      <c r="T236" s="81"/>
      <c r="U236" s="81"/>
      <c r="V236" s="81"/>
      <c r="W236" s="81"/>
      <c r="X236" s="81"/>
    </row>
    <row r="237" spans="7:24" ht="12.75">
      <c r="G237" s="74"/>
      <c r="H237" s="74"/>
      <c r="I237" s="74"/>
      <c r="J237" s="74"/>
      <c r="K237" s="74"/>
      <c r="L237" s="74"/>
      <c r="M237" s="74"/>
      <c r="N237" s="74"/>
      <c r="O237" s="89"/>
      <c r="P237" s="74"/>
      <c r="Q237" s="74"/>
      <c r="R237" s="81"/>
      <c r="S237" s="81"/>
      <c r="T237" s="81"/>
      <c r="U237" s="81"/>
      <c r="V237" s="81"/>
      <c r="W237" s="81"/>
      <c r="X237" s="81"/>
    </row>
    <row r="238" spans="7:24" ht="12.75">
      <c r="G238" s="74"/>
      <c r="H238" s="74"/>
      <c r="I238" s="74"/>
      <c r="J238" s="74"/>
      <c r="K238" s="74"/>
      <c r="L238" s="74"/>
      <c r="M238" s="74"/>
      <c r="N238" s="74"/>
      <c r="O238" s="89"/>
      <c r="P238" s="74"/>
      <c r="Q238" s="74"/>
      <c r="R238" s="81"/>
      <c r="S238" s="81"/>
      <c r="T238" s="81"/>
      <c r="U238" s="81"/>
      <c r="V238" s="81"/>
      <c r="W238" s="81"/>
      <c r="X238" s="81"/>
    </row>
    <row r="239" spans="7:24" ht="12.75">
      <c r="G239" s="74"/>
      <c r="H239" s="74"/>
      <c r="I239" s="74"/>
      <c r="J239" s="74"/>
      <c r="K239" s="74"/>
      <c r="L239" s="74"/>
      <c r="M239" s="74"/>
      <c r="N239" s="74"/>
      <c r="O239" s="89"/>
      <c r="P239" s="74"/>
      <c r="Q239" s="74"/>
      <c r="R239" s="81"/>
      <c r="S239" s="81"/>
      <c r="T239" s="81"/>
      <c r="U239" s="81"/>
      <c r="V239" s="81"/>
      <c r="W239" s="81"/>
      <c r="X239" s="81"/>
    </row>
    <row r="240" spans="7:24" ht="12.75">
      <c r="G240" s="74"/>
      <c r="H240" s="74"/>
      <c r="I240" s="74"/>
      <c r="J240" s="74"/>
      <c r="K240" s="74"/>
      <c r="L240" s="74"/>
      <c r="M240" s="74"/>
      <c r="N240" s="74"/>
      <c r="O240" s="89"/>
      <c r="P240" s="74"/>
      <c r="Q240" s="74"/>
      <c r="R240" s="81"/>
      <c r="S240" s="81"/>
      <c r="T240" s="81"/>
      <c r="U240" s="81"/>
      <c r="V240" s="81"/>
      <c r="W240" s="81"/>
      <c r="X240" s="81"/>
    </row>
    <row r="241" spans="7:24" ht="12.75">
      <c r="G241" s="74"/>
      <c r="H241" s="74"/>
      <c r="I241" s="74"/>
      <c r="J241" s="74"/>
      <c r="K241" s="74"/>
      <c r="L241" s="74"/>
      <c r="M241" s="74"/>
      <c r="N241" s="74"/>
      <c r="O241" s="89"/>
      <c r="P241" s="74"/>
      <c r="Q241" s="74"/>
      <c r="R241" s="81"/>
      <c r="S241" s="81"/>
      <c r="T241" s="81"/>
      <c r="U241" s="81"/>
      <c r="V241" s="81"/>
      <c r="W241" s="81"/>
      <c r="X241" s="81"/>
    </row>
    <row r="242" spans="7:24" ht="12.75">
      <c r="G242" s="74"/>
      <c r="H242" s="74"/>
      <c r="I242" s="74"/>
      <c r="J242" s="74"/>
      <c r="K242" s="74"/>
      <c r="L242" s="74"/>
      <c r="M242" s="74"/>
      <c r="N242" s="74"/>
      <c r="O242" s="89"/>
      <c r="P242" s="74"/>
      <c r="Q242" s="74"/>
      <c r="R242" s="81"/>
      <c r="S242" s="81"/>
      <c r="T242" s="81"/>
      <c r="U242" s="81"/>
      <c r="V242" s="81"/>
      <c r="W242" s="81"/>
      <c r="X242" s="81"/>
    </row>
    <row r="243" spans="7:24" ht="12.75">
      <c r="G243" s="74"/>
      <c r="H243" s="74"/>
      <c r="I243" s="74"/>
      <c r="J243" s="74"/>
      <c r="K243" s="74"/>
      <c r="L243" s="74"/>
      <c r="M243" s="74"/>
      <c r="N243" s="74"/>
      <c r="O243" s="89"/>
      <c r="P243" s="74"/>
      <c r="Q243" s="74"/>
      <c r="R243" s="81"/>
      <c r="S243" s="81"/>
      <c r="T243" s="81"/>
      <c r="U243" s="81"/>
      <c r="V243" s="81"/>
      <c r="W243" s="81"/>
      <c r="X243" s="81"/>
    </row>
    <row r="244" spans="7:24" ht="12.75">
      <c r="G244" s="74"/>
      <c r="H244" s="74"/>
      <c r="I244" s="74"/>
      <c r="J244" s="74"/>
      <c r="K244" s="74"/>
      <c r="L244" s="74"/>
      <c r="M244" s="74"/>
      <c r="N244" s="74"/>
      <c r="O244" s="89"/>
      <c r="P244" s="74"/>
      <c r="Q244" s="74"/>
      <c r="R244" s="81"/>
      <c r="S244" s="81"/>
      <c r="T244" s="81"/>
      <c r="U244" s="81"/>
      <c r="V244" s="81"/>
      <c r="W244" s="81"/>
      <c r="X244" s="81"/>
    </row>
    <row r="245" spans="7:24" ht="12.75">
      <c r="G245" s="74"/>
      <c r="H245" s="74"/>
      <c r="I245" s="74"/>
      <c r="J245" s="74"/>
      <c r="K245" s="74"/>
      <c r="L245" s="74"/>
      <c r="M245" s="74"/>
      <c r="N245" s="74"/>
      <c r="O245" s="89"/>
      <c r="P245" s="74"/>
      <c r="Q245" s="74"/>
      <c r="R245" s="81"/>
      <c r="S245" s="81"/>
      <c r="T245" s="81"/>
      <c r="U245" s="81"/>
      <c r="V245" s="81"/>
      <c r="W245" s="81"/>
      <c r="X245" s="81"/>
    </row>
    <row r="246" spans="7:24" ht="12.75">
      <c r="G246" s="74"/>
      <c r="H246" s="74"/>
      <c r="I246" s="74"/>
      <c r="J246" s="74"/>
      <c r="K246" s="74"/>
      <c r="L246" s="74"/>
      <c r="M246" s="74"/>
      <c r="N246" s="74"/>
      <c r="O246" s="89"/>
      <c r="P246" s="74"/>
      <c r="Q246" s="74"/>
      <c r="R246" s="81"/>
      <c r="S246" s="81"/>
      <c r="T246" s="81"/>
      <c r="U246" s="81"/>
      <c r="V246" s="81"/>
      <c r="W246" s="81"/>
      <c r="X246" s="81"/>
    </row>
    <row r="247" spans="7:24" ht="12.75">
      <c r="G247" s="74"/>
      <c r="H247" s="74"/>
      <c r="I247" s="74"/>
      <c r="J247" s="74"/>
      <c r="K247" s="74"/>
      <c r="L247" s="74"/>
      <c r="M247" s="74"/>
      <c r="N247" s="74"/>
      <c r="O247" s="89"/>
      <c r="P247" s="74"/>
      <c r="Q247" s="74"/>
      <c r="R247" s="81"/>
      <c r="S247" s="81"/>
      <c r="T247" s="81"/>
      <c r="U247" s="81"/>
      <c r="V247" s="81"/>
      <c r="W247" s="81"/>
      <c r="X247" s="81"/>
    </row>
    <row r="248" spans="7:24" ht="12.75">
      <c r="G248" s="74"/>
      <c r="H248" s="74"/>
      <c r="I248" s="74"/>
      <c r="J248" s="74"/>
      <c r="K248" s="74"/>
      <c r="L248" s="74"/>
      <c r="M248" s="74"/>
      <c r="N248" s="74"/>
      <c r="O248" s="89"/>
      <c r="P248" s="74"/>
      <c r="Q248" s="74"/>
      <c r="R248" s="81"/>
      <c r="S248" s="81"/>
      <c r="T248" s="81"/>
      <c r="U248" s="81"/>
      <c r="V248" s="81"/>
      <c r="W248" s="81"/>
      <c r="X248" s="81"/>
    </row>
    <row r="249" spans="7:24" ht="12.75">
      <c r="G249" s="74"/>
      <c r="H249" s="74"/>
      <c r="I249" s="74"/>
      <c r="J249" s="74"/>
      <c r="K249" s="74"/>
      <c r="L249" s="74"/>
      <c r="M249" s="74"/>
      <c r="N249" s="74"/>
      <c r="O249" s="89"/>
      <c r="P249" s="74"/>
      <c r="Q249" s="74"/>
      <c r="R249" s="81"/>
      <c r="S249" s="81"/>
      <c r="T249" s="81"/>
      <c r="U249" s="81"/>
      <c r="V249" s="81"/>
      <c r="W249" s="81"/>
      <c r="X249" s="81"/>
    </row>
    <row r="250" spans="7:24" ht="12.75">
      <c r="G250" s="74"/>
      <c r="H250" s="74"/>
      <c r="I250" s="74"/>
      <c r="J250" s="74"/>
      <c r="K250" s="74"/>
      <c r="L250" s="74"/>
      <c r="M250" s="74"/>
      <c r="N250" s="74"/>
      <c r="O250" s="89"/>
      <c r="P250" s="74"/>
      <c r="Q250" s="74"/>
      <c r="R250" s="81"/>
      <c r="S250" s="81"/>
      <c r="T250" s="81"/>
      <c r="U250" s="81"/>
      <c r="V250" s="81"/>
      <c r="W250" s="81"/>
      <c r="X250" s="81"/>
    </row>
    <row r="251" spans="7:24" ht="12.75">
      <c r="G251" s="74"/>
      <c r="H251" s="74"/>
      <c r="I251" s="74"/>
      <c r="J251" s="74"/>
      <c r="K251" s="74"/>
      <c r="L251" s="74"/>
      <c r="M251" s="74"/>
      <c r="N251" s="74"/>
      <c r="O251" s="89"/>
      <c r="P251" s="74"/>
      <c r="Q251" s="74"/>
      <c r="R251" s="81"/>
      <c r="S251" s="81"/>
      <c r="T251" s="81"/>
      <c r="U251" s="81"/>
      <c r="V251" s="81"/>
      <c r="W251" s="81"/>
      <c r="X251" s="81"/>
    </row>
    <row r="252" spans="7:24" ht="12.75">
      <c r="G252" s="74"/>
      <c r="H252" s="74"/>
      <c r="I252" s="74"/>
      <c r="J252" s="74"/>
      <c r="K252" s="74"/>
      <c r="L252" s="74"/>
      <c r="M252" s="74"/>
      <c r="N252" s="74"/>
      <c r="O252" s="89"/>
      <c r="P252" s="74"/>
      <c r="Q252" s="74"/>
      <c r="R252" s="81"/>
      <c r="S252" s="81"/>
      <c r="T252" s="81"/>
      <c r="U252" s="81"/>
      <c r="V252" s="81"/>
      <c r="W252" s="81"/>
      <c r="X252" s="81"/>
    </row>
    <row r="253" spans="7:24" ht="12.75">
      <c r="G253" s="74"/>
      <c r="H253" s="74"/>
      <c r="I253" s="74"/>
      <c r="J253" s="74"/>
      <c r="K253" s="74"/>
      <c r="L253" s="74"/>
      <c r="M253" s="74"/>
      <c r="N253" s="74"/>
      <c r="O253" s="89"/>
      <c r="P253" s="74"/>
      <c r="Q253" s="74"/>
      <c r="R253" s="81"/>
      <c r="S253" s="81"/>
      <c r="T253" s="81"/>
      <c r="U253" s="81"/>
      <c r="V253" s="81"/>
      <c r="W253" s="81"/>
      <c r="X253" s="81"/>
    </row>
    <row r="254" spans="7:24" ht="12.75">
      <c r="G254" s="74"/>
      <c r="H254" s="74"/>
      <c r="I254" s="74"/>
      <c r="J254" s="74"/>
      <c r="K254" s="74"/>
      <c r="L254" s="74"/>
      <c r="M254" s="74"/>
      <c r="N254" s="74"/>
      <c r="O254" s="89"/>
      <c r="P254" s="74"/>
      <c r="Q254" s="74"/>
      <c r="R254" s="81"/>
      <c r="S254" s="81"/>
      <c r="T254" s="81"/>
      <c r="U254" s="81"/>
      <c r="V254" s="81"/>
      <c r="W254" s="81"/>
      <c r="X254" s="81"/>
    </row>
    <row r="255" spans="7:24" ht="12.75">
      <c r="G255" s="74"/>
      <c r="H255" s="74"/>
      <c r="I255" s="74"/>
      <c r="J255" s="74"/>
      <c r="K255" s="74"/>
      <c r="L255" s="74"/>
      <c r="M255" s="74"/>
      <c r="N255" s="74"/>
      <c r="O255" s="89"/>
      <c r="P255" s="74"/>
      <c r="Q255" s="74"/>
      <c r="R255" s="81"/>
      <c r="S255" s="81"/>
      <c r="T255" s="81"/>
      <c r="U255" s="81"/>
      <c r="V255" s="81"/>
      <c r="W255" s="81"/>
      <c r="X255" s="81"/>
    </row>
    <row r="256" spans="7:24" ht="12.75">
      <c r="G256" s="74"/>
      <c r="H256" s="74"/>
      <c r="I256" s="74"/>
      <c r="J256" s="74"/>
      <c r="K256" s="74"/>
      <c r="L256" s="74"/>
      <c r="M256" s="74"/>
      <c r="N256" s="74"/>
      <c r="O256" s="89"/>
      <c r="P256" s="74"/>
      <c r="Q256" s="74"/>
      <c r="R256" s="81"/>
      <c r="S256" s="81"/>
      <c r="T256" s="81"/>
      <c r="U256" s="81"/>
      <c r="V256" s="81"/>
      <c r="W256" s="81"/>
      <c r="X256" s="81"/>
    </row>
    <row r="257" spans="7:24" ht="12.75">
      <c r="G257" s="74"/>
      <c r="H257" s="74"/>
      <c r="I257" s="74"/>
      <c r="J257" s="74"/>
      <c r="K257" s="74"/>
      <c r="L257" s="74"/>
      <c r="M257" s="74"/>
      <c r="N257" s="74"/>
      <c r="O257" s="89"/>
      <c r="P257" s="74"/>
      <c r="Q257" s="74"/>
      <c r="R257" s="81"/>
      <c r="S257" s="81"/>
      <c r="T257" s="81"/>
      <c r="U257" s="81"/>
      <c r="V257" s="81"/>
      <c r="W257" s="81"/>
      <c r="X257" s="81"/>
    </row>
    <row r="258" spans="7:24" ht="12.75">
      <c r="G258" s="74"/>
      <c r="H258" s="74"/>
      <c r="I258" s="74"/>
      <c r="J258" s="74"/>
      <c r="K258" s="74"/>
      <c r="L258" s="74"/>
      <c r="M258" s="74"/>
      <c r="N258" s="74"/>
      <c r="O258" s="89"/>
      <c r="P258" s="74"/>
      <c r="Q258" s="74"/>
      <c r="R258" s="81"/>
      <c r="S258" s="81"/>
      <c r="T258" s="81"/>
      <c r="U258" s="81"/>
      <c r="V258" s="81"/>
      <c r="W258" s="81"/>
      <c r="X258" s="81"/>
    </row>
    <row r="259" spans="7:24" ht="12.75">
      <c r="G259" s="74"/>
      <c r="H259" s="74"/>
      <c r="I259" s="74"/>
      <c r="J259" s="74"/>
      <c r="K259" s="74"/>
      <c r="L259" s="74"/>
      <c r="M259" s="74"/>
      <c r="N259" s="74"/>
      <c r="O259" s="89"/>
      <c r="P259" s="74"/>
      <c r="Q259" s="74"/>
      <c r="R259" s="81"/>
      <c r="S259" s="81"/>
      <c r="T259" s="81"/>
      <c r="U259" s="81"/>
      <c r="V259" s="81"/>
      <c r="W259" s="81"/>
      <c r="X259" s="81"/>
    </row>
    <row r="260" spans="7:24" ht="12.75">
      <c r="G260" s="74"/>
      <c r="H260" s="74"/>
      <c r="I260" s="74"/>
      <c r="J260" s="74"/>
      <c r="K260" s="74"/>
      <c r="L260" s="74"/>
      <c r="M260" s="74"/>
      <c r="N260" s="74"/>
      <c r="O260" s="89"/>
      <c r="P260" s="74"/>
      <c r="Q260" s="74"/>
      <c r="R260" s="81"/>
      <c r="S260" s="81"/>
      <c r="T260" s="81"/>
      <c r="U260" s="81"/>
      <c r="V260" s="81"/>
      <c r="W260" s="81"/>
      <c r="X260" s="81"/>
    </row>
    <row r="261" spans="7:24" ht="12.75">
      <c r="G261" s="74"/>
      <c r="H261" s="74"/>
      <c r="I261" s="74"/>
      <c r="J261" s="74"/>
      <c r="K261" s="74"/>
      <c r="L261" s="74"/>
      <c r="M261" s="74"/>
      <c r="N261" s="74"/>
      <c r="O261" s="89"/>
      <c r="P261" s="74"/>
      <c r="Q261" s="74"/>
      <c r="R261" s="81"/>
      <c r="S261" s="81"/>
      <c r="T261" s="81"/>
      <c r="U261" s="81"/>
      <c r="V261" s="81"/>
      <c r="W261" s="81"/>
      <c r="X261" s="81"/>
    </row>
    <row r="262" spans="7:24" ht="12.75">
      <c r="G262" s="74"/>
      <c r="H262" s="74"/>
      <c r="I262" s="74"/>
      <c r="J262" s="74"/>
      <c r="K262" s="74"/>
      <c r="L262" s="74"/>
      <c r="M262" s="74"/>
      <c r="N262" s="74"/>
      <c r="O262" s="89"/>
      <c r="P262" s="74"/>
      <c r="Q262" s="74"/>
      <c r="R262" s="81"/>
      <c r="S262" s="81"/>
      <c r="T262" s="81"/>
      <c r="U262" s="81"/>
      <c r="V262" s="81"/>
      <c r="W262" s="81"/>
      <c r="X262" s="81"/>
    </row>
    <row r="263" spans="7:24" ht="12.75">
      <c r="G263" s="74"/>
      <c r="H263" s="74"/>
      <c r="I263" s="74"/>
      <c r="J263" s="74"/>
      <c r="K263" s="74"/>
      <c r="L263" s="74"/>
      <c r="M263" s="74"/>
      <c r="N263" s="74"/>
      <c r="O263" s="89"/>
      <c r="P263" s="74"/>
      <c r="Q263" s="74"/>
      <c r="R263" s="81"/>
      <c r="S263" s="81"/>
      <c r="T263" s="81"/>
      <c r="U263" s="81"/>
      <c r="V263" s="81"/>
      <c r="W263" s="81"/>
      <c r="X263" s="81"/>
    </row>
    <row r="264" spans="7:24" ht="12.75">
      <c r="G264" s="74"/>
      <c r="H264" s="74"/>
      <c r="I264" s="74"/>
      <c r="J264" s="74"/>
      <c r="K264" s="74"/>
      <c r="L264" s="74"/>
      <c r="M264" s="74"/>
      <c r="N264" s="74"/>
      <c r="O264" s="89"/>
      <c r="P264" s="74"/>
      <c r="Q264" s="74"/>
      <c r="R264" s="81"/>
      <c r="S264" s="81"/>
      <c r="T264" s="81"/>
      <c r="U264" s="81"/>
      <c r="V264" s="81"/>
      <c r="W264" s="81"/>
      <c r="X264" s="81"/>
    </row>
    <row r="265" spans="7:24" ht="12.75">
      <c r="G265" s="74"/>
      <c r="H265" s="74"/>
      <c r="I265" s="74"/>
      <c r="J265" s="74"/>
      <c r="K265" s="74"/>
      <c r="L265" s="74"/>
      <c r="M265" s="74"/>
      <c r="N265" s="74"/>
      <c r="O265" s="89"/>
      <c r="P265" s="74"/>
      <c r="Q265" s="74"/>
      <c r="R265" s="81"/>
      <c r="S265" s="81"/>
      <c r="T265" s="81"/>
      <c r="U265" s="81"/>
      <c r="V265" s="81"/>
      <c r="W265" s="81"/>
      <c r="X265" s="81"/>
    </row>
    <row r="266" spans="7:24" ht="12.75">
      <c r="G266" s="74"/>
      <c r="H266" s="74"/>
      <c r="I266" s="74"/>
      <c r="J266" s="74"/>
      <c r="K266" s="74"/>
      <c r="L266" s="74"/>
      <c r="M266" s="74"/>
      <c r="N266" s="74"/>
      <c r="O266" s="89"/>
      <c r="P266" s="74"/>
      <c r="Q266" s="74"/>
      <c r="R266" s="81"/>
      <c r="S266" s="81"/>
      <c r="T266" s="81"/>
      <c r="U266" s="81"/>
      <c r="V266" s="81"/>
      <c r="W266" s="81"/>
      <c r="X266" s="81"/>
    </row>
    <row r="267" spans="7:24" ht="12.75">
      <c r="G267" s="74"/>
      <c r="H267" s="74"/>
      <c r="I267" s="74"/>
      <c r="J267" s="74"/>
      <c r="K267" s="74"/>
      <c r="L267" s="74"/>
      <c r="M267" s="74"/>
      <c r="N267" s="74"/>
      <c r="O267" s="89"/>
      <c r="P267" s="74"/>
      <c r="Q267" s="74"/>
      <c r="R267" s="81"/>
      <c r="S267" s="81"/>
      <c r="T267" s="81"/>
      <c r="U267" s="81"/>
      <c r="V267" s="81"/>
      <c r="W267" s="81"/>
      <c r="X267" s="81"/>
    </row>
    <row r="268" spans="7:24" ht="12.75">
      <c r="G268" s="74"/>
      <c r="H268" s="74"/>
      <c r="I268" s="74"/>
      <c r="J268" s="74"/>
      <c r="K268" s="74"/>
      <c r="L268" s="74"/>
      <c r="M268" s="74"/>
      <c r="N268" s="74"/>
      <c r="O268" s="89"/>
      <c r="P268" s="74"/>
      <c r="Q268" s="74"/>
      <c r="R268" s="81"/>
      <c r="S268" s="81"/>
      <c r="T268" s="81"/>
      <c r="U268" s="81"/>
      <c r="V268" s="81"/>
      <c r="W268" s="81"/>
      <c r="X268" s="81"/>
    </row>
    <row r="269" spans="7:24" ht="12.75">
      <c r="G269" s="74"/>
      <c r="H269" s="74"/>
      <c r="I269" s="74"/>
      <c r="J269" s="74"/>
      <c r="K269" s="74"/>
      <c r="L269" s="74"/>
      <c r="M269" s="74"/>
      <c r="N269" s="74"/>
      <c r="O269" s="89"/>
      <c r="P269" s="74"/>
      <c r="Q269" s="74"/>
      <c r="R269" s="81"/>
      <c r="S269" s="81"/>
      <c r="T269" s="81"/>
      <c r="U269" s="81"/>
      <c r="V269" s="81"/>
      <c r="W269" s="81"/>
      <c r="X269" s="81"/>
    </row>
    <row r="270" spans="7:24" ht="12.75">
      <c r="G270" s="74"/>
      <c r="H270" s="74"/>
      <c r="I270" s="74"/>
      <c r="J270" s="74"/>
      <c r="K270" s="74"/>
      <c r="L270" s="74"/>
      <c r="M270" s="74"/>
      <c r="N270" s="74"/>
      <c r="O270" s="89"/>
      <c r="P270" s="74"/>
      <c r="Q270" s="74"/>
      <c r="R270" s="81"/>
      <c r="S270" s="81"/>
      <c r="T270" s="81"/>
      <c r="U270" s="81"/>
      <c r="V270" s="81"/>
      <c r="W270" s="81"/>
      <c r="X270" s="81"/>
    </row>
    <row r="271" spans="7:24" ht="12.75">
      <c r="G271" s="74"/>
      <c r="H271" s="74"/>
      <c r="I271" s="74"/>
      <c r="J271" s="74"/>
      <c r="K271" s="74"/>
      <c r="L271" s="74"/>
      <c r="M271" s="74"/>
      <c r="N271" s="74"/>
      <c r="O271" s="89"/>
      <c r="P271" s="74"/>
      <c r="Q271" s="74"/>
      <c r="R271" s="81"/>
      <c r="S271" s="81"/>
      <c r="T271" s="81"/>
      <c r="U271" s="81"/>
      <c r="V271" s="81"/>
      <c r="W271" s="81"/>
      <c r="X271" s="81"/>
    </row>
    <row r="272" spans="7:24" ht="12.75">
      <c r="G272" s="74"/>
      <c r="H272" s="74"/>
      <c r="I272" s="74"/>
      <c r="J272" s="74"/>
      <c r="K272" s="74"/>
      <c r="L272" s="74"/>
      <c r="M272" s="74"/>
      <c r="N272" s="74"/>
      <c r="O272" s="89"/>
      <c r="P272" s="74"/>
      <c r="Q272" s="74"/>
      <c r="R272" s="81"/>
      <c r="S272" s="81"/>
      <c r="T272" s="81"/>
      <c r="U272" s="81"/>
      <c r="V272" s="81"/>
      <c r="W272" s="81"/>
      <c r="X272" s="81"/>
    </row>
    <row r="273" spans="7:24" ht="12.75">
      <c r="G273" s="74"/>
      <c r="H273" s="74"/>
      <c r="I273" s="74"/>
      <c r="J273" s="74"/>
      <c r="K273" s="74"/>
      <c r="L273" s="74"/>
      <c r="M273" s="74"/>
      <c r="N273" s="74"/>
      <c r="O273" s="89"/>
      <c r="P273" s="74"/>
      <c r="Q273" s="74"/>
      <c r="R273" s="81"/>
      <c r="S273" s="81"/>
      <c r="T273" s="81"/>
      <c r="U273" s="81"/>
      <c r="V273" s="81"/>
      <c r="W273" s="81"/>
      <c r="X273" s="81"/>
    </row>
    <row r="274" spans="7:24" ht="12.75">
      <c r="G274" s="74"/>
      <c r="H274" s="74"/>
      <c r="I274" s="74"/>
      <c r="J274" s="74"/>
      <c r="K274" s="74"/>
      <c r="L274" s="74"/>
      <c r="M274" s="74"/>
      <c r="N274" s="74"/>
      <c r="O274" s="89"/>
      <c r="P274" s="74"/>
      <c r="Q274" s="74"/>
      <c r="R274" s="81"/>
      <c r="S274" s="81"/>
      <c r="T274" s="81"/>
      <c r="U274" s="81"/>
      <c r="V274" s="81"/>
      <c r="W274" s="81"/>
      <c r="X274" s="81"/>
    </row>
    <row r="275" spans="7:24" ht="12.75">
      <c r="G275" s="74"/>
      <c r="H275" s="74"/>
      <c r="I275" s="74"/>
      <c r="J275" s="74"/>
      <c r="K275" s="74"/>
      <c r="L275" s="74"/>
      <c r="M275" s="74"/>
      <c r="N275" s="74"/>
      <c r="O275" s="89"/>
      <c r="P275" s="74"/>
      <c r="Q275" s="74"/>
      <c r="R275" s="81"/>
      <c r="S275" s="81"/>
      <c r="T275" s="81"/>
      <c r="U275" s="81"/>
      <c r="V275" s="81"/>
      <c r="W275" s="81"/>
      <c r="X275" s="81"/>
    </row>
    <row r="276" spans="7:24" ht="12.75">
      <c r="G276" s="74"/>
      <c r="H276" s="74"/>
      <c r="I276" s="74"/>
      <c r="J276" s="74"/>
      <c r="K276" s="74"/>
      <c r="L276" s="74"/>
      <c r="M276" s="74"/>
      <c r="N276" s="74"/>
      <c r="O276" s="89"/>
      <c r="P276" s="74"/>
      <c r="Q276" s="74"/>
      <c r="R276" s="81"/>
      <c r="S276" s="81"/>
      <c r="T276" s="81"/>
      <c r="U276" s="81"/>
      <c r="V276" s="81"/>
      <c r="W276" s="81"/>
      <c r="X276" s="81"/>
    </row>
    <row r="277" spans="7:24" ht="12.75">
      <c r="G277" s="74"/>
      <c r="H277" s="74"/>
      <c r="I277" s="74"/>
      <c r="J277" s="74"/>
      <c r="K277" s="74"/>
      <c r="L277" s="74"/>
      <c r="M277" s="74"/>
      <c r="N277" s="74"/>
      <c r="O277" s="89"/>
      <c r="P277" s="74"/>
      <c r="Q277" s="74"/>
      <c r="R277" s="81"/>
      <c r="S277" s="81"/>
      <c r="T277" s="81"/>
      <c r="U277" s="81"/>
      <c r="V277" s="81"/>
      <c r="W277" s="81"/>
      <c r="X277" s="81"/>
    </row>
    <row r="278" spans="7:24" ht="12.75">
      <c r="G278" s="74"/>
      <c r="H278" s="74"/>
      <c r="I278" s="74"/>
      <c r="J278" s="74"/>
      <c r="K278" s="74"/>
      <c r="L278" s="74"/>
      <c r="M278" s="74"/>
      <c r="N278" s="74"/>
      <c r="O278" s="89"/>
      <c r="P278" s="74"/>
      <c r="Q278" s="74"/>
      <c r="R278" s="81"/>
      <c r="S278" s="81"/>
      <c r="T278" s="81"/>
      <c r="U278" s="81"/>
      <c r="V278" s="81"/>
      <c r="W278" s="81"/>
      <c r="X278" s="81"/>
    </row>
    <row r="279" spans="7:24" ht="12.75">
      <c r="G279" s="74"/>
      <c r="H279" s="74"/>
      <c r="I279" s="74"/>
      <c r="J279" s="74"/>
      <c r="K279" s="74"/>
      <c r="L279" s="74"/>
      <c r="M279" s="74"/>
      <c r="N279" s="74"/>
      <c r="O279" s="89"/>
      <c r="P279" s="74"/>
      <c r="Q279" s="74"/>
      <c r="R279" s="81"/>
      <c r="S279" s="81"/>
      <c r="T279" s="81"/>
      <c r="U279" s="81"/>
      <c r="V279" s="81"/>
      <c r="W279" s="81"/>
      <c r="X279" s="81"/>
    </row>
    <row r="280" spans="7:24" ht="12.75">
      <c r="G280" s="74"/>
      <c r="H280" s="74"/>
      <c r="I280" s="74"/>
      <c r="J280" s="74"/>
      <c r="K280" s="74"/>
      <c r="L280" s="74"/>
      <c r="M280" s="74"/>
      <c r="N280" s="74"/>
      <c r="O280" s="89"/>
      <c r="P280" s="74"/>
      <c r="Q280" s="74"/>
      <c r="R280" s="81"/>
      <c r="S280" s="81"/>
      <c r="T280" s="81"/>
      <c r="U280" s="81"/>
      <c r="V280" s="81"/>
      <c r="W280" s="81"/>
      <c r="X280" s="81"/>
    </row>
    <row r="281" spans="7:24" ht="12.75">
      <c r="G281" s="74"/>
      <c r="H281" s="74"/>
      <c r="I281" s="74"/>
      <c r="J281" s="74"/>
      <c r="K281" s="74"/>
      <c r="L281" s="74"/>
      <c r="M281" s="74"/>
      <c r="N281" s="74"/>
      <c r="O281" s="89"/>
      <c r="P281" s="74"/>
      <c r="Q281" s="74"/>
      <c r="R281" s="81"/>
      <c r="S281" s="81"/>
      <c r="T281" s="81"/>
      <c r="U281" s="81"/>
      <c r="V281" s="81"/>
      <c r="W281" s="81"/>
      <c r="X281" s="81"/>
    </row>
    <row r="282" spans="7:24" ht="12.75">
      <c r="G282" s="74"/>
      <c r="H282" s="74"/>
      <c r="I282" s="74"/>
      <c r="J282" s="74"/>
      <c r="K282" s="74"/>
      <c r="L282" s="74"/>
      <c r="M282" s="74"/>
      <c r="N282" s="74"/>
      <c r="O282" s="89"/>
      <c r="P282" s="74"/>
      <c r="Q282" s="74"/>
      <c r="R282" s="81"/>
      <c r="S282" s="81"/>
      <c r="T282" s="81"/>
      <c r="U282" s="81"/>
      <c r="V282" s="81"/>
      <c r="W282" s="81"/>
      <c r="X282" s="81"/>
    </row>
    <row r="283" spans="7:24" ht="12.75">
      <c r="G283" s="74"/>
      <c r="H283" s="74"/>
      <c r="I283" s="74"/>
      <c r="J283" s="74"/>
      <c r="K283" s="74"/>
      <c r="L283" s="74"/>
      <c r="M283" s="74"/>
      <c r="N283" s="74"/>
      <c r="O283" s="89"/>
      <c r="P283" s="74"/>
      <c r="Q283" s="74"/>
      <c r="R283" s="81"/>
      <c r="S283" s="81"/>
      <c r="T283" s="81"/>
      <c r="U283" s="81"/>
      <c r="V283" s="81"/>
      <c r="W283" s="81"/>
      <c r="X283" s="81"/>
    </row>
    <row r="284" spans="7:24" ht="12.75">
      <c r="G284" s="74"/>
      <c r="H284" s="74"/>
      <c r="I284" s="74"/>
      <c r="J284" s="74"/>
      <c r="K284" s="74"/>
      <c r="L284" s="74"/>
      <c r="M284" s="74"/>
      <c r="N284" s="74"/>
      <c r="O284" s="89"/>
      <c r="P284" s="74"/>
      <c r="Q284" s="74"/>
      <c r="R284" s="81"/>
      <c r="S284" s="81"/>
      <c r="T284" s="81"/>
      <c r="U284" s="81"/>
      <c r="V284" s="81"/>
      <c r="W284" s="81"/>
      <c r="X284" s="81"/>
    </row>
    <row r="285" spans="18:24" ht="12.75">
      <c r="R285" s="81"/>
      <c r="S285" s="81"/>
      <c r="T285" s="81"/>
      <c r="U285" s="81"/>
      <c r="V285" s="81"/>
      <c r="W285" s="81"/>
      <c r="X285" s="81"/>
    </row>
    <row r="286" spans="18:24" ht="12.75">
      <c r="R286" s="81"/>
      <c r="S286" s="81"/>
      <c r="T286" s="81"/>
      <c r="U286" s="81"/>
      <c r="V286" s="81"/>
      <c r="W286" s="81"/>
      <c r="X286" s="81"/>
    </row>
    <row r="287" spans="18:24" ht="12.75">
      <c r="R287" s="81"/>
      <c r="S287" s="81"/>
      <c r="T287" s="81"/>
      <c r="U287" s="81"/>
      <c r="V287" s="81"/>
      <c r="W287" s="81"/>
      <c r="X287" s="81"/>
    </row>
    <row r="288" spans="18:24" ht="12.75">
      <c r="R288" s="81"/>
      <c r="S288" s="81"/>
      <c r="T288" s="81"/>
      <c r="U288" s="81"/>
      <c r="V288" s="81"/>
      <c r="W288" s="81"/>
      <c r="X288" s="81"/>
    </row>
    <row r="289" spans="18:24" ht="12.75">
      <c r="R289" s="81"/>
      <c r="S289" s="81"/>
      <c r="T289" s="81"/>
      <c r="U289" s="81"/>
      <c r="V289" s="81"/>
      <c r="W289" s="81"/>
      <c r="X289" s="81"/>
    </row>
    <row r="290" spans="18:24" ht="12.75">
      <c r="R290" s="81"/>
      <c r="S290" s="81"/>
      <c r="T290" s="81"/>
      <c r="U290" s="81"/>
      <c r="V290" s="81"/>
      <c r="W290" s="81"/>
      <c r="X290" s="81"/>
    </row>
    <row r="291" spans="18:24" ht="12.75">
      <c r="R291" s="81"/>
      <c r="S291" s="81"/>
      <c r="T291" s="81"/>
      <c r="U291" s="81"/>
      <c r="V291" s="81"/>
      <c r="W291" s="81"/>
      <c r="X291" s="81"/>
    </row>
    <row r="292" spans="18:24" ht="12.75">
      <c r="R292" s="81"/>
      <c r="S292" s="81"/>
      <c r="T292" s="81"/>
      <c r="U292" s="81"/>
      <c r="V292" s="81"/>
      <c r="W292" s="81"/>
      <c r="X292" s="81"/>
    </row>
    <row r="293" spans="18:24" ht="12.75">
      <c r="R293" s="81"/>
      <c r="S293" s="81"/>
      <c r="T293" s="81"/>
      <c r="U293" s="81"/>
      <c r="V293" s="81"/>
      <c r="W293" s="81"/>
      <c r="X293" s="81"/>
    </row>
    <row r="294" spans="18:24" ht="12.75">
      <c r="R294" s="81"/>
      <c r="S294" s="81"/>
      <c r="T294" s="81"/>
      <c r="U294" s="81"/>
      <c r="V294" s="81"/>
      <c r="W294" s="81"/>
      <c r="X294" s="81"/>
    </row>
    <row r="295" spans="18:24" ht="12.75">
      <c r="R295" s="81"/>
      <c r="S295" s="81"/>
      <c r="T295" s="81"/>
      <c r="U295" s="81"/>
      <c r="V295" s="81"/>
      <c r="W295" s="81"/>
      <c r="X295" s="81"/>
    </row>
    <row r="296" spans="18:24" ht="12.75">
      <c r="R296" s="81"/>
      <c r="S296" s="81"/>
      <c r="T296" s="81"/>
      <c r="U296" s="81"/>
      <c r="V296" s="81"/>
      <c r="W296" s="81"/>
      <c r="X296" s="81"/>
    </row>
    <row r="297" spans="18:24" ht="12.75">
      <c r="R297" s="81"/>
      <c r="S297" s="81"/>
      <c r="T297" s="81"/>
      <c r="U297" s="81"/>
      <c r="V297" s="81"/>
      <c r="W297" s="81"/>
      <c r="X297" s="81"/>
    </row>
    <row r="298" spans="18:24" ht="12.75">
      <c r="R298" s="81"/>
      <c r="S298" s="81"/>
      <c r="T298" s="81"/>
      <c r="U298" s="81"/>
      <c r="V298" s="81"/>
      <c r="W298" s="81"/>
      <c r="X298" s="81"/>
    </row>
    <row r="299" spans="18:24" ht="12.75">
      <c r="R299" s="81"/>
      <c r="S299" s="81"/>
      <c r="T299" s="81"/>
      <c r="U299" s="81"/>
      <c r="V299" s="81"/>
      <c r="W299" s="81"/>
      <c r="X299" s="81"/>
    </row>
    <row r="300" spans="18:24" ht="12.75">
      <c r="R300" s="81"/>
      <c r="S300" s="81"/>
      <c r="T300" s="81"/>
      <c r="U300" s="81"/>
      <c r="V300" s="81"/>
      <c r="W300" s="81"/>
      <c r="X300" s="81"/>
    </row>
    <row r="301" spans="18:24" ht="12.75">
      <c r="R301" s="81"/>
      <c r="S301" s="81"/>
      <c r="T301" s="81"/>
      <c r="U301" s="81"/>
      <c r="V301" s="81"/>
      <c r="W301" s="81"/>
      <c r="X301" s="81"/>
    </row>
    <row r="302" spans="18:24" ht="12.75">
      <c r="R302" s="81"/>
      <c r="S302" s="81"/>
      <c r="T302" s="81"/>
      <c r="U302" s="81"/>
      <c r="V302" s="81"/>
      <c r="W302" s="81"/>
      <c r="X302" s="81"/>
    </row>
    <row r="303" spans="18:24" ht="12.75">
      <c r="R303" s="81"/>
      <c r="S303" s="81"/>
      <c r="T303" s="81"/>
      <c r="U303" s="81"/>
      <c r="V303" s="81"/>
      <c r="W303" s="81"/>
      <c r="X303" s="81"/>
    </row>
    <row r="304" spans="18:24" ht="12.75">
      <c r="R304" s="81"/>
      <c r="S304" s="81"/>
      <c r="T304" s="81"/>
      <c r="U304" s="81"/>
      <c r="V304" s="81"/>
      <c r="W304" s="81"/>
      <c r="X304" s="81"/>
    </row>
    <row r="305" spans="18:24" ht="12.75">
      <c r="R305" s="81"/>
      <c r="S305" s="81"/>
      <c r="T305" s="81"/>
      <c r="U305" s="81"/>
      <c r="V305" s="81"/>
      <c r="W305" s="81"/>
      <c r="X305" s="81"/>
    </row>
    <row r="306" spans="18:24" ht="12.75">
      <c r="R306" s="81"/>
      <c r="S306" s="81"/>
      <c r="T306" s="81"/>
      <c r="U306" s="81"/>
      <c r="V306" s="81"/>
      <c r="W306" s="81"/>
      <c r="X306" s="81"/>
    </row>
    <row r="307" spans="18:24" ht="12.75">
      <c r="R307" s="81"/>
      <c r="S307" s="81"/>
      <c r="T307" s="81"/>
      <c r="U307" s="81"/>
      <c r="V307" s="81"/>
      <c r="W307" s="81"/>
      <c r="X307" s="81"/>
    </row>
    <row r="308" spans="18:24" ht="12.75">
      <c r="R308" s="81"/>
      <c r="S308" s="81"/>
      <c r="T308" s="81"/>
      <c r="U308" s="81"/>
      <c r="V308" s="81"/>
      <c r="W308" s="81"/>
      <c r="X308" s="81"/>
    </row>
    <row r="309" spans="18:24" ht="12.75">
      <c r="R309" s="81"/>
      <c r="S309" s="81"/>
      <c r="T309" s="81"/>
      <c r="U309" s="81"/>
      <c r="V309" s="81"/>
      <c r="W309" s="81"/>
      <c r="X309" s="81"/>
    </row>
    <row r="310" spans="18:24" ht="12.75">
      <c r="R310" s="81"/>
      <c r="S310" s="81"/>
      <c r="T310" s="81"/>
      <c r="U310" s="81"/>
      <c r="V310" s="81"/>
      <c r="W310" s="81"/>
      <c r="X310" s="81"/>
    </row>
    <row r="311" spans="18:24" ht="12.75">
      <c r="R311" s="81"/>
      <c r="S311" s="81"/>
      <c r="T311" s="81"/>
      <c r="U311" s="81"/>
      <c r="V311" s="81"/>
      <c r="W311" s="81"/>
      <c r="X311" s="81"/>
    </row>
    <row r="312" spans="18:24" ht="12.75">
      <c r="R312" s="81"/>
      <c r="S312" s="81"/>
      <c r="T312" s="81"/>
      <c r="U312" s="81"/>
      <c r="V312" s="81"/>
      <c r="W312" s="81"/>
      <c r="X312" s="81"/>
    </row>
    <row r="313" spans="18:24" ht="12.75">
      <c r="R313" s="81"/>
      <c r="S313" s="81"/>
      <c r="T313" s="81"/>
      <c r="U313" s="81"/>
      <c r="V313" s="81"/>
      <c r="W313" s="81"/>
      <c r="X313" s="81"/>
    </row>
    <row r="314" spans="18:24" ht="12.75">
      <c r="R314" s="81"/>
      <c r="S314" s="81"/>
      <c r="T314" s="81"/>
      <c r="U314" s="81"/>
      <c r="V314" s="81"/>
      <c r="W314" s="81"/>
      <c r="X314" s="81"/>
    </row>
    <row r="315" spans="18:24" ht="12.75">
      <c r="R315" s="81"/>
      <c r="S315" s="81"/>
      <c r="T315" s="81"/>
      <c r="U315" s="81"/>
      <c r="V315" s="81"/>
      <c r="W315" s="81"/>
      <c r="X315" s="81"/>
    </row>
    <row r="316" spans="18:24" ht="12.75">
      <c r="R316" s="81"/>
      <c r="S316" s="81"/>
      <c r="T316" s="81"/>
      <c r="U316" s="81"/>
      <c r="V316" s="81"/>
      <c r="W316" s="81"/>
      <c r="X316" s="81"/>
    </row>
    <row r="317" spans="18:24" ht="12.75">
      <c r="R317" s="81"/>
      <c r="S317" s="81"/>
      <c r="T317" s="81"/>
      <c r="U317" s="81"/>
      <c r="V317" s="81"/>
      <c r="W317" s="81"/>
      <c r="X317" s="81"/>
    </row>
    <row r="318" spans="18:24" ht="12.75">
      <c r="R318" s="81"/>
      <c r="S318" s="81"/>
      <c r="T318" s="81"/>
      <c r="U318" s="81"/>
      <c r="V318" s="81"/>
      <c r="W318" s="81"/>
      <c r="X318" s="81"/>
    </row>
    <row r="319" spans="18:24" ht="12.75">
      <c r="R319" s="81"/>
      <c r="S319" s="81"/>
      <c r="T319" s="81"/>
      <c r="U319" s="81"/>
      <c r="V319" s="81"/>
      <c r="W319" s="81"/>
      <c r="X319" s="81"/>
    </row>
    <row r="320" spans="18:24" ht="12.75">
      <c r="R320" s="81"/>
      <c r="S320" s="81"/>
      <c r="T320" s="81"/>
      <c r="U320" s="81"/>
      <c r="V320" s="81"/>
      <c r="W320" s="81"/>
      <c r="X320" s="81"/>
    </row>
    <row r="321" spans="18:24" ht="12.75">
      <c r="R321" s="81"/>
      <c r="S321" s="81"/>
      <c r="T321" s="81"/>
      <c r="U321" s="81"/>
      <c r="V321" s="81"/>
      <c r="W321" s="81"/>
      <c r="X321" s="81"/>
    </row>
    <row r="322" spans="18:24" ht="12.75">
      <c r="R322" s="81"/>
      <c r="S322" s="81"/>
      <c r="T322" s="81"/>
      <c r="U322" s="81"/>
      <c r="V322" s="81"/>
      <c r="W322" s="81"/>
      <c r="X322" s="81"/>
    </row>
    <row r="323" spans="18:24" ht="12.75">
      <c r="R323" s="81"/>
      <c r="S323" s="81"/>
      <c r="T323" s="81"/>
      <c r="U323" s="81"/>
      <c r="V323" s="81"/>
      <c r="W323" s="81"/>
      <c r="X323" s="81"/>
    </row>
    <row r="324" spans="18:24" ht="12.75">
      <c r="R324" s="81"/>
      <c r="S324" s="81"/>
      <c r="T324" s="81"/>
      <c r="U324" s="81"/>
      <c r="V324" s="81"/>
      <c r="W324" s="81"/>
      <c r="X324" s="81"/>
    </row>
    <row r="325" spans="18:24" ht="12.75">
      <c r="R325" s="81"/>
      <c r="S325" s="81"/>
      <c r="T325" s="81"/>
      <c r="U325" s="81"/>
      <c r="V325" s="81"/>
      <c r="W325" s="81"/>
      <c r="X325" s="81"/>
    </row>
    <row r="326" spans="18:24" ht="12.75">
      <c r="R326" s="81"/>
      <c r="S326" s="81"/>
      <c r="T326" s="81"/>
      <c r="U326" s="81"/>
      <c r="V326" s="81"/>
      <c r="W326" s="81"/>
      <c r="X326" s="81"/>
    </row>
    <row r="327" spans="18:24" ht="12.75">
      <c r="R327" s="81"/>
      <c r="S327" s="81"/>
      <c r="T327" s="81"/>
      <c r="U327" s="81"/>
      <c r="V327" s="81"/>
      <c r="W327" s="81"/>
      <c r="X327" s="81"/>
    </row>
    <row r="328" spans="18:24" ht="12.75">
      <c r="R328" s="81"/>
      <c r="S328" s="81"/>
      <c r="T328" s="81"/>
      <c r="U328" s="81"/>
      <c r="V328" s="81"/>
      <c r="W328" s="81"/>
      <c r="X328" s="81"/>
    </row>
    <row r="329" spans="18:24" ht="12.75">
      <c r="R329" s="81"/>
      <c r="S329" s="81"/>
      <c r="T329" s="81"/>
      <c r="U329" s="81"/>
      <c r="V329" s="81"/>
      <c r="W329" s="81"/>
      <c r="X329" s="81"/>
    </row>
    <row r="330" spans="18:24" ht="12.75">
      <c r="R330" s="81"/>
      <c r="S330" s="81"/>
      <c r="T330" s="81"/>
      <c r="U330" s="81"/>
      <c r="V330" s="81"/>
      <c r="W330" s="81"/>
      <c r="X330" s="81"/>
    </row>
    <row r="331" spans="18:24" ht="12.75">
      <c r="R331" s="81"/>
      <c r="S331" s="81"/>
      <c r="T331" s="81"/>
      <c r="U331" s="81"/>
      <c r="V331" s="81"/>
      <c r="W331" s="81"/>
      <c r="X331" s="81"/>
    </row>
    <row r="332" spans="18:24" ht="12.75">
      <c r="R332" s="81"/>
      <c r="S332" s="81"/>
      <c r="T332" s="81"/>
      <c r="U332" s="81"/>
      <c r="V332" s="81"/>
      <c r="W332" s="81"/>
      <c r="X332" s="81"/>
    </row>
    <row r="333" spans="18:24" ht="12.75">
      <c r="R333" s="81"/>
      <c r="S333" s="81"/>
      <c r="T333" s="81"/>
      <c r="U333" s="81"/>
      <c r="V333" s="81"/>
      <c r="W333" s="81"/>
      <c r="X333" s="81"/>
    </row>
    <row r="334" spans="18:24" ht="12.75">
      <c r="R334" s="81"/>
      <c r="S334" s="81"/>
      <c r="T334" s="81"/>
      <c r="U334" s="81"/>
      <c r="V334" s="81"/>
      <c r="W334" s="81"/>
      <c r="X334" s="81"/>
    </row>
    <row r="335" spans="18:24" ht="12.75">
      <c r="R335" s="81"/>
      <c r="S335" s="81"/>
      <c r="T335" s="81"/>
      <c r="U335" s="81"/>
      <c r="V335" s="81"/>
      <c r="W335" s="81"/>
      <c r="X335" s="81"/>
    </row>
    <row r="336" spans="18:24" ht="12.75">
      <c r="R336" s="81"/>
      <c r="S336" s="81"/>
      <c r="T336" s="81"/>
      <c r="U336" s="81"/>
      <c r="V336" s="81"/>
      <c r="W336" s="81"/>
      <c r="X336" s="81"/>
    </row>
    <row r="337" spans="18:24" ht="12.75">
      <c r="R337" s="81"/>
      <c r="S337" s="81"/>
      <c r="T337" s="81"/>
      <c r="U337" s="81"/>
      <c r="V337" s="81"/>
      <c r="W337" s="81"/>
      <c r="X337" s="81"/>
    </row>
    <row r="338" spans="18:24" ht="12.75">
      <c r="R338" s="81"/>
      <c r="S338" s="81"/>
      <c r="T338" s="81"/>
      <c r="U338" s="81"/>
      <c r="V338" s="81"/>
      <c r="W338" s="81"/>
      <c r="X338" s="81"/>
    </row>
    <row r="339" spans="18:24" ht="12.75">
      <c r="R339" s="81"/>
      <c r="S339" s="81"/>
      <c r="T339" s="81"/>
      <c r="U339" s="81"/>
      <c r="V339" s="81"/>
      <c r="W339" s="81"/>
      <c r="X339" s="81"/>
    </row>
    <row r="340" spans="18:24" ht="12.75">
      <c r="R340" s="81"/>
      <c r="S340" s="81"/>
      <c r="T340" s="81"/>
      <c r="U340" s="81"/>
      <c r="V340" s="81"/>
      <c r="W340" s="81"/>
      <c r="X340" s="81"/>
    </row>
    <row r="341" spans="18:24" ht="12.75">
      <c r="R341" s="81"/>
      <c r="S341" s="81"/>
      <c r="T341" s="81"/>
      <c r="U341" s="81"/>
      <c r="V341" s="81"/>
      <c r="W341" s="81"/>
      <c r="X341" s="81"/>
    </row>
    <row r="342" spans="18:24" ht="12.75">
      <c r="R342" s="81"/>
      <c r="S342" s="81"/>
      <c r="T342" s="81"/>
      <c r="U342" s="81"/>
      <c r="V342" s="81"/>
      <c r="W342" s="81"/>
      <c r="X342" s="81"/>
    </row>
    <row r="343" spans="18:24" ht="12.75">
      <c r="R343" s="81"/>
      <c r="S343" s="81"/>
      <c r="T343" s="81"/>
      <c r="U343" s="81"/>
      <c r="V343" s="81"/>
      <c r="W343" s="81"/>
      <c r="X343" s="81"/>
    </row>
    <row r="344" spans="18:24" ht="12.75">
      <c r="R344" s="81"/>
      <c r="S344" s="81"/>
      <c r="T344" s="81"/>
      <c r="U344" s="81"/>
      <c r="V344" s="81"/>
      <c r="W344" s="81"/>
      <c r="X344" s="81"/>
    </row>
    <row r="345" spans="18:24" ht="12.75">
      <c r="R345" s="81"/>
      <c r="S345" s="81"/>
      <c r="T345" s="81"/>
      <c r="U345" s="81"/>
      <c r="V345" s="81"/>
      <c r="W345" s="81"/>
      <c r="X345" s="81"/>
    </row>
    <row r="346" spans="18:24" ht="12.75">
      <c r="R346" s="81"/>
      <c r="S346" s="81"/>
      <c r="T346" s="81"/>
      <c r="U346" s="81"/>
      <c r="V346" s="81"/>
      <c r="W346" s="81"/>
      <c r="X346" s="81"/>
    </row>
    <row r="347" spans="18:24" ht="12.75">
      <c r="R347" s="81"/>
      <c r="S347" s="81"/>
      <c r="T347" s="81"/>
      <c r="U347" s="81"/>
      <c r="V347" s="81"/>
      <c r="W347" s="81"/>
      <c r="X347" s="81"/>
    </row>
    <row r="348" spans="18:24" ht="12.75">
      <c r="R348" s="81"/>
      <c r="S348" s="81"/>
      <c r="T348" s="81"/>
      <c r="U348" s="81"/>
      <c r="V348" s="81"/>
      <c r="W348" s="81"/>
      <c r="X348" s="81"/>
    </row>
    <row r="349" spans="18:24" ht="12.75">
      <c r="R349" s="81"/>
      <c r="S349" s="81"/>
      <c r="T349" s="81"/>
      <c r="U349" s="81"/>
      <c r="V349" s="81"/>
      <c r="W349" s="81"/>
      <c r="X349" s="81"/>
    </row>
    <row r="350" spans="18:24" ht="12.75">
      <c r="R350" s="81"/>
      <c r="S350" s="81"/>
      <c r="T350" s="81"/>
      <c r="U350" s="81"/>
      <c r="V350" s="81"/>
      <c r="W350" s="81"/>
      <c r="X350" s="81"/>
    </row>
    <row r="351" spans="18:24" ht="12.75">
      <c r="R351" s="81"/>
      <c r="S351" s="81"/>
      <c r="T351" s="81"/>
      <c r="U351" s="81"/>
      <c r="V351" s="81"/>
      <c r="W351" s="81"/>
      <c r="X351" s="81"/>
    </row>
    <row r="352" spans="18:24" ht="12.75">
      <c r="R352" s="81"/>
      <c r="S352" s="81"/>
      <c r="T352" s="81"/>
      <c r="U352" s="81"/>
      <c r="V352" s="81"/>
      <c r="W352" s="81"/>
      <c r="X352" s="81"/>
    </row>
    <row r="353" spans="18:24" ht="12.75">
      <c r="R353" s="81"/>
      <c r="S353" s="81"/>
      <c r="T353" s="81"/>
      <c r="U353" s="81"/>
      <c r="V353" s="81"/>
      <c r="W353" s="81"/>
      <c r="X353" s="81"/>
    </row>
    <row r="354" spans="18:24" ht="12.75">
      <c r="R354" s="81"/>
      <c r="S354" s="81"/>
      <c r="T354" s="81"/>
      <c r="U354" s="81"/>
      <c r="V354" s="81"/>
      <c r="W354" s="81"/>
      <c r="X354" s="81"/>
    </row>
    <row r="355" spans="18:24" ht="12.75">
      <c r="R355" s="81"/>
      <c r="S355" s="81"/>
      <c r="T355" s="81"/>
      <c r="U355" s="81"/>
      <c r="V355" s="81"/>
      <c r="W355" s="81"/>
      <c r="X355" s="81"/>
    </row>
    <row r="356" spans="18:24" ht="12.75">
      <c r="R356" s="81"/>
      <c r="S356" s="81"/>
      <c r="T356" s="81"/>
      <c r="U356" s="81"/>
      <c r="V356" s="81"/>
      <c r="W356" s="81"/>
      <c r="X356" s="81"/>
    </row>
    <row r="357" spans="18:24" ht="12.75">
      <c r="R357" s="81"/>
      <c r="S357" s="81"/>
      <c r="T357" s="81"/>
      <c r="U357" s="81"/>
      <c r="V357" s="81"/>
      <c r="W357" s="81"/>
      <c r="X357" s="81"/>
    </row>
    <row r="358" spans="18:24" ht="12.75">
      <c r="R358" s="81"/>
      <c r="S358" s="81"/>
      <c r="T358" s="81"/>
      <c r="U358" s="81"/>
      <c r="V358" s="81"/>
      <c r="W358" s="81"/>
      <c r="X358" s="81"/>
    </row>
    <row r="359" spans="18:24" ht="12.75">
      <c r="R359" s="81"/>
      <c r="S359" s="81"/>
      <c r="T359" s="81"/>
      <c r="U359" s="81"/>
      <c r="V359" s="81"/>
      <c r="W359" s="81"/>
      <c r="X359" s="81"/>
    </row>
    <row r="360" spans="18:24" ht="12.75">
      <c r="R360" s="81"/>
      <c r="S360" s="81"/>
      <c r="T360" s="81"/>
      <c r="U360" s="81"/>
      <c r="V360" s="81"/>
      <c r="W360" s="81"/>
      <c r="X360" s="81"/>
    </row>
    <row r="361" spans="18:24" ht="12.75">
      <c r="R361" s="81"/>
      <c r="S361" s="81"/>
      <c r="T361" s="81"/>
      <c r="U361" s="81"/>
      <c r="V361" s="81"/>
      <c r="W361" s="81"/>
      <c r="X361" s="81"/>
    </row>
    <row r="362" spans="18:24" ht="12.75">
      <c r="R362" s="81"/>
      <c r="S362" s="81"/>
      <c r="T362" s="81"/>
      <c r="U362" s="81"/>
      <c r="V362" s="81"/>
      <c r="W362" s="81"/>
      <c r="X362" s="81"/>
    </row>
    <row r="363" spans="18:24" ht="12.75">
      <c r="R363" s="81"/>
      <c r="S363" s="81"/>
      <c r="T363" s="81"/>
      <c r="U363" s="81"/>
      <c r="V363" s="81"/>
      <c r="W363" s="81"/>
      <c r="X363" s="81"/>
    </row>
    <row r="364" spans="18:24" ht="12.75">
      <c r="R364" s="81"/>
      <c r="S364" s="81"/>
      <c r="T364" s="81"/>
      <c r="U364" s="81"/>
      <c r="V364" s="81"/>
      <c r="W364" s="81"/>
      <c r="X364" s="81"/>
    </row>
    <row r="365" spans="18:24" ht="12.75">
      <c r="R365" s="81"/>
      <c r="S365" s="81"/>
      <c r="T365" s="81"/>
      <c r="U365" s="81"/>
      <c r="V365" s="81"/>
      <c r="W365" s="81"/>
      <c r="X365" s="81"/>
    </row>
    <row r="366" spans="18:24" ht="12.75">
      <c r="R366" s="81"/>
      <c r="S366" s="81"/>
      <c r="T366" s="81"/>
      <c r="U366" s="81"/>
      <c r="V366" s="81"/>
      <c r="W366" s="81"/>
      <c r="X366" s="81"/>
    </row>
    <row r="367" spans="18:24" ht="12.75">
      <c r="R367" s="81"/>
      <c r="S367" s="81"/>
      <c r="T367" s="81"/>
      <c r="U367" s="81"/>
      <c r="V367" s="81"/>
      <c r="W367" s="81"/>
      <c r="X367" s="81"/>
    </row>
    <row r="368" spans="18:24" ht="12.75">
      <c r="R368" s="81"/>
      <c r="S368" s="81"/>
      <c r="T368" s="81"/>
      <c r="U368" s="81"/>
      <c r="V368" s="81"/>
      <c r="W368" s="81"/>
      <c r="X368" s="81"/>
    </row>
    <row r="369" spans="18:24" ht="12.75">
      <c r="R369" s="81"/>
      <c r="S369" s="81"/>
      <c r="T369" s="81"/>
      <c r="U369" s="81"/>
      <c r="V369" s="81"/>
      <c r="W369" s="81"/>
      <c r="X369" s="81"/>
    </row>
    <row r="370" spans="18:24" ht="12.75">
      <c r="R370" s="81"/>
      <c r="S370" s="81"/>
      <c r="T370" s="81"/>
      <c r="U370" s="81"/>
      <c r="V370" s="81"/>
      <c r="W370" s="81"/>
      <c r="X370" s="81"/>
    </row>
    <row r="371" spans="18:24" ht="12.75">
      <c r="R371" s="81"/>
      <c r="S371" s="81"/>
      <c r="T371" s="81"/>
      <c r="U371" s="81"/>
      <c r="V371" s="81"/>
      <c r="W371" s="81"/>
      <c r="X371" s="81"/>
    </row>
    <row r="372" spans="18:24" ht="12.75">
      <c r="R372" s="81"/>
      <c r="S372" s="81"/>
      <c r="T372" s="81"/>
      <c r="U372" s="81"/>
      <c r="V372" s="81"/>
      <c r="W372" s="81"/>
      <c r="X372" s="81"/>
    </row>
    <row r="373" spans="18:24" ht="12.75">
      <c r="R373" s="81"/>
      <c r="S373" s="81"/>
      <c r="T373" s="81"/>
      <c r="U373" s="81"/>
      <c r="V373" s="81"/>
      <c r="W373" s="81"/>
      <c r="X373" s="81"/>
    </row>
    <row r="374" spans="18:24" ht="12.75">
      <c r="R374" s="81"/>
      <c r="S374" s="81"/>
      <c r="T374" s="81"/>
      <c r="U374" s="81"/>
      <c r="V374" s="81"/>
      <c r="W374" s="81"/>
      <c r="X374" s="81"/>
    </row>
    <row r="375" spans="18:24" ht="12.75">
      <c r="R375" s="81"/>
      <c r="S375" s="81"/>
      <c r="T375" s="81"/>
      <c r="U375" s="81"/>
      <c r="V375" s="81"/>
      <c r="W375" s="81"/>
      <c r="X375" s="81"/>
    </row>
    <row r="376" spans="18:24" ht="12.75">
      <c r="R376" s="81"/>
      <c r="S376" s="81"/>
      <c r="T376" s="81"/>
      <c r="U376" s="81"/>
      <c r="V376" s="81"/>
      <c r="W376" s="81"/>
      <c r="X376" s="81"/>
    </row>
    <row r="377" spans="18:24" ht="12.75">
      <c r="R377" s="81"/>
      <c r="S377" s="81"/>
      <c r="T377" s="81"/>
      <c r="U377" s="81"/>
      <c r="V377" s="81"/>
      <c r="W377" s="81"/>
      <c r="X377" s="81"/>
    </row>
    <row r="378" spans="18:24" ht="12.75">
      <c r="R378" s="81"/>
      <c r="S378" s="81"/>
      <c r="T378" s="81"/>
      <c r="U378" s="81"/>
      <c r="V378" s="81"/>
      <c r="W378" s="81"/>
      <c r="X378" s="81"/>
    </row>
    <row r="379" spans="18:24" ht="12.75">
      <c r="R379" s="81"/>
      <c r="S379" s="81"/>
      <c r="T379" s="81"/>
      <c r="U379" s="81"/>
      <c r="V379" s="81"/>
      <c r="W379" s="81"/>
      <c r="X379" s="81"/>
    </row>
    <row r="380" spans="18:24" ht="12.75">
      <c r="R380" s="81"/>
      <c r="S380" s="81"/>
      <c r="T380" s="81"/>
      <c r="U380" s="81"/>
      <c r="V380" s="81"/>
      <c r="W380" s="81"/>
      <c r="X380" s="81"/>
    </row>
    <row r="381" spans="18:24" ht="12.75">
      <c r="R381" s="81"/>
      <c r="S381" s="81"/>
      <c r="T381" s="81"/>
      <c r="U381" s="81"/>
      <c r="V381" s="81"/>
      <c r="W381" s="81"/>
      <c r="X381" s="81"/>
    </row>
    <row r="382" spans="18:24" ht="12.75">
      <c r="R382" s="81"/>
      <c r="S382" s="81"/>
      <c r="T382" s="81"/>
      <c r="U382" s="81"/>
      <c r="V382" s="81"/>
      <c r="W382" s="81"/>
      <c r="X382" s="81"/>
    </row>
    <row r="383" spans="18:24" ht="12.75">
      <c r="R383" s="81"/>
      <c r="S383" s="81"/>
      <c r="T383" s="81"/>
      <c r="U383" s="81"/>
      <c r="V383" s="81"/>
      <c r="W383" s="81"/>
      <c r="X383" s="81"/>
    </row>
    <row r="384" spans="18:24" ht="12.75">
      <c r="R384" s="81"/>
      <c r="S384" s="81"/>
      <c r="T384" s="81"/>
      <c r="U384" s="81"/>
      <c r="V384" s="81"/>
      <c r="W384" s="81"/>
      <c r="X384" s="81"/>
    </row>
    <row r="385" spans="18:24" ht="12.75">
      <c r="R385" s="81"/>
      <c r="S385" s="81"/>
      <c r="T385" s="81"/>
      <c r="U385" s="81"/>
      <c r="V385" s="81"/>
      <c r="W385" s="81"/>
      <c r="X385" s="81"/>
    </row>
    <row r="386" spans="18:24" ht="12.75">
      <c r="R386" s="81"/>
      <c r="S386" s="81"/>
      <c r="T386" s="81"/>
      <c r="U386" s="81"/>
      <c r="V386" s="81"/>
      <c r="W386" s="81"/>
      <c r="X386" s="81"/>
    </row>
    <row r="387" spans="18:24" ht="12.75">
      <c r="R387" s="81"/>
      <c r="S387" s="81"/>
      <c r="T387" s="81"/>
      <c r="U387" s="81"/>
      <c r="V387" s="81"/>
      <c r="W387" s="81"/>
      <c r="X387" s="81"/>
    </row>
    <row r="388" spans="18:24" ht="12.75">
      <c r="R388" s="81"/>
      <c r="S388" s="81"/>
      <c r="T388" s="81"/>
      <c r="U388" s="81"/>
      <c r="V388" s="81"/>
      <c r="W388" s="81"/>
      <c r="X388" s="81"/>
    </row>
    <row r="389" spans="18:24" ht="12.75">
      <c r="R389" s="81"/>
      <c r="S389" s="81"/>
      <c r="T389" s="81"/>
      <c r="U389" s="81"/>
      <c r="V389" s="81"/>
      <c r="W389" s="81"/>
      <c r="X389" s="81"/>
    </row>
    <row r="390" spans="18:24" ht="12.75">
      <c r="R390" s="81"/>
      <c r="S390" s="81"/>
      <c r="T390" s="81"/>
      <c r="U390" s="81"/>
      <c r="V390" s="81"/>
      <c r="W390" s="81"/>
      <c r="X390" s="81"/>
    </row>
    <row r="391" spans="18:24" ht="12.75">
      <c r="R391" s="81"/>
      <c r="S391" s="81"/>
      <c r="T391" s="81"/>
      <c r="U391" s="81"/>
      <c r="V391" s="81"/>
      <c r="W391" s="81"/>
      <c r="X391" s="81"/>
    </row>
    <row r="392" spans="18:24" ht="12.75">
      <c r="R392" s="81"/>
      <c r="S392" s="81"/>
      <c r="T392" s="81"/>
      <c r="U392" s="81"/>
      <c r="V392" s="81"/>
      <c r="W392" s="81"/>
      <c r="X392" s="81"/>
    </row>
    <row r="393" spans="18:24" ht="12.75">
      <c r="R393" s="81"/>
      <c r="S393" s="81"/>
      <c r="T393" s="81"/>
      <c r="U393" s="81"/>
      <c r="V393" s="81"/>
      <c r="W393" s="81"/>
      <c r="X393" s="81"/>
    </row>
    <row r="394" spans="18:24" ht="12.75">
      <c r="R394" s="81"/>
      <c r="S394" s="81"/>
      <c r="T394" s="81"/>
      <c r="U394" s="81"/>
      <c r="V394" s="81"/>
      <c r="W394" s="81"/>
      <c r="X394" s="81"/>
    </row>
    <row r="395" spans="18:24" ht="12.75">
      <c r="R395" s="81"/>
      <c r="S395" s="81"/>
      <c r="T395" s="81"/>
      <c r="U395" s="81"/>
      <c r="V395" s="81"/>
      <c r="W395" s="81"/>
      <c r="X395" s="81"/>
    </row>
    <row r="396" spans="18:24" ht="12.75">
      <c r="R396" s="81"/>
      <c r="S396" s="81"/>
      <c r="T396" s="81"/>
      <c r="U396" s="81"/>
      <c r="V396" s="81"/>
      <c r="W396" s="81"/>
      <c r="X396" s="81"/>
    </row>
    <row r="397" spans="18:24" ht="12.75">
      <c r="R397" s="81"/>
      <c r="S397" s="81"/>
      <c r="T397" s="81"/>
      <c r="U397" s="81"/>
      <c r="V397" s="81"/>
      <c r="W397" s="81"/>
      <c r="X397" s="81"/>
    </row>
    <row r="398" spans="18:24" ht="12.75">
      <c r="R398" s="81"/>
      <c r="S398" s="81"/>
      <c r="T398" s="81"/>
      <c r="U398" s="81"/>
      <c r="V398" s="81"/>
      <c r="W398" s="81"/>
      <c r="X398" s="81"/>
    </row>
    <row r="399" spans="18:24" ht="12.75">
      <c r="R399" s="81"/>
      <c r="S399" s="81"/>
      <c r="T399" s="81"/>
      <c r="U399" s="81"/>
      <c r="V399" s="81"/>
      <c r="W399" s="81"/>
      <c r="X399" s="81"/>
    </row>
    <row r="400" spans="18:24" ht="12.75">
      <c r="R400" s="81"/>
      <c r="S400" s="81"/>
      <c r="T400" s="81"/>
      <c r="U400" s="81"/>
      <c r="V400" s="81"/>
      <c r="W400" s="81"/>
      <c r="X400" s="81"/>
    </row>
    <row r="401" spans="18:24" ht="12.75">
      <c r="R401" s="81"/>
      <c r="S401" s="81"/>
      <c r="T401" s="81"/>
      <c r="U401" s="81"/>
      <c r="V401" s="81"/>
      <c r="W401" s="81"/>
      <c r="X401" s="81"/>
    </row>
    <row r="402" spans="18:24" ht="12.75">
      <c r="R402" s="81"/>
      <c r="S402" s="81"/>
      <c r="T402" s="81"/>
      <c r="U402" s="81"/>
      <c r="V402" s="81"/>
      <c r="W402" s="81"/>
      <c r="X402" s="81"/>
    </row>
    <row r="403" spans="18:24" ht="12.75">
      <c r="R403" s="81"/>
      <c r="S403" s="81"/>
      <c r="T403" s="81"/>
      <c r="U403" s="81"/>
      <c r="V403" s="81"/>
      <c r="W403" s="81"/>
      <c r="X403" s="81"/>
    </row>
    <row r="404" spans="18:24" ht="12.75">
      <c r="R404" s="81"/>
      <c r="S404" s="81"/>
      <c r="T404" s="81"/>
      <c r="U404" s="81"/>
      <c r="V404" s="81"/>
      <c r="W404" s="81"/>
      <c r="X404" s="81"/>
    </row>
    <row r="405" spans="18:24" ht="12.75">
      <c r="R405" s="81"/>
      <c r="S405" s="81"/>
      <c r="T405" s="81"/>
      <c r="U405" s="81"/>
      <c r="V405" s="81"/>
      <c r="W405" s="81"/>
      <c r="X405" s="81"/>
    </row>
    <row r="406" spans="18:24" ht="12.75">
      <c r="R406" s="81"/>
      <c r="S406" s="81"/>
      <c r="T406" s="81"/>
      <c r="U406" s="81"/>
      <c r="V406" s="81"/>
      <c r="W406" s="81"/>
      <c r="X406" s="81"/>
    </row>
    <row r="407" spans="18:24" ht="12.75">
      <c r="R407" s="81"/>
      <c r="S407" s="81"/>
      <c r="T407" s="81"/>
      <c r="U407" s="81"/>
      <c r="V407" s="81"/>
      <c r="W407" s="81"/>
      <c r="X407" s="81"/>
    </row>
    <row r="408" spans="18:24" ht="12.75">
      <c r="R408" s="81"/>
      <c r="S408" s="81"/>
      <c r="T408" s="81"/>
      <c r="U408" s="81"/>
      <c r="V408" s="81"/>
      <c r="W408" s="81"/>
      <c r="X408" s="81"/>
    </row>
    <row r="409" spans="18:24" ht="12.75">
      <c r="R409" s="81"/>
      <c r="S409" s="81"/>
      <c r="T409" s="81"/>
      <c r="U409" s="81"/>
      <c r="V409" s="81"/>
      <c r="W409" s="81"/>
      <c r="X409" s="81"/>
    </row>
    <row r="410" spans="18:24" ht="12.75">
      <c r="R410" s="81"/>
      <c r="S410" s="81"/>
      <c r="T410" s="81"/>
      <c r="U410" s="81"/>
      <c r="V410" s="81"/>
      <c r="W410" s="81"/>
      <c r="X410" s="81"/>
    </row>
    <row r="411" spans="18:24" ht="12.75">
      <c r="R411" s="81"/>
      <c r="S411" s="81"/>
      <c r="T411" s="81"/>
      <c r="U411" s="81"/>
      <c r="V411" s="81"/>
      <c r="W411" s="81"/>
      <c r="X411" s="81"/>
    </row>
    <row r="412" spans="18:24" ht="12.75">
      <c r="R412" s="81"/>
      <c r="S412" s="81"/>
      <c r="T412" s="81"/>
      <c r="U412" s="81"/>
      <c r="V412" s="81"/>
      <c r="W412" s="81"/>
      <c r="X412" s="81"/>
    </row>
    <row r="413" spans="18:24" ht="12.75">
      <c r="R413" s="81"/>
      <c r="S413" s="81"/>
      <c r="T413" s="81"/>
      <c r="U413" s="81"/>
      <c r="V413" s="81"/>
      <c r="W413" s="81"/>
      <c r="X413" s="81"/>
    </row>
    <row r="414" spans="18:24" ht="12.75">
      <c r="R414" s="81"/>
      <c r="S414" s="81"/>
      <c r="T414" s="81"/>
      <c r="U414" s="81"/>
      <c r="V414" s="81"/>
      <c r="W414" s="81"/>
      <c r="X414" s="81"/>
    </row>
    <row r="415" spans="18:24" ht="12.75">
      <c r="R415" s="81"/>
      <c r="S415" s="81"/>
      <c r="T415" s="81"/>
      <c r="U415" s="81"/>
      <c r="V415" s="81"/>
      <c r="W415" s="81"/>
      <c r="X415" s="81"/>
    </row>
    <row r="416" spans="18:24" ht="12.75">
      <c r="R416" s="81"/>
      <c r="S416" s="81"/>
      <c r="T416" s="81"/>
      <c r="U416" s="81"/>
      <c r="V416" s="81"/>
      <c r="W416" s="81"/>
      <c r="X416" s="81"/>
    </row>
    <row r="417" spans="18:24" ht="12.75">
      <c r="R417" s="81"/>
      <c r="S417" s="81"/>
      <c r="T417" s="81"/>
      <c r="U417" s="81"/>
      <c r="V417" s="81"/>
      <c r="W417" s="81"/>
      <c r="X417" s="81"/>
    </row>
    <row r="418" spans="18:24" ht="12.75">
      <c r="R418" s="81"/>
      <c r="S418" s="81"/>
      <c r="T418" s="81"/>
      <c r="U418" s="81"/>
      <c r="V418" s="81"/>
      <c r="W418" s="81"/>
      <c r="X418" s="81"/>
    </row>
    <row r="419" spans="18:24" ht="12.75">
      <c r="R419" s="81"/>
      <c r="S419" s="81"/>
      <c r="T419" s="81"/>
      <c r="U419" s="81"/>
      <c r="V419" s="81"/>
      <c r="W419" s="81"/>
      <c r="X419" s="81"/>
    </row>
    <row r="420" spans="18:24" ht="12.75">
      <c r="R420" s="81"/>
      <c r="S420" s="81"/>
      <c r="T420" s="81"/>
      <c r="U420" s="81"/>
      <c r="V420" s="81"/>
      <c r="W420" s="81"/>
      <c r="X420" s="81"/>
    </row>
    <row r="421" spans="18:24" ht="12.75">
      <c r="R421" s="81"/>
      <c r="S421" s="81"/>
      <c r="T421" s="81"/>
      <c r="U421" s="81"/>
      <c r="V421" s="81"/>
      <c r="W421" s="81"/>
      <c r="X421" s="81"/>
    </row>
    <row r="422" spans="18:24" ht="12.75">
      <c r="R422" s="81"/>
      <c r="S422" s="81"/>
      <c r="T422" s="81"/>
      <c r="U422" s="81"/>
      <c r="V422" s="81"/>
      <c r="W422" s="81"/>
      <c r="X422" s="81"/>
    </row>
    <row r="423" spans="18:24" ht="12.75">
      <c r="R423" s="81"/>
      <c r="S423" s="81"/>
      <c r="T423" s="81"/>
      <c r="U423" s="81"/>
      <c r="V423" s="81"/>
      <c r="W423" s="81"/>
      <c r="X423" s="81"/>
    </row>
    <row r="424" spans="18:24" ht="12.75">
      <c r="R424" s="81"/>
      <c r="S424" s="81"/>
      <c r="T424" s="81"/>
      <c r="U424" s="81"/>
      <c r="V424" s="81"/>
      <c r="W424" s="81"/>
      <c r="X424" s="81"/>
    </row>
    <row r="425" spans="18:24" ht="12.75">
      <c r="R425" s="81"/>
      <c r="S425" s="81"/>
      <c r="T425" s="81"/>
      <c r="U425" s="81"/>
      <c r="V425" s="81"/>
      <c r="W425" s="81"/>
      <c r="X425" s="81"/>
    </row>
    <row r="426" spans="18:24" ht="12.75">
      <c r="R426" s="81"/>
      <c r="S426" s="81"/>
      <c r="T426" s="81"/>
      <c r="U426" s="81"/>
      <c r="V426" s="81"/>
      <c r="W426" s="81"/>
      <c r="X426" s="81"/>
    </row>
    <row r="427" spans="18:24" ht="12.75">
      <c r="R427" s="81"/>
      <c r="S427" s="81"/>
      <c r="T427" s="81"/>
      <c r="U427" s="81"/>
      <c r="V427" s="81"/>
      <c r="W427" s="81"/>
      <c r="X427" s="81"/>
    </row>
    <row r="428" spans="18:24" ht="12.75">
      <c r="R428" s="81"/>
      <c r="S428" s="81"/>
      <c r="T428" s="81"/>
      <c r="U428" s="81"/>
      <c r="V428" s="81"/>
      <c r="W428" s="81"/>
      <c r="X428" s="81"/>
    </row>
    <row r="429" spans="18:24" ht="12.75">
      <c r="R429" s="81"/>
      <c r="S429" s="81"/>
      <c r="T429" s="81"/>
      <c r="U429" s="81"/>
      <c r="V429" s="81"/>
      <c r="W429" s="81"/>
      <c r="X429" s="81"/>
    </row>
    <row r="430" spans="18:24" ht="12.75">
      <c r="R430" s="81"/>
      <c r="S430" s="81"/>
      <c r="T430" s="81"/>
      <c r="U430" s="81"/>
      <c r="V430" s="81"/>
      <c r="W430" s="81"/>
      <c r="X430" s="81"/>
    </row>
    <row r="431" spans="18:24" ht="12.75">
      <c r="R431" s="81"/>
      <c r="S431" s="81"/>
      <c r="T431" s="81"/>
      <c r="U431" s="81"/>
      <c r="V431" s="81"/>
      <c r="W431" s="81"/>
      <c r="X431" s="81"/>
    </row>
    <row r="432" spans="18:24" ht="12.75">
      <c r="R432" s="81"/>
      <c r="S432" s="81"/>
      <c r="T432" s="81"/>
      <c r="U432" s="81"/>
      <c r="V432" s="81"/>
      <c r="W432" s="81"/>
      <c r="X432" s="81"/>
    </row>
    <row r="433" spans="18:24" ht="12.75">
      <c r="R433" s="81"/>
      <c r="S433" s="81"/>
      <c r="T433" s="81"/>
      <c r="U433" s="81"/>
      <c r="V433" s="81"/>
      <c r="W433" s="81"/>
      <c r="X433" s="81"/>
    </row>
    <row r="434" spans="18:24" ht="12.75">
      <c r="R434" s="81"/>
      <c r="S434" s="81"/>
      <c r="T434" s="81"/>
      <c r="U434" s="81"/>
      <c r="V434" s="81"/>
      <c r="W434" s="81"/>
      <c r="X434" s="81"/>
    </row>
    <row r="435" spans="18:24" ht="12.75">
      <c r="R435" s="81"/>
      <c r="S435" s="81"/>
      <c r="T435" s="81"/>
      <c r="U435" s="81"/>
      <c r="V435" s="81"/>
      <c r="W435" s="81"/>
      <c r="X435" s="81"/>
    </row>
    <row r="436" spans="18:24" ht="12.75">
      <c r="R436" s="81"/>
      <c r="S436" s="81"/>
      <c r="T436" s="81"/>
      <c r="U436" s="81"/>
      <c r="V436" s="81"/>
      <c r="W436" s="81"/>
      <c r="X436" s="81"/>
    </row>
    <row r="437" spans="18:24" ht="12.75">
      <c r="R437" s="81"/>
      <c r="S437" s="81"/>
      <c r="T437" s="81"/>
      <c r="U437" s="81"/>
      <c r="V437" s="81"/>
      <c r="W437" s="81"/>
      <c r="X437" s="81"/>
    </row>
    <row r="438" spans="18:24" ht="12.75">
      <c r="R438" s="81"/>
      <c r="S438" s="81"/>
      <c r="T438" s="81"/>
      <c r="U438" s="81"/>
      <c r="V438" s="81"/>
      <c r="W438" s="81"/>
      <c r="X438" s="81"/>
    </row>
    <row r="439" spans="18:24" ht="12.75">
      <c r="R439" s="81"/>
      <c r="S439" s="81"/>
      <c r="T439" s="81"/>
      <c r="U439" s="81"/>
      <c r="V439" s="81"/>
      <c r="W439" s="81"/>
      <c r="X439" s="81"/>
    </row>
    <row r="440" spans="18:24" ht="12.75">
      <c r="R440" s="81"/>
      <c r="S440" s="81"/>
      <c r="T440" s="81"/>
      <c r="U440" s="81"/>
      <c r="V440" s="81"/>
      <c r="W440" s="81"/>
      <c r="X440" s="81"/>
    </row>
    <row r="441" spans="18:24" ht="12.75">
      <c r="R441" s="81"/>
      <c r="S441" s="81"/>
      <c r="T441" s="81"/>
      <c r="U441" s="81"/>
      <c r="V441" s="81"/>
      <c r="W441" s="81"/>
      <c r="X441" s="81"/>
    </row>
    <row r="442" spans="18:24" ht="12.75">
      <c r="R442" s="81"/>
      <c r="S442" s="81"/>
      <c r="T442" s="81"/>
      <c r="U442" s="81"/>
      <c r="V442" s="81"/>
      <c r="W442" s="81"/>
      <c r="X442" s="81"/>
    </row>
    <row r="443" spans="18:24" ht="12.75">
      <c r="R443" s="81"/>
      <c r="S443" s="81"/>
      <c r="T443" s="81"/>
      <c r="U443" s="81"/>
      <c r="V443" s="81"/>
      <c r="W443" s="81"/>
      <c r="X443" s="81"/>
    </row>
    <row r="444" spans="18:24" ht="12.75">
      <c r="R444" s="81"/>
      <c r="S444" s="81"/>
      <c r="T444" s="81"/>
      <c r="U444" s="81"/>
      <c r="V444" s="81"/>
      <c r="W444" s="81"/>
      <c r="X444" s="81"/>
    </row>
    <row r="445" spans="18:24" ht="12.75">
      <c r="R445" s="81"/>
      <c r="S445" s="81"/>
      <c r="T445" s="81"/>
      <c r="U445" s="81"/>
      <c r="V445" s="81"/>
      <c r="W445" s="81"/>
      <c r="X445" s="81"/>
    </row>
    <row r="446" spans="18:24" ht="12.75">
      <c r="R446" s="81"/>
      <c r="S446" s="81"/>
      <c r="T446" s="81"/>
      <c r="U446" s="81"/>
      <c r="V446" s="81"/>
      <c r="W446" s="81"/>
      <c r="X446" s="81"/>
    </row>
    <row r="447" spans="18:24" ht="12.75">
      <c r="R447" s="81"/>
      <c r="S447" s="81"/>
      <c r="T447" s="81"/>
      <c r="U447" s="81"/>
      <c r="V447" s="81"/>
      <c r="W447" s="81"/>
      <c r="X447" s="81"/>
    </row>
    <row r="448" spans="18:24" ht="12.75">
      <c r="R448" s="81"/>
      <c r="S448" s="81"/>
      <c r="T448" s="81"/>
      <c r="U448" s="81"/>
      <c r="V448" s="81"/>
      <c r="W448" s="81"/>
      <c r="X448" s="81"/>
    </row>
    <row r="449" spans="18:24" ht="12.75">
      <c r="R449" s="81"/>
      <c r="S449" s="81"/>
      <c r="T449" s="81"/>
      <c r="U449" s="81"/>
      <c r="V449" s="81"/>
      <c r="W449" s="81"/>
      <c r="X449" s="81"/>
    </row>
    <row r="450" spans="18:24" ht="12.75">
      <c r="R450" s="81"/>
      <c r="S450" s="81"/>
      <c r="T450" s="81"/>
      <c r="U450" s="81"/>
      <c r="V450" s="81"/>
      <c r="W450" s="81"/>
      <c r="X450" s="81"/>
    </row>
    <row r="451" spans="18:24" ht="12.75">
      <c r="R451" s="81"/>
      <c r="S451" s="81"/>
      <c r="T451" s="81"/>
      <c r="U451" s="81"/>
      <c r="V451" s="81"/>
      <c r="W451" s="81"/>
      <c r="X451" s="81"/>
    </row>
    <row r="452" spans="18:24" ht="12.75">
      <c r="R452" s="81"/>
      <c r="S452" s="81"/>
      <c r="T452" s="81"/>
      <c r="U452" s="81"/>
      <c r="V452" s="81"/>
      <c r="W452" s="81"/>
      <c r="X452" s="81"/>
    </row>
    <row r="453" spans="18:24" ht="12.75">
      <c r="R453" s="81"/>
      <c r="S453" s="81"/>
      <c r="T453" s="81"/>
      <c r="U453" s="81"/>
      <c r="V453" s="81"/>
      <c r="W453" s="81"/>
      <c r="X453" s="81"/>
    </row>
    <row r="454" spans="18:24" ht="12.75">
      <c r="R454" s="81"/>
      <c r="S454" s="81"/>
      <c r="T454" s="81"/>
      <c r="U454" s="81"/>
      <c r="V454" s="81"/>
      <c r="W454" s="81"/>
      <c r="X454" s="81"/>
    </row>
    <row r="455" spans="18:24" ht="12.75">
      <c r="R455" s="81"/>
      <c r="S455" s="81"/>
      <c r="T455" s="81"/>
      <c r="U455" s="81"/>
      <c r="V455" s="81"/>
      <c r="W455" s="81"/>
      <c r="X455" s="81"/>
    </row>
    <row r="456" spans="18:24" ht="12.75">
      <c r="R456" s="81"/>
      <c r="S456" s="81"/>
      <c r="T456" s="81"/>
      <c r="U456" s="81"/>
      <c r="V456" s="81"/>
      <c r="W456" s="81"/>
      <c r="X456" s="81"/>
    </row>
    <row r="457" spans="18:24" ht="12.75">
      <c r="R457" s="81"/>
      <c r="S457" s="81"/>
      <c r="T457" s="81"/>
      <c r="U457" s="81"/>
      <c r="V457" s="81"/>
      <c r="W457" s="81"/>
      <c r="X457" s="81"/>
    </row>
    <row r="458" spans="18:24" ht="12.75">
      <c r="R458" s="81"/>
      <c r="S458" s="81"/>
      <c r="T458" s="81"/>
      <c r="U458" s="81"/>
      <c r="V458" s="81"/>
      <c r="W458" s="81"/>
      <c r="X458" s="81"/>
    </row>
    <row r="459" spans="18:24" ht="12.75">
      <c r="R459" s="81"/>
      <c r="S459" s="81"/>
      <c r="T459" s="81"/>
      <c r="U459" s="81"/>
      <c r="V459" s="81"/>
      <c r="W459" s="81"/>
      <c r="X459" s="81"/>
    </row>
    <row r="460" spans="18:24" ht="12.75">
      <c r="R460" s="81"/>
      <c r="S460" s="81"/>
      <c r="T460" s="81"/>
      <c r="U460" s="81"/>
      <c r="V460" s="81"/>
      <c r="W460" s="81"/>
      <c r="X460" s="81"/>
    </row>
    <row r="461" spans="18:24" ht="12.75">
      <c r="R461" s="81"/>
      <c r="S461" s="81"/>
      <c r="T461" s="81"/>
      <c r="U461" s="81"/>
      <c r="V461" s="81"/>
      <c r="W461" s="81"/>
      <c r="X461" s="81"/>
    </row>
    <row r="462" spans="18:24" ht="12.75">
      <c r="R462" s="81"/>
      <c r="S462" s="81"/>
      <c r="T462" s="81"/>
      <c r="U462" s="81"/>
      <c r="V462" s="81"/>
      <c r="W462" s="81"/>
      <c r="X462" s="81"/>
    </row>
    <row r="463" spans="18:24" ht="12.75">
      <c r="R463" s="81"/>
      <c r="S463" s="81"/>
      <c r="T463" s="81"/>
      <c r="U463" s="81"/>
      <c r="V463" s="81"/>
      <c r="W463" s="81"/>
      <c r="X463" s="81"/>
    </row>
    <row r="464" spans="18:24" ht="12.75">
      <c r="R464" s="81"/>
      <c r="S464" s="81"/>
      <c r="T464" s="81"/>
      <c r="U464" s="81"/>
      <c r="V464" s="81"/>
      <c r="W464" s="81"/>
      <c r="X464" s="81"/>
    </row>
    <row r="465" spans="18:24" ht="12.75">
      <c r="R465" s="81"/>
      <c r="S465" s="81"/>
      <c r="T465" s="81"/>
      <c r="U465" s="81"/>
      <c r="V465" s="81"/>
      <c r="W465" s="81"/>
      <c r="X465" s="81"/>
    </row>
    <row r="466" spans="18:24" ht="12.75">
      <c r="R466" s="81"/>
      <c r="S466" s="81"/>
      <c r="T466" s="81"/>
      <c r="U466" s="81"/>
      <c r="V466" s="81"/>
      <c r="W466" s="81"/>
      <c r="X466" s="81"/>
    </row>
    <row r="467" spans="18:24" ht="12.75">
      <c r="R467" s="81"/>
      <c r="S467" s="81"/>
      <c r="T467" s="81"/>
      <c r="U467" s="81"/>
      <c r="V467" s="81"/>
      <c r="W467" s="81"/>
      <c r="X467" s="81"/>
    </row>
    <row r="468" spans="18:24" ht="12.75">
      <c r="R468" s="81"/>
      <c r="S468" s="81"/>
      <c r="T468" s="81"/>
      <c r="U468" s="81"/>
      <c r="V468" s="81"/>
      <c r="W468" s="81"/>
      <c r="X468" s="81"/>
    </row>
    <row r="469" spans="18:24" ht="12.75">
      <c r="R469" s="81"/>
      <c r="S469" s="81"/>
      <c r="T469" s="81"/>
      <c r="U469" s="81"/>
      <c r="V469" s="81"/>
      <c r="W469" s="81"/>
      <c r="X469" s="81"/>
    </row>
    <row r="470" spans="18:24" ht="12.75">
      <c r="R470" s="81"/>
      <c r="S470" s="81"/>
      <c r="T470" s="81"/>
      <c r="U470" s="81"/>
      <c r="V470" s="81"/>
      <c r="W470" s="81"/>
      <c r="X470" s="81"/>
    </row>
    <row r="471" spans="18:24" ht="12.75">
      <c r="R471" s="81"/>
      <c r="S471" s="81"/>
      <c r="T471" s="81"/>
      <c r="U471" s="81"/>
      <c r="V471" s="81"/>
      <c r="W471" s="81"/>
      <c r="X471" s="81"/>
    </row>
    <row r="472" spans="18:24" ht="12.75">
      <c r="R472" s="81"/>
      <c r="S472" s="81"/>
      <c r="T472" s="81"/>
      <c r="U472" s="81"/>
      <c r="V472" s="81"/>
      <c r="W472" s="81"/>
      <c r="X472" s="81"/>
    </row>
    <row r="473" spans="18:24" ht="12.75">
      <c r="R473" s="81"/>
      <c r="S473" s="81"/>
      <c r="T473" s="81"/>
      <c r="U473" s="81"/>
      <c r="V473" s="81"/>
      <c r="W473" s="81"/>
      <c r="X473" s="81"/>
    </row>
    <row r="474" spans="18:24" ht="12.75">
      <c r="R474" s="81"/>
      <c r="S474" s="81"/>
      <c r="T474" s="81"/>
      <c r="U474" s="81"/>
      <c r="V474" s="81"/>
      <c r="W474" s="81"/>
      <c r="X474" s="81"/>
    </row>
    <row r="475" spans="18:24" ht="12.75">
      <c r="R475" s="81"/>
      <c r="S475" s="81"/>
      <c r="T475" s="81"/>
      <c r="U475" s="81"/>
      <c r="V475" s="81"/>
      <c r="W475" s="81"/>
      <c r="X475" s="81"/>
    </row>
    <row r="476" spans="18:24" ht="12.75">
      <c r="R476" s="81"/>
      <c r="S476" s="81"/>
      <c r="T476" s="81"/>
      <c r="U476" s="81"/>
      <c r="V476" s="81"/>
      <c r="W476" s="81"/>
      <c r="X476" s="81"/>
    </row>
    <row r="477" spans="18:24" ht="12.75">
      <c r="R477" s="81"/>
      <c r="S477" s="81"/>
      <c r="T477" s="81"/>
      <c r="U477" s="81"/>
      <c r="V477" s="81"/>
      <c r="W477" s="81"/>
      <c r="X477" s="81"/>
    </row>
    <row r="478" spans="18:24" ht="12.75">
      <c r="R478" s="81"/>
      <c r="S478" s="81"/>
      <c r="T478" s="81"/>
      <c r="U478" s="81"/>
      <c r="V478" s="81"/>
      <c r="W478" s="81"/>
      <c r="X478" s="81"/>
    </row>
    <row r="479" spans="18:24" ht="12.75">
      <c r="R479" s="81"/>
      <c r="S479" s="81"/>
      <c r="T479" s="81"/>
      <c r="U479" s="81"/>
      <c r="V479" s="81"/>
      <c r="W479" s="81"/>
      <c r="X479" s="81"/>
    </row>
    <row r="480" spans="18:24" ht="12.75">
      <c r="R480" s="81"/>
      <c r="S480" s="81"/>
      <c r="T480" s="81"/>
      <c r="U480" s="81"/>
      <c r="V480" s="81"/>
      <c r="W480" s="81"/>
      <c r="X480" s="81"/>
    </row>
    <row r="481" spans="18:24" ht="12.75">
      <c r="R481" s="81"/>
      <c r="S481" s="81"/>
      <c r="T481" s="81"/>
      <c r="U481" s="81"/>
      <c r="V481" s="81"/>
      <c r="W481" s="81"/>
      <c r="X481" s="81"/>
    </row>
    <row r="482" spans="18:24" ht="12.75">
      <c r="R482" s="81"/>
      <c r="S482" s="81"/>
      <c r="T482" s="81"/>
      <c r="U482" s="81"/>
      <c r="V482" s="81"/>
      <c r="W482" s="81"/>
      <c r="X482" s="81"/>
    </row>
    <row r="483" spans="18:24" ht="12.75">
      <c r="R483" s="81"/>
      <c r="S483" s="81"/>
      <c r="T483" s="81"/>
      <c r="U483" s="81"/>
      <c r="V483" s="81"/>
      <c r="W483" s="81"/>
      <c r="X483" s="81"/>
    </row>
    <row r="484" spans="18:24" ht="12.75">
      <c r="R484" s="81"/>
      <c r="S484" s="81"/>
      <c r="T484" s="81"/>
      <c r="U484" s="81"/>
      <c r="V484" s="81"/>
      <c r="W484" s="81"/>
      <c r="X484" s="81"/>
    </row>
    <row r="485" spans="18:24" ht="12.75">
      <c r="R485" s="81"/>
      <c r="S485" s="81"/>
      <c r="T485" s="81"/>
      <c r="U485" s="81"/>
      <c r="V485" s="81"/>
      <c r="W485" s="81"/>
      <c r="X485" s="81"/>
    </row>
    <row r="486" spans="18:24" ht="12.75">
      <c r="R486" s="81"/>
      <c r="S486" s="81"/>
      <c r="T486" s="81"/>
      <c r="U486" s="81"/>
      <c r="V486" s="81"/>
      <c r="W486" s="81"/>
      <c r="X486" s="81"/>
    </row>
    <row r="487" spans="18:24" ht="12.75">
      <c r="R487" s="81"/>
      <c r="S487" s="81"/>
      <c r="T487" s="81"/>
      <c r="U487" s="81"/>
      <c r="V487" s="81"/>
      <c r="W487" s="81"/>
      <c r="X487" s="81"/>
    </row>
    <row r="488" spans="18:24" ht="12.75">
      <c r="R488" s="81"/>
      <c r="S488" s="81"/>
      <c r="T488" s="81"/>
      <c r="U488" s="81"/>
      <c r="V488" s="81"/>
      <c r="W488" s="81"/>
      <c r="X488" s="81"/>
    </row>
    <row r="489" spans="18:24" ht="12.75">
      <c r="R489" s="81"/>
      <c r="S489" s="81"/>
      <c r="T489" s="81"/>
      <c r="U489" s="81"/>
      <c r="V489" s="81"/>
      <c r="W489" s="81"/>
      <c r="X489" s="81"/>
    </row>
    <row r="490" spans="18:24" ht="12.75">
      <c r="R490" s="81"/>
      <c r="S490" s="81"/>
      <c r="T490" s="81"/>
      <c r="U490" s="81"/>
      <c r="V490" s="81"/>
      <c r="W490" s="81"/>
      <c r="X490" s="81"/>
    </row>
    <row r="491" spans="18:24" ht="12.75">
      <c r="R491" s="81"/>
      <c r="S491" s="81"/>
      <c r="T491" s="81"/>
      <c r="U491" s="81"/>
      <c r="V491" s="81"/>
      <c r="W491" s="81"/>
      <c r="X491" s="81"/>
    </row>
    <row r="492" spans="18:24" ht="12.75">
      <c r="R492" s="81"/>
      <c r="S492" s="81"/>
      <c r="T492" s="81"/>
      <c r="U492" s="81"/>
      <c r="V492" s="81"/>
      <c r="W492" s="81"/>
      <c r="X492" s="81"/>
    </row>
    <row r="493" spans="18:24" ht="12.75">
      <c r="R493" s="81"/>
      <c r="S493" s="81"/>
      <c r="T493" s="81"/>
      <c r="U493" s="81"/>
      <c r="V493" s="81"/>
      <c r="W493" s="81"/>
      <c r="X493" s="81"/>
    </row>
    <row r="494" spans="18:24" ht="12.75">
      <c r="R494" s="81"/>
      <c r="S494" s="81"/>
      <c r="T494" s="81"/>
      <c r="U494" s="81"/>
      <c r="V494" s="81"/>
      <c r="W494" s="81"/>
      <c r="X494" s="81"/>
    </row>
    <row r="495" spans="18:24" ht="12.75">
      <c r="R495" s="81"/>
      <c r="S495" s="81"/>
      <c r="T495" s="81"/>
      <c r="U495" s="81"/>
      <c r="V495" s="81"/>
      <c r="W495" s="81"/>
      <c r="X495" s="81"/>
    </row>
    <row r="496" spans="18:24" ht="12.75">
      <c r="R496" s="81"/>
      <c r="S496" s="81"/>
      <c r="T496" s="81"/>
      <c r="U496" s="81"/>
      <c r="V496" s="81"/>
      <c r="W496" s="81"/>
      <c r="X496" s="81"/>
    </row>
    <row r="497" spans="18:24" ht="12.75">
      <c r="R497" s="81"/>
      <c r="S497" s="81"/>
      <c r="T497" s="81"/>
      <c r="U497" s="81"/>
      <c r="V497" s="81"/>
      <c r="W497" s="81"/>
      <c r="X497" s="81"/>
    </row>
    <row r="498" spans="18:24" ht="12.75">
      <c r="R498" s="81"/>
      <c r="S498" s="81"/>
      <c r="T498" s="81"/>
      <c r="U498" s="81"/>
      <c r="V498" s="81"/>
      <c r="W498" s="81"/>
      <c r="X498" s="81"/>
    </row>
    <row r="499" spans="18:24" ht="12.75">
      <c r="R499" s="81"/>
      <c r="S499" s="81"/>
      <c r="T499" s="81"/>
      <c r="U499" s="81"/>
      <c r="V499" s="81"/>
      <c r="W499" s="81"/>
      <c r="X499" s="81"/>
    </row>
    <row r="500" spans="18:24" ht="12.75">
      <c r="R500" s="81"/>
      <c r="S500" s="81"/>
      <c r="T500" s="81"/>
      <c r="U500" s="81"/>
      <c r="V500" s="81"/>
      <c r="W500" s="81"/>
      <c r="X500" s="81"/>
    </row>
    <row r="501" spans="18:24" ht="12.75">
      <c r="R501" s="81"/>
      <c r="S501" s="81"/>
      <c r="T501" s="81"/>
      <c r="U501" s="81"/>
      <c r="V501" s="81"/>
      <c r="W501" s="81"/>
      <c r="X501" s="81"/>
    </row>
    <row r="502" spans="18:24" ht="12.75">
      <c r="R502" s="81"/>
      <c r="S502" s="81"/>
      <c r="T502" s="81"/>
      <c r="U502" s="81"/>
      <c r="V502" s="81"/>
      <c r="W502" s="81"/>
      <c r="X502" s="81"/>
    </row>
    <row r="503" spans="18:24" ht="12.75">
      <c r="R503" s="81"/>
      <c r="S503" s="81"/>
      <c r="T503" s="81"/>
      <c r="U503" s="81"/>
      <c r="V503" s="81"/>
      <c r="W503" s="81"/>
      <c r="X503" s="81"/>
    </row>
    <row r="504" spans="18:24" ht="12.75">
      <c r="R504" s="81"/>
      <c r="S504" s="81"/>
      <c r="T504" s="81"/>
      <c r="U504" s="81"/>
      <c r="V504" s="81"/>
      <c r="W504" s="81"/>
      <c r="X504" s="81"/>
    </row>
    <row r="505" spans="18:24" ht="12.75">
      <c r="R505" s="81"/>
      <c r="S505" s="81"/>
      <c r="T505" s="81"/>
      <c r="U505" s="81"/>
      <c r="V505" s="81"/>
      <c r="W505" s="81"/>
      <c r="X505" s="81"/>
    </row>
    <row r="506" spans="18:24" ht="12.75">
      <c r="R506" s="81"/>
      <c r="S506" s="81"/>
      <c r="T506" s="81"/>
      <c r="U506" s="81"/>
      <c r="V506" s="81"/>
      <c r="W506" s="81"/>
      <c r="X506" s="81"/>
    </row>
    <row r="507" spans="18:24" ht="12.75">
      <c r="R507" s="81"/>
      <c r="S507" s="81"/>
      <c r="T507" s="81"/>
      <c r="U507" s="81"/>
      <c r="V507" s="81"/>
      <c r="W507" s="81"/>
      <c r="X507" s="81"/>
    </row>
    <row r="508" spans="18:24" ht="12.75">
      <c r="R508" s="81"/>
      <c r="S508" s="81"/>
      <c r="T508" s="81"/>
      <c r="U508" s="81"/>
      <c r="V508" s="81"/>
      <c r="W508" s="81"/>
      <c r="X508" s="81"/>
    </row>
    <row r="509" spans="18:24" ht="12.75">
      <c r="R509" s="81"/>
      <c r="S509" s="81"/>
      <c r="T509" s="81"/>
      <c r="U509" s="81"/>
      <c r="V509" s="81"/>
      <c r="W509" s="81"/>
      <c r="X509" s="81"/>
    </row>
    <row r="510" spans="18:24" ht="12.75">
      <c r="R510" s="81"/>
      <c r="S510" s="81"/>
      <c r="T510" s="81"/>
      <c r="U510" s="81"/>
      <c r="V510" s="81"/>
      <c r="W510" s="81"/>
      <c r="X510" s="81"/>
    </row>
    <row r="511" spans="18:24" ht="12.75">
      <c r="R511" s="81"/>
      <c r="S511" s="81"/>
      <c r="T511" s="81"/>
      <c r="U511" s="81"/>
      <c r="V511" s="81"/>
      <c r="W511" s="81"/>
      <c r="X511" s="81"/>
    </row>
    <row r="512" spans="18:24" ht="12.75">
      <c r="R512" s="81"/>
      <c r="S512" s="81"/>
      <c r="T512" s="81"/>
      <c r="U512" s="81"/>
      <c r="V512" s="81"/>
      <c r="W512" s="81"/>
      <c r="X512" s="81"/>
    </row>
    <row r="513" spans="18:24" ht="12.75">
      <c r="R513" s="81"/>
      <c r="S513" s="81"/>
      <c r="T513" s="81"/>
      <c r="U513" s="81"/>
      <c r="V513" s="81"/>
      <c r="W513" s="81"/>
      <c r="X513" s="81"/>
    </row>
    <row r="514" spans="18:24" ht="12.75">
      <c r="R514" s="81"/>
      <c r="S514" s="81"/>
      <c r="T514" s="81"/>
      <c r="U514" s="81"/>
      <c r="V514" s="81"/>
      <c r="W514" s="81"/>
      <c r="X514" s="81"/>
    </row>
    <row r="515" spans="18:24" ht="12.75">
      <c r="R515" s="81"/>
      <c r="S515" s="81"/>
      <c r="T515" s="81"/>
      <c r="U515" s="81"/>
      <c r="V515" s="81"/>
      <c r="W515" s="81"/>
      <c r="X515" s="81"/>
    </row>
    <row r="516" spans="18:24" ht="12.75">
      <c r="R516" s="81"/>
      <c r="S516" s="81"/>
      <c r="T516" s="81"/>
      <c r="U516" s="81"/>
      <c r="V516" s="81"/>
      <c r="W516" s="81"/>
      <c r="X516" s="81"/>
    </row>
    <row r="517" spans="18:24" ht="12.75">
      <c r="R517" s="81"/>
      <c r="S517" s="81"/>
      <c r="T517" s="81"/>
      <c r="U517" s="81"/>
      <c r="V517" s="81"/>
      <c r="W517" s="81"/>
      <c r="X517" s="81"/>
    </row>
    <row r="518" spans="18:24" ht="12.75">
      <c r="R518" s="81"/>
      <c r="S518" s="81"/>
      <c r="T518" s="81"/>
      <c r="U518" s="81"/>
      <c r="V518" s="81"/>
      <c r="W518" s="81"/>
      <c r="X518" s="81"/>
    </row>
    <row r="519" spans="18:24" ht="12.75">
      <c r="R519" s="81"/>
      <c r="S519" s="81"/>
      <c r="T519" s="81"/>
      <c r="U519" s="81"/>
      <c r="V519" s="81"/>
      <c r="W519" s="81"/>
      <c r="X519" s="81"/>
    </row>
    <row r="520" spans="18:24" ht="12.75">
      <c r="R520" s="81"/>
      <c r="S520" s="81"/>
      <c r="T520" s="81"/>
      <c r="U520" s="81"/>
      <c r="V520" s="81"/>
      <c r="W520" s="81"/>
      <c r="X520" s="81"/>
    </row>
    <row r="521" spans="18:24" ht="12.75">
      <c r="R521" s="81"/>
      <c r="S521" s="81"/>
      <c r="T521" s="81"/>
      <c r="U521" s="81"/>
      <c r="V521" s="81"/>
      <c r="W521" s="81"/>
      <c r="X521" s="81"/>
    </row>
    <row r="522" spans="18:24" ht="12.75">
      <c r="R522" s="81"/>
      <c r="S522" s="81"/>
      <c r="T522" s="81"/>
      <c r="U522" s="81"/>
      <c r="V522" s="81"/>
      <c r="W522" s="81"/>
      <c r="X522" s="81"/>
    </row>
    <row r="523" spans="18:24" ht="12.75">
      <c r="R523" s="81"/>
      <c r="S523" s="81"/>
      <c r="T523" s="81"/>
      <c r="U523" s="81"/>
      <c r="V523" s="81"/>
      <c r="W523" s="81"/>
      <c r="X523" s="81"/>
    </row>
    <row r="524" spans="18:24" ht="12.75">
      <c r="R524" s="81"/>
      <c r="S524" s="81"/>
      <c r="T524" s="81"/>
      <c r="U524" s="81"/>
      <c r="V524" s="81"/>
      <c r="W524" s="81"/>
      <c r="X524" s="81"/>
    </row>
    <row r="525" spans="18:24" ht="12.75">
      <c r="R525" s="81"/>
      <c r="S525" s="81"/>
      <c r="T525" s="81"/>
      <c r="U525" s="81"/>
      <c r="V525" s="81"/>
      <c r="W525" s="81"/>
      <c r="X525" s="81"/>
    </row>
    <row r="526" spans="18:24" ht="12.75">
      <c r="R526" s="81"/>
      <c r="S526" s="81"/>
      <c r="T526" s="81"/>
      <c r="U526" s="81"/>
      <c r="V526" s="81"/>
      <c r="W526" s="81"/>
      <c r="X526" s="81"/>
    </row>
    <row r="527" spans="18:24" ht="12.75">
      <c r="R527" s="81"/>
      <c r="S527" s="81"/>
      <c r="T527" s="81"/>
      <c r="U527" s="81"/>
      <c r="V527" s="81"/>
      <c r="W527" s="81"/>
      <c r="X527" s="81"/>
    </row>
    <row r="528" spans="18:24" ht="12.75">
      <c r="R528" s="81"/>
      <c r="S528" s="81"/>
      <c r="T528" s="81"/>
      <c r="U528" s="81"/>
      <c r="V528" s="81"/>
      <c r="W528" s="81"/>
      <c r="X528" s="81"/>
    </row>
    <row r="529" spans="18:24" ht="12.75">
      <c r="R529" s="81"/>
      <c r="S529" s="81"/>
      <c r="T529" s="81"/>
      <c r="U529" s="81"/>
      <c r="V529" s="81"/>
      <c r="W529" s="81"/>
      <c r="X529" s="81"/>
    </row>
    <row r="530" spans="18:24" ht="12.75">
      <c r="R530" s="81"/>
      <c r="S530" s="81"/>
      <c r="T530" s="81"/>
      <c r="U530" s="81"/>
      <c r="V530" s="81"/>
      <c r="W530" s="81"/>
      <c r="X530" s="81"/>
    </row>
    <row r="531" spans="18:24" ht="12.75">
      <c r="R531" s="81"/>
      <c r="S531" s="81"/>
      <c r="T531" s="81"/>
      <c r="U531" s="81"/>
      <c r="V531" s="81"/>
      <c r="W531" s="81"/>
      <c r="X531" s="81"/>
    </row>
    <row r="532" spans="18:24" ht="12.75">
      <c r="R532" s="81"/>
      <c r="S532" s="81"/>
      <c r="T532" s="81"/>
      <c r="U532" s="81"/>
      <c r="V532" s="81"/>
      <c r="W532" s="81"/>
      <c r="X532" s="81"/>
    </row>
    <row r="533" spans="18:24" ht="12.75">
      <c r="R533" s="81"/>
      <c r="S533" s="81"/>
      <c r="T533" s="81"/>
      <c r="U533" s="81"/>
      <c r="V533" s="81"/>
      <c r="W533" s="81"/>
      <c r="X533" s="81"/>
    </row>
    <row r="534" spans="18:24" ht="12.75">
      <c r="R534" s="81"/>
      <c r="S534" s="81"/>
      <c r="T534" s="81"/>
      <c r="U534" s="81"/>
      <c r="V534" s="81"/>
      <c r="W534" s="81"/>
      <c r="X534" s="81"/>
    </row>
    <row r="535" spans="18:24" ht="12.75">
      <c r="R535" s="81"/>
      <c r="S535" s="81"/>
      <c r="T535" s="81"/>
      <c r="U535" s="81"/>
      <c r="V535" s="81"/>
      <c r="W535" s="81"/>
      <c r="X535" s="81"/>
    </row>
    <row r="536" spans="18:24" ht="12.75">
      <c r="R536" s="81"/>
      <c r="S536" s="81"/>
      <c r="T536" s="81"/>
      <c r="U536" s="81"/>
      <c r="V536" s="81"/>
      <c r="W536" s="81"/>
      <c r="X536" s="81"/>
    </row>
    <row r="537" spans="18:24" ht="12.75">
      <c r="R537" s="81"/>
      <c r="S537" s="81"/>
      <c r="T537" s="81"/>
      <c r="U537" s="81"/>
      <c r="V537" s="81"/>
      <c r="W537" s="81"/>
      <c r="X537" s="81"/>
    </row>
    <row r="538" spans="18:24" ht="12.75">
      <c r="R538" s="81"/>
      <c r="S538" s="81"/>
      <c r="T538" s="81"/>
      <c r="U538" s="81"/>
      <c r="V538" s="81"/>
      <c r="W538" s="81"/>
      <c r="X538" s="81"/>
    </row>
    <row r="539" spans="18:24" ht="12.75">
      <c r="R539" s="81"/>
      <c r="S539" s="81"/>
      <c r="T539" s="81"/>
      <c r="U539" s="81"/>
      <c r="V539" s="81"/>
      <c r="W539" s="81"/>
      <c r="X539" s="81"/>
    </row>
    <row r="540" spans="18:24" ht="12.75">
      <c r="R540" s="81"/>
      <c r="S540" s="81"/>
      <c r="T540" s="81"/>
      <c r="U540" s="81"/>
      <c r="V540" s="81"/>
      <c r="W540" s="81"/>
      <c r="X540" s="81"/>
    </row>
    <row r="541" spans="18:24" ht="12.75">
      <c r="R541" s="81"/>
      <c r="S541" s="81"/>
      <c r="T541" s="81"/>
      <c r="U541" s="81"/>
      <c r="V541" s="81"/>
      <c r="W541" s="81"/>
      <c r="X541" s="81"/>
    </row>
    <row r="542" spans="18:24" ht="12.75">
      <c r="R542" s="81"/>
      <c r="S542" s="81"/>
      <c r="T542" s="81"/>
      <c r="U542" s="81"/>
      <c r="V542" s="81"/>
      <c r="W542" s="81"/>
      <c r="X542" s="81"/>
    </row>
    <row r="543" spans="18:24" ht="12.75">
      <c r="R543" s="81"/>
      <c r="S543" s="81"/>
      <c r="T543" s="81"/>
      <c r="U543" s="81"/>
      <c r="V543" s="81"/>
      <c r="W543" s="81"/>
      <c r="X543" s="81"/>
    </row>
    <row r="544" spans="18:24" ht="12.75">
      <c r="R544" s="81"/>
      <c r="S544" s="81"/>
      <c r="T544" s="81"/>
      <c r="U544" s="81"/>
      <c r="V544" s="81"/>
      <c r="W544" s="81"/>
      <c r="X544" s="81"/>
    </row>
    <row r="545" spans="18:24" ht="12.75">
      <c r="R545" s="81"/>
      <c r="S545" s="81"/>
      <c r="T545" s="81"/>
      <c r="U545" s="81"/>
      <c r="V545" s="81"/>
      <c r="W545" s="81"/>
      <c r="X545" s="81"/>
    </row>
    <row r="546" spans="18:24" ht="12.75">
      <c r="R546" s="81"/>
      <c r="S546" s="81"/>
      <c r="T546" s="81"/>
      <c r="U546" s="81"/>
      <c r="V546" s="81"/>
      <c r="W546" s="81"/>
      <c r="X546" s="81"/>
    </row>
    <row r="547" spans="18:24" ht="12.75">
      <c r="R547" s="81"/>
      <c r="S547" s="81"/>
      <c r="T547" s="81"/>
      <c r="U547" s="81"/>
      <c r="V547" s="81"/>
      <c r="W547" s="81"/>
      <c r="X547" s="81"/>
    </row>
    <row r="548" spans="18:24" ht="12.75">
      <c r="R548" s="81"/>
      <c r="S548" s="81"/>
      <c r="T548" s="81"/>
      <c r="U548" s="81"/>
      <c r="V548" s="81"/>
      <c r="W548" s="81"/>
      <c r="X548" s="81"/>
    </row>
    <row r="549" spans="18:24" ht="12.75">
      <c r="R549" s="81"/>
      <c r="S549" s="81"/>
      <c r="T549" s="81"/>
      <c r="U549" s="81"/>
      <c r="V549" s="81"/>
      <c r="W549" s="81"/>
      <c r="X549" s="81"/>
    </row>
    <row r="550" spans="18:24" ht="12.75">
      <c r="R550" s="81"/>
      <c r="S550" s="81"/>
      <c r="T550" s="81"/>
      <c r="U550" s="81"/>
      <c r="V550" s="81"/>
      <c r="W550" s="81"/>
      <c r="X550" s="81"/>
    </row>
    <row r="551" spans="18:24" ht="12.75">
      <c r="R551" s="81"/>
      <c r="S551" s="81"/>
      <c r="T551" s="81"/>
      <c r="U551" s="81"/>
      <c r="V551" s="81"/>
      <c r="W551" s="81"/>
      <c r="X551" s="81"/>
    </row>
    <row r="552" spans="18:24" ht="12.75">
      <c r="R552" s="81"/>
      <c r="S552" s="81"/>
      <c r="T552" s="81"/>
      <c r="U552" s="81"/>
      <c r="V552" s="81"/>
      <c r="W552" s="81"/>
      <c r="X552" s="81"/>
    </row>
    <row r="553" spans="18:24" ht="12.75">
      <c r="R553" s="81"/>
      <c r="S553" s="81"/>
      <c r="T553" s="81"/>
      <c r="U553" s="81"/>
      <c r="V553" s="81"/>
      <c r="W553" s="81"/>
      <c r="X553" s="81"/>
    </row>
    <row r="554" spans="18:24" ht="12.75">
      <c r="R554" s="81"/>
      <c r="S554" s="81"/>
      <c r="T554" s="81"/>
      <c r="U554" s="81"/>
      <c r="V554" s="81"/>
      <c r="W554" s="81"/>
      <c r="X554" s="81"/>
    </row>
    <row r="555" spans="18:24" ht="12.75">
      <c r="R555" s="81"/>
      <c r="S555" s="81"/>
      <c r="T555" s="81"/>
      <c r="U555" s="81"/>
      <c r="V555" s="81"/>
      <c r="W555" s="81"/>
      <c r="X555" s="81"/>
    </row>
    <row r="556" spans="18:24" ht="12.75">
      <c r="R556" s="81"/>
      <c r="S556" s="81"/>
      <c r="T556" s="81"/>
      <c r="U556" s="81"/>
      <c r="V556" s="81"/>
      <c r="W556" s="81"/>
      <c r="X556" s="81"/>
    </row>
    <row r="557" spans="18:24" ht="12.75">
      <c r="R557" s="81"/>
      <c r="S557" s="81"/>
      <c r="T557" s="81"/>
      <c r="U557" s="81"/>
      <c r="V557" s="81"/>
      <c r="W557" s="81"/>
      <c r="X557" s="81"/>
    </row>
    <row r="558" spans="18:24" ht="12.75">
      <c r="R558" s="81"/>
      <c r="S558" s="81"/>
      <c r="T558" s="81"/>
      <c r="U558" s="81"/>
      <c r="V558" s="81"/>
      <c r="W558" s="81"/>
      <c r="X558" s="81"/>
    </row>
    <row r="559" spans="18:24" ht="12.75">
      <c r="R559" s="81"/>
      <c r="S559" s="81"/>
      <c r="T559" s="81"/>
      <c r="U559" s="81"/>
      <c r="V559" s="81"/>
      <c r="W559" s="81"/>
      <c r="X559" s="81"/>
    </row>
    <row r="560" spans="18:24" ht="12.75">
      <c r="R560" s="81"/>
      <c r="S560" s="81"/>
      <c r="T560" s="81"/>
      <c r="U560" s="81"/>
      <c r="V560" s="81"/>
      <c r="W560" s="81"/>
      <c r="X560" s="81"/>
    </row>
    <row r="561" spans="18:24" ht="12.75">
      <c r="R561" s="81"/>
      <c r="S561" s="81"/>
      <c r="T561" s="81"/>
      <c r="U561" s="81"/>
      <c r="V561" s="81"/>
      <c r="W561" s="81"/>
      <c r="X561" s="81"/>
    </row>
    <row r="562" spans="18:24" ht="12.75">
      <c r="R562" s="81"/>
      <c r="S562" s="81"/>
      <c r="T562" s="81"/>
      <c r="U562" s="81"/>
      <c r="V562" s="81"/>
      <c r="W562" s="81"/>
      <c r="X562" s="81"/>
    </row>
    <row r="563" spans="18:24" ht="12.75">
      <c r="R563" s="81"/>
      <c r="S563" s="81"/>
      <c r="T563" s="81"/>
      <c r="U563" s="81"/>
      <c r="V563" s="81"/>
      <c r="W563" s="81"/>
      <c r="X563" s="81"/>
    </row>
    <row r="564" spans="18:24" ht="12.75">
      <c r="R564" s="81"/>
      <c r="S564" s="81"/>
      <c r="T564" s="81"/>
      <c r="U564" s="81"/>
      <c r="V564" s="81"/>
      <c r="W564" s="81"/>
      <c r="X564" s="81"/>
    </row>
    <row r="565" spans="18:24" ht="12.75">
      <c r="R565" s="81"/>
      <c r="S565" s="81"/>
      <c r="T565" s="81"/>
      <c r="U565" s="81"/>
      <c r="V565" s="81"/>
      <c r="W565" s="81"/>
      <c r="X565" s="81"/>
    </row>
    <row r="566" spans="18:24" ht="12.75">
      <c r="R566" s="81"/>
      <c r="S566" s="81"/>
      <c r="T566" s="81"/>
      <c r="U566" s="81"/>
      <c r="V566" s="81"/>
      <c r="W566" s="81"/>
      <c r="X566" s="81"/>
    </row>
    <row r="567" spans="18:24" ht="12.75">
      <c r="R567" s="81"/>
      <c r="S567" s="81"/>
      <c r="T567" s="81"/>
      <c r="U567" s="81"/>
      <c r="V567" s="81"/>
      <c r="W567" s="81"/>
      <c r="X567" s="81"/>
    </row>
    <row r="568" spans="18:24" ht="12.75">
      <c r="R568" s="81"/>
      <c r="S568" s="81"/>
      <c r="T568" s="81"/>
      <c r="U568" s="81"/>
      <c r="V568" s="81"/>
      <c r="W568" s="81"/>
      <c r="X568" s="81"/>
    </row>
    <row r="569" spans="18:24" ht="12.75">
      <c r="R569" s="81"/>
      <c r="S569" s="81"/>
      <c r="T569" s="81"/>
      <c r="U569" s="81"/>
      <c r="V569" s="81"/>
      <c r="W569" s="81"/>
      <c r="X569" s="81"/>
    </row>
    <row r="570" spans="18:24" ht="12.75">
      <c r="R570" s="81"/>
      <c r="S570" s="81"/>
      <c r="T570" s="81"/>
      <c r="U570" s="81"/>
      <c r="V570" s="81"/>
      <c r="W570" s="81"/>
      <c r="X570" s="81"/>
    </row>
    <row r="571" spans="18:24" ht="12.75">
      <c r="R571" s="81"/>
      <c r="S571" s="81"/>
      <c r="T571" s="81"/>
      <c r="U571" s="81"/>
      <c r="V571" s="81"/>
      <c r="W571" s="81"/>
      <c r="X571" s="81"/>
    </row>
    <row r="572" spans="18:24" ht="12.75">
      <c r="R572" s="81"/>
      <c r="S572" s="81"/>
      <c r="T572" s="81"/>
      <c r="U572" s="81"/>
      <c r="V572" s="81"/>
      <c r="W572" s="81"/>
      <c r="X572" s="81"/>
    </row>
    <row r="573" spans="18:24" ht="12.75">
      <c r="R573" s="81"/>
      <c r="S573" s="81"/>
      <c r="T573" s="81"/>
      <c r="U573" s="81"/>
      <c r="V573" s="81"/>
      <c r="W573" s="81"/>
      <c r="X573" s="81"/>
    </row>
    <row r="574" spans="18:24" ht="12.75">
      <c r="R574" s="81"/>
      <c r="S574" s="81"/>
      <c r="T574" s="81"/>
      <c r="U574" s="81"/>
      <c r="V574" s="81"/>
      <c r="W574" s="81"/>
      <c r="X574" s="81"/>
    </row>
    <row r="575" spans="18:24" ht="12.75">
      <c r="R575" s="81"/>
      <c r="S575" s="81"/>
      <c r="T575" s="81"/>
      <c r="U575" s="81"/>
      <c r="V575" s="81"/>
      <c r="W575" s="81"/>
      <c r="X575" s="81"/>
    </row>
    <row r="576" spans="18:24" ht="12.75">
      <c r="R576" s="81"/>
      <c r="S576" s="81"/>
      <c r="T576" s="81"/>
      <c r="U576" s="81"/>
      <c r="V576" s="81"/>
      <c r="W576" s="81"/>
      <c r="X576" s="81"/>
    </row>
    <row r="577" spans="18:24" ht="12.75">
      <c r="R577" s="81"/>
      <c r="S577" s="81"/>
      <c r="T577" s="81"/>
      <c r="U577" s="81"/>
      <c r="V577" s="81"/>
      <c r="W577" s="81"/>
      <c r="X577" s="81"/>
    </row>
    <row r="578" spans="18:24" ht="12.75">
      <c r="R578" s="81"/>
      <c r="S578" s="81"/>
      <c r="T578" s="81"/>
      <c r="U578" s="81"/>
      <c r="V578" s="81"/>
      <c r="W578" s="81"/>
      <c r="X578" s="81"/>
    </row>
    <row r="579" spans="18:24" ht="12.75">
      <c r="R579" s="81"/>
      <c r="S579" s="81"/>
      <c r="T579" s="81"/>
      <c r="U579" s="81"/>
      <c r="V579" s="81"/>
      <c r="W579" s="81"/>
      <c r="X579" s="81"/>
    </row>
    <row r="580" spans="18:24" ht="12.75">
      <c r="R580" s="81"/>
      <c r="S580" s="81"/>
      <c r="T580" s="81"/>
      <c r="U580" s="81"/>
      <c r="V580" s="81"/>
      <c r="W580" s="81"/>
      <c r="X580" s="81"/>
    </row>
    <row r="581" spans="18:24" ht="12.75">
      <c r="R581" s="81"/>
      <c r="S581" s="81"/>
      <c r="T581" s="81"/>
      <c r="U581" s="81"/>
      <c r="V581" s="81"/>
      <c r="W581" s="81"/>
      <c r="X581" s="81"/>
    </row>
    <row r="582" spans="18:24" ht="12.75">
      <c r="R582" s="81"/>
      <c r="S582" s="81"/>
      <c r="T582" s="81"/>
      <c r="U582" s="81"/>
      <c r="V582" s="81"/>
      <c r="W582" s="81"/>
      <c r="X582" s="81"/>
    </row>
    <row r="583" spans="18:24" ht="12.75">
      <c r="R583" s="81"/>
      <c r="S583" s="81"/>
      <c r="T583" s="81"/>
      <c r="U583" s="81"/>
      <c r="V583" s="81"/>
      <c r="W583" s="81"/>
      <c r="X583" s="81"/>
    </row>
    <row r="584" spans="18:24" ht="12.75">
      <c r="R584" s="81"/>
      <c r="S584" s="81"/>
      <c r="T584" s="81"/>
      <c r="U584" s="81"/>
      <c r="V584" s="81"/>
      <c r="W584" s="81"/>
      <c r="X584" s="81"/>
    </row>
    <row r="585" spans="18:24" ht="12.75">
      <c r="R585" s="81"/>
      <c r="S585" s="81"/>
      <c r="T585" s="81"/>
      <c r="U585" s="81"/>
      <c r="V585" s="81"/>
      <c r="W585" s="81"/>
      <c r="X585" s="81"/>
    </row>
    <row r="586" spans="18:24" ht="12.75">
      <c r="R586" s="81"/>
      <c r="S586" s="81"/>
      <c r="T586" s="81"/>
      <c r="U586" s="81"/>
      <c r="V586" s="81"/>
      <c r="W586" s="81"/>
      <c r="X586" s="81"/>
    </row>
    <row r="587" spans="18:24" ht="12.75">
      <c r="R587" s="81"/>
      <c r="S587" s="81"/>
      <c r="T587" s="81"/>
      <c r="U587" s="81"/>
      <c r="V587" s="81"/>
      <c r="W587" s="81"/>
      <c r="X587" s="81"/>
    </row>
    <row r="588" spans="18:24" ht="12.75">
      <c r="R588" s="81"/>
      <c r="S588" s="81"/>
      <c r="T588" s="81"/>
      <c r="U588" s="81"/>
      <c r="V588" s="81"/>
      <c r="W588" s="81"/>
      <c r="X588" s="81"/>
    </row>
    <row r="589" spans="18:24" ht="12.75">
      <c r="R589" s="81"/>
      <c r="S589" s="81"/>
      <c r="T589" s="81"/>
      <c r="U589" s="81"/>
      <c r="V589" s="81"/>
      <c r="W589" s="81"/>
      <c r="X589" s="81"/>
    </row>
    <row r="590" spans="18:24" ht="12.75">
      <c r="R590" s="81"/>
      <c r="S590" s="81"/>
      <c r="T590" s="81"/>
      <c r="U590" s="81"/>
      <c r="V590" s="81"/>
      <c r="W590" s="81"/>
      <c r="X590" s="81"/>
    </row>
    <row r="591" spans="18:24" ht="12.75">
      <c r="R591" s="81"/>
      <c r="S591" s="81"/>
      <c r="T591" s="81"/>
      <c r="U591" s="81"/>
      <c r="V591" s="81"/>
      <c r="W591" s="81"/>
      <c r="X591" s="81"/>
    </row>
    <row r="592" spans="18:24" ht="12.75">
      <c r="R592" s="81"/>
      <c r="S592" s="81"/>
      <c r="T592" s="81"/>
      <c r="U592" s="81"/>
      <c r="V592" s="81"/>
      <c r="W592" s="81"/>
      <c r="X592" s="81"/>
    </row>
    <row r="593" spans="18:24" ht="12.75">
      <c r="R593" s="81"/>
      <c r="S593" s="81"/>
      <c r="T593" s="81"/>
      <c r="U593" s="81"/>
      <c r="V593" s="81"/>
      <c r="W593" s="81"/>
      <c r="X593" s="81"/>
    </row>
    <row r="594" spans="18:24" ht="12.75">
      <c r="R594" s="81"/>
      <c r="S594" s="81"/>
      <c r="T594" s="81"/>
      <c r="U594" s="81"/>
      <c r="V594" s="81"/>
      <c r="W594" s="81"/>
      <c r="X594" s="81"/>
    </row>
    <row r="595" spans="18:24" ht="12.75">
      <c r="R595" s="81"/>
      <c r="S595" s="81"/>
      <c r="T595" s="81"/>
      <c r="U595" s="81"/>
      <c r="V595" s="81"/>
      <c r="W595" s="81"/>
      <c r="X595" s="81"/>
    </row>
    <row r="596" spans="18:24" ht="12.75">
      <c r="R596" s="81"/>
      <c r="S596" s="81"/>
      <c r="T596" s="81"/>
      <c r="U596" s="81"/>
      <c r="V596" s="81"/>
      <c r="W596" s="81"/>
      <c r="X596" s="81"/>
    </row>
    <row r="597" spans="18:24" ht="12.75">
      <c r="R597" s="81"/>
      <c r="S597" s="81"/>
      <c r="T597" s="81"/>
      <c r="U597" s="81"/>
      <c r="V597" s="81"/>
      <c r="W597" s="81"/>
      <c r="X597" s="81"/>
    </row>
    <row r="598" spans="18:24" ht="12.75">
      <c r="R598" s="81"/>
      <c r="S598" s="81"/>
      <c r="T598" s="81"/>
      <c r="U598" s="81"/>
      <c r="V598" s="81"/>
      <c r="W598" s="81"/>
      <c r="X598" s="81"/>
    </row>
    <row r="599" spans="18:24" ht="12.75">
      <c r="R599" s="81"/>
      <c r="S599" s="81"/>
      <c r="T599" s="81"/>
      <c r="U599" s="81"/>
      <c r="V599" s="81"/>
      <c r="W599" s="81"/>
      <c r="X599" s="81"/>
    </row>
    <row r="600" spans="18:24" ht="12.75">
      <c r="R600" s="81"/>
      <c r="S600" s="81"/>
      <c r="T600" s="81"/>
      <c r="U600" s="81"/>
      <c r="V600" s="81"/>
      <c r="W600" s="81"/>
      <c r="X600" s="81"/>
    </row>
    <row r="601" spans="18:24" ht="12.75">
      <c r="R601" s="81"/>
      <c r="S601" s="81"/>
      <c r="T601" s="81"/>
      <c r="U601" s="81"/>
      <c r="V601" s="81"/>
      <c r="W601" s="81"/>
      <c r="X601" s="81"/>
    </row>
    <row r="602" spans="18:24" ht="12.75">
      <c r="R602" s="81"/>
      <c r="S602" s="81"/>
      <c r="T602" s="81"/>
      <c r="U602" s="81"/>
      <c r="V602" s="81"/>
      <c r="W602" s="81"/>
      <c r="X602" s="81"/>
    </row>
    <row r="603" spans="18:24" ht="12.75">
      <c r="R603" s="81"/>
      <c r="S603" s="81"/>
      <c r="T603" s="81"/>
      <c r="U603" s="81"/>
      <c r="V603" s="81"/>
      <c r="W603" s="81"/>
      <c r="X603" s="81"/>
    </row>
    <row r="604" spans="18:24" ht="12.75">
      <c r="R604" s="81"/>
      <c r="S604" s="81"/>
      <c r="T604" s="81"/>
      <c r="U604" s="81"/>
      <c r="V604" s="81"/>
      <c r="W604" s="81"/>
      <c r="X604" s="81"/>
    </row>
    <row r="605" spans="18:24" ht="12.75">
      <c r="R605" s="81"/>
      <c r="S605" s="81"/>
      <c r="T605" s="81"/>
      <c r="U605" s="81"/>
      <c r="V605" s="81"/>
      <c r="W605" s="81"/>
      <c r="X605" s="81"/>
    </row>
    <row r="606" spans="18:24" ht="12.75">
      <c r="R606" s="81"/>
      <c r="S606" s="81"/>
      <c r="T606" s="81"/>
      <c r="U606" s="81"/>
      <c r="V606" s="81"/>
      <c r="W606" s="81"/>
      <c r="X606" s="81"/>
    </row>
    <row r="607" spans="18:24" ht="12.75">
      <c r="R607" s="81"/>
      <c r="S607" s="81"/>
      <c r="T607" s="81"/>
      <c r="U607" s="81"/>
      <c r="V607" s="81"/>
      <c r="W607" s="81"/>
      <c r="X607" s="81"/>
    </row>
    <row r="608" spans="18:24" ht="12.75">
      <c r="R608" s="81"/>
      <c r="S608" s="81"/>
      <c r="T608" s="81"/>
      <c r="U608" s="81"/>
      <c r="V608" s="81"/>
      <c r="W608" s="81"/>
      <c r="X608" s="81"/>
    </row>
    <row r="609" spans="18:24" ht="12.75">
      <c r="R609" s="81"/>
      <c r="S609" s="81"/>
      <c r="T609" s="81"/>
      <c r="U609" s="81"/>
      <c r="V609" s="81"/>
      <c r="W609" s="81"/>
      <c r="X609" s="81"/>
    </row>
    <row r="610" spans="18:24" ht="12.75">
      <c r="R610" s="81"/>
      <c r="S610" s="81"/>
      <c r="T610" s="81"/>
      <c r="U610" s="81"/>
      <c r="V610" s="81"/>
      <c r="W610" s="81"/>
      <c r="X610" s="81"/>
    </row>
    <row r="611" spans="18:24" ht="12.75">
      <c r="R611" s="81"/>
      <c r="S611" s="81"/>
      <c r="T611" s="81"/>
      <c r="U611" s="81"/>
      <c r="V611" s="81"/>
      <c r="W611" s="81"/>
      <c r="X611" s="81"/>
    </row>
    <row r="612" spans="18:24" ht="12.75">
      <c r="R612" s="81"/>
      <c r="S612" s="81"/>
      <c r="T612" s="81"/>
      <c r="U612" s="81"/>
      <c r="V612" s="81"/>
      <c r="W612" s="81"/>
      <c r="X612" s="81"/>
    </row>
    <row r="613" spans="18:24" ht="12.75">
      <c r="R613" s="81"/>
      <c r="S613" s="81"/>
      <c r="T613" s="81"/>
      <c r="U613" s="81"/>
      <c r="V613" s="81"/>
      <c r="W613" s="81"/>
      <c r="X613" s="81"/>
    </row>
    <row r="614" spans="18:24" ht="12.75">
      <c r="R614" s="81"/>
      <c r="S614" s="81"/>
      <c r="T614" s="81"/>
      <c r="U614" s="81"/>
      <c r="V614" s="81"/>
      <c r="W614" s="81"/>
      <c r="X614" s="81"/>
    </row>
    <row r="615" spans="18:24" ht="12.75">
      <c r="R615" s="81"/>
      <c r="S615" s="81"/>
      <c r="T615" s="81"/>
      <c r="U615" s="81"/>
      <c r="V615" s="81"/>
      <c r="W615" s="81"/>
      <c r="X615" s="81"/>
    </row>
    <row r="616" spans="18:24" ht="12.75">
      <c r="R616" s="81"/>
      <c r="S616" s="81"/>
      <c r="T616" s="81"/>
      <c r="U616" s="81"/>
      <c r="V616" s="81"/>
      <c r="W616" s="81"/>
      <c r="X616" s="81"/>
    </row>
    <row r="617" spans="18:24" ht="12.75">
      <c r="R617" s="81"/>
      <c r="S617" s="81"/>
      <c r="T617" s="81"/>
      <c r="U617" s="81"/>
      <c r="V617" s="81"/>
      <c r="W617" s="81"/>
      <c r="X617" s="81"/>
    </row>
    <row r="618" spans="18:24" ht="12.75">
      <c r="R618" s="81"/>
      <c r="S618" s="81"/>
      <c r="T618" s="81"/>
      <c r="U618" s="81"/>
      <c r="V618" s="81"/>
      <c r="W618" s="81"/>
      <c r="X618" s="81"/>
    </row>
    <row r="619" spans="18:24" ht="12.75">
      <c r="R619" s="81"/>
      <c r="S619" s="81"/>
      <c r="T619" s="81"/>
      <c r="U619" s="81"/>
      <c r="V619" s="81"/>
      <c r="W619" s="81"/>
      <c r="X619" s="81"/>
    </row>
    <row r="620" spans="18:24" ht="12.75">
      <c r="R620" s="81"/>
      <c r="S620" s="81"/>
      <c r="T620" s="81"/>
      <c r="U620" s="81"/>
      <c r="V620" s="81"/>
      <c r="W620" s="81"/>
      <c r="X620" s="81"/>
    </row>
    <row r="621" spans="18:24" ht="12.75">
      <c r="R621" s="81"/>
      <c r="S621" s="81"/>
      <c r="T621" s="81"/>
      <c r="U621" s="81"/>
      <c r="V621" s="81"/>
      <c r="W621" s="81"/>
      <c r="X621" s="81"/>
    </row>
    <row r="622" spans="18:24" ht="12.75">
      <c r="R622" s="81"/>
      <c r="S622" s="81"/>
      <c r="T622" s="81"/>
      <c r="U622" s="81"/>
      <c r="V622" s="81"/>
      <c r="W622" s="81"/>
      <c r="X622" s="81"/>
    </row>
    <row r="623" spans="18:24" ht="12.75">
      <c r="R623" s="81"/>
      <c r="S623" s="81"/>
      <c r="T623" s="81"/>
      <c r="U623" s="81"/>
      <c r="V623" s="81"/>
      <c r="W623" s="81"/>
      <c r="X623" s="81"/>
    </row>
    <row r="624" spans="18:24" ht="12.75">
      <c r="R624" s="81"/>
      <c r="S624" s="81"/>
      <c r="T624" s="81"/>
      <c r="U624" s="81"/>
      <c r="V624" s="81"/>
      <c r="W624" s="81"/>
      <c r="X624" s="81"/>
    </row>
    <row r="625" spans="18:24" ht="12.75">
      <c r="R625" s="81"/>
      <c r="S625" s="81"/>
      <c r="T625" s="81"/>
      <c r="U625" s="81"/>
      <c r="V625" s="81"/>
      <c r="W625" s="81"/>
      <c r="X625" s="81"/>
    </row>
    <row r="626" spans="18:24" ht="12.75">
      <c r="R626" s="81"/>
      <c r="S626" s="81"/>
      <c r="T626" s="81"/>
      <c r="U626" s="81"/>
      <c r="V626" s="81"/>
      <c r="W626" s="81"/>
      <c r="X626" s="81"/>
    </row>
    <row r="627" spans="18:24" ht="12.75">
      <c r="R627" s="81"/>
      <c r="S627" s="81"/>
      <c r="T627" s="81"/>
      <c r="U627" s="81"/>
      <c r="V627" s="81"/>
      <c r="W627" s="81"/>
      <c r="X627" s="81"/>
    </row>
    <row r="628" spans="18:24" ht="12.75">
      <c r="R628" s="81"/>
      <c r="S628" s="81"/>
      <c r="T628" s="81"/>
      <c r="U628" s="81"/>
      <c r="V628" s="81"/>
      <c r="W628" s="81"/>
      <c r="X628" s="81"/>
    </row>
    <row r="629" spans="18:24" ht="12.75">
      <c r="R629" s="81"/>
      <c r="S629" s="81"/>
      <c r="T629" s="81"/>
      <c r="U629" s="81"/>
      <c r="V629" s="81"/>
      <c r="W629" s="81"/>
      <c r="X629" s="81"/>
    </row>
    <row r="630" spans="18:24" ht="12.75">
      <c r="R630" s="81"/>
      <c r="S630" s="81"/>
      <c r="T630" s="81"/>
      <c r="U630" s="81"/>
      <c r="V630" s="81"/>
      <c r="W630" s="81"/>
      <c r="X630" s="81"/>
    </row>
    <row r="631" spans="18:24" ht="12.75">
      <c r="R631" s="81"/>
      <c r="S631" s="81"/>
      <c r="T631" s="81"/>
      <c r="U631" s="81"/>
      <c r="V631" s="81"/>
      <c r="W631" s="81"/>
      <c r="X631" s="81"/>
    </row>
    <row r="632" spans="18:24" ht="12.75">
      <c r="R632" s="81"/>
      <c r="S632" s="81"/>
      <c r="T632" s="81"/>
      <c r="U632" s="81"/>
      <c r="V632" s="81"/>
      <c r="W632" s="81"/>
      <c r="X632" s="81"/>
    </row>
    <row r="633" spans="18:24" ht="12.75">
      <c r="R633" s="81"/>
      <c r="S633" s="81"/>
      <c r="T633" s="81"/>
      <c r="U633" s="81"/>
      <c r="V633" s="81"/>
      <c r="W633" s="81"/>
      <c r="X633" s="81"/>
    </row>
    <row r="634" spans="18:24" ht="12.75">
      <c r="R634" s="81"/>
      <c r="S634" s="81"/>
      <c r="T634" s="81"/>
      <c r="U634" s="81"/>
      <c r="V634" s="81"/>
      <c r="W634" s="81"/>
      <c r="X634" s="81"/>
    </row>
    <row r="635" spans="18:24" ht="12.75">
      <c r="R635" s="81"/>
      <c r="S635" s="81"/>
      <c r="T635" s="81"/>
      <c r="U635" s="81"/>
      <c r="V635" s="81"/>
      <c r="W635" s="81"/>
      <c r="X635" s="81"/>
    </row>
    <row r="636" spans="18:24" ht="12.75">
      <c r="R636" s="81"/>
      <c r="S636" s="81"/>
      <c r="T636" s="81"/>
      <c r="U636" s="81"/>
      <c r="V636" s="81"/>
      <c r="W636" s="81"/>
      <c r="X636" s="81"/>
    </row>
    <row r="637" spans="18:24" ht="12.75">
      <c r="R637" s="81"/>
      <c r="S637" s="81"/>
      <c r="T637" s="81"/>
      <c r="U637" s="81"/>
      <c r="V637" s="81"/>
      <c r="W637" s="81"/>
      <c r="X637" s="81"/>
    </row>
    <row r="638" spans="18:24" ht="12.75">
      <c r="R638" s="81"/>
      <c r="S638" s="81"/>
      <c r="T638" s="81"/>
      <c r="U638" s="81"/>
      <c r="V638" s="81"/>
      <c r="W638" s="81"/>
      <c r="X638" s="81"/>
    </row>
    <row r="639" spans="18:24" ht="12.75">
      <c r="R639" s="81"/>
      <c r="S639" s="81"/>
      <c r="T639" s="81"/>
      <c r="U639" s="81"/>
      <c r="V639" s="81"/>
      <c r="W639" s="81"/>
      <c r="X639" s="81"/>
    </row>
    <row r="640" spans="18:24" ht="12.75">
      <c r="R640" s="81"/>
      <c r="S640" s="81"/>
      <c r="T640" s="81"/>
      <c r="U640" s="81"/>
      <c r="V640" s="81"/>
      <c r="W640" s="81"/>
      <c r="X640" s="81"/>
    </row>
    <row r="641" spans="18:24" ht="12.75">
      <c r="R641" s="81"/>
      <c r="S641" s="81"/>
      <c r="T641" s="81"/>
      <c r="U641" s="81"/>
      <c r="V641" s="81"/>
      <c r="W641" s="81"/>
      <c r="X641" s="81"/>
    </row>
    <row r="642" spans="18:24" ht="12.75">
      <c r="R642" s="81"/>
      <c r="S642" s="81"/>
      <c r="T642" s="81"/>
      <c r="U642" s="81"/>
      <c r="V642" s="81"/>
      <c r="W642" s="81"/>
      <c r="X642" s="81"/>
    </row>
    <row r="643" spans="18:24" ht="12.75">
      <c r="R643" s="81"/>
      <c r="S643" s="81"/>
      <c r="T643" s="81"/>
      <c r="U643" s="81"/>
      <c r="V643" s="81"/>
      <c r="W643" s="81"/>
      <c r="X643" s="81"/>
    </row>
    <row r="644" spans="18:24" ht="12.75">
      <c r="R644" s="81"/>
      <c r="S644" s="81"/>
      <c r="T644" s="81"/>
      <c r="U644" s="81"/>
      <c r="V644" s="81"/>
      <c r="W644" s="81"/>
      <c r="X644" s="81"/>
    </row>
    <row r="645" spans="18:24" ht="12.75">
      <c r="R645" s="81"/>
      <c r="S645" s="81"/>
      <c r="T645" s="81"/>
      <c r="U645" s="81"/>
      <c r="V645" s="81"/>
      <c r="W645" s="81"/>
      <c r="X645" s="81"/>
    </row>
    <row r="646" spans="18:24" ht="12.75">
      <c r="R646" s="81"/>
      <c r="S646" s="81"/>
      <c r="T646" s="81"/>
      <c r="U646" s="81"/>
      <c r="V646" s="81"/>
      <c r="W646" s="81"/>
      <c r="X646" s="81"/>
    </row>
    <row r="647" spans="18:24" ht="12.75">
      <c r="R647" s="81"/>
      <c r="S647" s="81"/>
      <c r="T647" s="81"/>
      <c r="U647" s="81"/>
      <c r="V647" s="81"/>
      <c r="W647" s="81"/>
      <c r="X647" s="81"/>
    </row>
    <row r="648" spans="18:24" ht="12.75">
      <c r="R648" s="81"/>
      <c r="S648" s="81"/>
      <c r="T648" s="81"/>
      <c r="U648" s="81"/>
      <c r="V648" s="81"/>
      <c r="W648" s="81"/>
      <c r="X648" s="81"/>
    </row>
    <row r="649" spans="18:24" ht="12.75">
      <c r="R649" s="81"/>
      <c r="S649" s="81"/>
      <c r="T649" s="81"/>
      <c r="U649" s="81"/>
      <c r="V649" s="81"/>
      <c r="W649" s="81"/>
      <c r="X649" s="81"/>
    </row>
    <row r="650" spans="18:24" ht="12.75">
      <c r="R650" s="81"/>
      <c r="S650" s="81"/>
      <c r="T650" s="81"/>
      <c r="U650" s="81"/>
      <c r="V650" s="81"/>
      <c r="W650" s="81"/>
      <c r="X650" s="81"/>
    </row>
    <row r="651" spans="18:24" ht="12.75">
      <c r="R651" s="81"/>
      <c r="S651" s="81"/>
      <c r="T651" s="81"/>
      <c r="U651" s="81"/>
      <c r="V651" s="81"/>
      <c r="W651" s="81"/>
      <c r="X651" s="81"/>
    </row>
    <row r="652" spans="18:24" ht="12.75">
      <c r="R652" s="81"/>
      <c r="S652" s="81"/>
      <c r="T652" s="81"/>
      <c r="U652" s="81"/>
      <c r="V652" s="81"/>
      <c r="W652" s="81"/>
      <c r="X652" s="81"/>
    </row>
    <row r="653" spans="18:24" ht="12.75">
      <c r="R653" s="81"/>
      <c r="S653" s="81"/>
      <c r="T653" s="81"/>
      <c r="U653" s="81"/>
      <c r="V653" s="81"/>
      <c r="W653" s="81"/>
      <c r="X653" s="81"/>
    </row>
    <row r="654" spans="18:24" ht="12.75">
      <c r="R654" s="81"/>
      <c r="S654" s="81"/>
      <c r="T654" s="81"/>
      <c r="U654" s="81"/>
      <c r="V654" s="81"/>
      <c r="W654" s="81"/>
      <c r="X654" s="81"/>
    </row>
    <row r="655" spans="18:24" ht="12.75">
      <c r="R655" s="81"/>
      <c r="S655" s="81"/>
      <c r="T655" s="81"/>
      <c r="U655" s="81"/>
      <c r="V655" s="81"/>
      <c r="W655" s="81"/>
      <c r="X655" s="81"/>
    </row>
    <row r="656" spans="18:24" ht="12.75">
      <c r="R656" s="81"/>
      <c r="S656" s="81"/>
      <c r="T656" s="81"/>
      <c r="U656" s="81"/>
      <c r="V656" s="81"/>
      <c r="W656" s="81"/>
      <c r="X656" s="81"/>
    </row>
    <row r="657" spans="18:24" ht="12.75">
      <c r="R657" s="81"/>
      <c r="S657" s="81"/>
      <c r="T657" s="81"/>
      <c r="U657" s="81"/>
      <c r="V657" s="81"/>
      <c r="W657" s="81"/>
      <c r="X657" s="81"/>
    </row>
    <row r="658" spans="18:24" ht="12.75">
      <c r="R658" s="81"/>
      <c r="S658" s="81"/>
      <c r="T658" s="81"/>
      <c r="U658" s="81"/>
      <c r="V658" s="81"/>
      <c r="W658" s="81"/>
      <c r="X658" s="81"/>
    </row>
    <row r="659" spans="18:24" ht="12.75">
      <c r="R659" s="81"/>
      <c r="S659" s="81"/>
      <c r="T659" s="81"/>
      <c r="U659" s="81"/>
      <c r="V659" s="81"/>
      <c r="W659" s="81"/>
      <c r="X659" s="81"/>
    </row>
    <row r="660" spans="18:24" ht="12.75">
      <c r="R660" s="81"/>
      <c r="S660" s="81"/>
      <c r="T660" s="81"/>
      <c r="U660" s="81"/>
      <c r="V660" s="81"/>
      <c r="W660" s="81"/>
      <c r="X660" s="81"/>
    </row>
    <row r="661" spans="18:24" ht="12.75">
      <c r="R661" s="81"/>
      <c r="S661" s="81"/>
      <c r="T661" s="81"/>
      <c r="U661" s="81"/>
      <c r="V661" s="81"/>
      <c r="W661" s="81"/>
      <c r="X661" s="81"/>
    </row>
    <row r="662" spans="18:24" ht="12.75">
      <c r="R662" s="81"/>
      <c r="S662" s="81"/>
      <c r="T662" s="81"/>
      <c r="U662" s="81"/>
      <c r="V662" s="81"/>
      <c r="W662" s="81"/>
      <c r="X662" s="81"/>
    </row>
    <row r="663" spans="18:24" ht="12.75">
      <c r="R663" s="81"/>
      <c r="S663" s="81"/>
      <c r="T663" s="81"/>
      <c r="U663" s="81"/>
      <c r="V663" s="81"/>
      <c r="W663" s="81"/>
      <c r="X663" s="81"/>
    </row>
    <row r="664" spans="18:24" ht="12.75">
      <c r="R664" s="81"/>
      <c r="S664" s="81"/>
      <c r="T664" s="81"/>
      <c r="U664" s="81"/>
      <c r="V664" s="81"/>
      <c r="W664" s="81"/>
      <c r="X664" s="81"/>
    </row>
    <row r="665" spans="18:24" ht="12.75">
      <c r="R665" s="81"/>
      <c r="S665" s="81"/>
      <c r="T665" s="81"/>
      <c r="U665" s="81"/>
      <c r="V665" s="81"/>
      <c r="W665" s="81"/>
      <c r="X665" s="81"/>
    </row>
    <row r="666" spans="18:24" ht="12.75">
      <c r="R666" s="81"/>
      <c r="S666" s="81"/>
      <c r="T666" s="81"/>
      <c r="U666" s="81"/>
      <c r="V666" s="81"/>
      <c r="W666" s="81"/>
      <c r="X666" s="81"/>
    </row>
    <row r="667" spans="18:24" ht="12.75">
      <c r="R667" s="81"/>
      <c r="S667" s="81"/>
      <c r="T667" s="81"/>
      <c r="U667" s="81"/>
      <c r="V667" s="81"/>
      <c r="W667" s="81"/>
      <c r="X667" s="81"/>
    </row>
    <row r="668" spans="18:24" ht="12.75">
      <c r="R668" s="81"/>
      <c r="S668" s="81"/>
      <c r="T668" s="81"/>
      <c r="U668" s="81"/>
      <c r="V668" s="81"/>
      <c r="W668" s="81"/>
      <c r="X668" s="81"/>
    </row>
    <row r="669" spans="18:24" ht="12.75">
      <c r="R669" s="81"/>
      <c r="S669" s="81"/>
      <c r="T669" s="81"/>
      <c r="U669" s="81"/>
      <c r="V669" s="81"/>
      <c r="W669" s="81"/>
      <c r="X669" s="81"/>
    </row>
    <row r="670" spans="18:24" ht="12.75">
      <c r="R670" s="81"/>
      <c r="S670" s="81"/>
      <c r="T670" s="81"/>
      <c r="U670" s="81"/>
      <c r="V670" s="81"/>
      <c r="W670" s="81"/>
      <c r="X670" s="81"/>
    </row>
    <row r="671" spans="18:24" ht="12.75">
      <c r="R671" s="81"/>
      <c r="S671" s="81"/>
      <c r="T671" s="81"/>
      <c r="U671" s="81"/>
      <c r="V671" s="81"/>
      <c r="W671" s="81"/>
      <c r="X671" s="81"/>
    </row>
    <row r="672" spans="18:24" ht="12.75">
      <c r="R672" s="81"/>
      <c r="S672" s="81"/>
      <c r="T672" s="81"/>
      <c r="U672" s="81"/>
      <c r="V672" s="81"/>
      <c r="W672" s="81"/>
      <c r="X672" s="81"/>
    </row>
    <row r="673" spans="18:24" ht="12.75">
      <c r="R673" s="81"/>
      <c r="S673" s="81"/>
      <c r="T673" s="81"/>
      <c r="U673" s="81"/>
      <c r="V673" s="81"/>
      <c r="W673" s="81"/>
      <c r="X673" s="81"/>
    </row>
    <row r="674" spans="18:24" ht="12.75">
      <c r="R674" s="81"/>
      <c r="S674" s="81"/>
      <c r="T674" s="81"/>
      <c r="U674" s="81"/>
      <c r="V674" s="81"/>
      <c r="W674" s="81"/>
      <c r="X674" s="81"/>
    </row>
    <row r="675" spans="18:24" ht="12.75">
      <c r="R675" s="81"/>
      <c r="S675" s="81"/>
      <c r="T675" s="81"/>
      <c r="U675" s="81"/>
      <c r="V675" s="81"/>
      <c r="W675" s="81"/>
      <c r="X675" s="81"/>
    </row>
    <row r="676" spans="18:24" ht="12.75">
      <c r="R676" s="81"/>
      <c r="S676" s="81"/>
      <c r="T676" s="81"/>
      <c r="U676" s="81"/>
      <c r="V676" s="81"/>
      <c r="W676" s="81"/>
      <c r="X676" s="81"/>
    </row>
    <row r="677" spans="18:24" ht="12.75">
      <c r="R677" s="81"/>
      <c r="S677" s="81"/>
      <c r="T677" s="81"/>
      <c r="U677" s="81"/>
      <c r="V677" s="81"/>
      <c r="W677" s="81"/>
      <c r="X677" s="81"/>
    </row>
    <row r="678" spans="18:24" ht="12.75">
      <c r="R678" s="81"/>
      <c r="S678" s="81"/>
      <c r="T678" s="81"/>
      <c r="U678" s="81"/>
      <c r="V678" s="81"/>
      <c r="W678" s="81"/>
      <c r="X678" s="81"/>
    </row>
    <row r="679" spans="18:24" ht="12.75">
      <c r="R679" s="81"/>
      <c r="S679" s="81"/>
      <c r="T679" s="81"/>
      <c r="U679" s="81"/>
      <c r="V679" s="81"/>
      <c r="W679" s="81"/>
      <c r="X679" s="81"/>
    </row>
    <row r="680" spans="18:24" ht="12.75">
      <c r="R680" s="81"/>
      <c r="S680" s="81"/>
      <c r="T680" s="81"/>
      <c r="U680" s="81"/>
      <c r="V680" s="81"/>
      <c r="W680" s="81"/>
      <c r="X680" s="81"/>
    </row>
    <row r="681" spans="18:24" ht="12.75">
      <c r="R681" s="81"/>
      <c r="S681" s="81"/>
      <c r="T681" s="81"/>
      <c r="U681" s="81"/>
      <c r="V681" s="81"/>
      <c r="W681" s="81"/>
      <c r="X681" s="81"/>
    </row>
    <row r="682" spans="18:24" ht="12.75">
      <c r="R682" s="81"/>
      <c r="S682" s="81"/>
      <c r="T682" s="81"/>
      <c r="U682" s="81"/>
      <c r="V682" s="81"/>
      <c r="W682" s="81"/>
      <c r="X682" s="81"/>
    </row>
    <row r="683" spans="18:24" ht="12.75">
      <c r="R683" s="81"/>
      <c r="S683" s="81"/>
      <c r="T683" s="81"/>
      <c r="U683" s="81"/>
      <c r="V683" s="81"/>
      <c r="W683" s="81"/>
      <c r="X683" s="81"/>
    </row>
    <row r="684" spans="18:24" ht="12.75">
      <c r="R684" s="81"/>
      <c r="S684" s="81"/>
      <c r="T684" s="81"/>
      <c r="U684" s="81"/>
      <c r="V684" s="81"/>
      <c r="W684" s="81"/>
      <c r="X684" s="81"/>
    </row>
    <row r="685" spans="18:24" ht="12.75">
      <c r="R685" s="81"/>
      <c r="S685" s="81"/>
      <c r="T685" s="81"/>
      <c r="U685" s="81"/>
      <c r="V685" s="81"/>
      <c r="W685" s="81"/>
      <c r="X685" s="81"/>
    </row>
    <row r="686" spans="18:24" ht="12.75">
      <c r="R686" s="81"/>
      <c r="S686" s="81"/>
      <c r="T686" s="81"/>
      <c r="U686" s="81"/>
      <c r="V686" s="81"/>
      <c r="W686" s="81"/>
      <c r="X686" s="81"/>
    </row>
    <row r="687" spans="18:24" ht="12.75">
      <c r="R687" s="81"/>
      <c r="S687" s="81"/>
      <c r="T687" s="81"/>
      <c r="U687" s="81"/>
      <c r="V687" s="81"/>
      <c r="W687" s="81"/>
      <c r="X687" s="81"/>
    </row>
    <row r="688" spans="18:24" ht="12.75">
      <c r="R688" s="81"/>
      <c r="S688" s="81"/>
      <c r="T688" s="81"/>
      <c r="U688" s="81"/>
      <c r="V688" s="81"/>
      <c r="W688" s="81"/>
      <c r="X688" s="81"/>
    </row>
    <row r="689" spans="18:24" ht="12.75">
      <c r="R689" s="81"/>
      <c r="S689" s="81"/>
      <c r="T689" s="81"/>
      <c r="U689" s="81"/>
      <c r="V689" s="81"/>
      <c r="W689" s="81"/>
      <c r="X689" s="81"/>
    </row>
    <row r="690" spans="18:24" ht="12.75">
      <c r="R690" s="81"/>
      <c r="S690" s="81"/>
      <c r="T690" s="81"/>
      <c r="U690" s="81"/>
      <c r="V690" s="81"/>
      <c r="W690" s="81"/>
      <c r="X690" s="81"/>
    </row>
    <row r="691" spans="18:24" ht="12.75">
      <c r="R691" s="81"/>
      <c r="S691" s="81"/>
      <c r="T691" s="81"/>
      <c r="U691" s="81"/>
      <c r="V691" s="81"/>
      <c r="W691" s="81"/>
      <c r="X691" s="81"/>
    </row>
    <row r="692" spans="18:24" ht="12.75">
      <c r="R692" s="81"/>
      <c r="S692" s="81"/>
      <c r="T692" s="81"/>
      <c r="U692" s="81"/>
      <c r="V692" s="81"/>
      <c r="W692" s="81"/>
      <c r="X692" s="81"/>
    </row>
    <row r="693" spans="18:24" ht="12.75">
      <c r="R693" s="81"/>
      <c r="S693" s="81"/>
      <c r="T693" s="81"/>
      <c r="U693" s="81"/>
      <c r="V693" s="81"/>
      <c r="W693" s="81"/>
      <c r="X693" s="81"/>
    </row>
    <row r="694" spans="18:24" ht="12.75">
      <c r="R694" s="81"/>
      <c r="S694" s="81"/>
      <c r="T694" s="81"/>
      <c r="U694" s="81"/>
      <c r="V694" s="81"/>
      <c r="W694" s="81"/>
      <c r="X694" s="81"/>
    </row>
    <row r="695" spans="18:24" ht="12.75">
      <c r="R695" s="81"/>
      <c r="S695" s="81"/>
      <c r="T695" s="81"/>
      <c r="U695" s="81"/>
      <c r="V695" s="81"/>
      <c r="W695" s="81"/>
      <c r="X695" s="81"/>
    </row>
    <row r="696" spans="18:24" ht="12.75">
      <c r="R696" s="81"/>
      <c r="S696" s="81"/>
      <c r="T696" s="81"/>
      <c r="U696" s="81"/>
      <c r="V696" s="81"/>
      <c r="W696" s="81"/>
      <c r="X696" s="81"/>
    </row>
    <row r="697" spans="18:24" ht="12.75">
      <c r="R697" s="81"/>
      <c r="S697" s="81"/>
      <c r="T697" s="81"/>
      <c r="U697" s="81"/>
      <c r="V697" s="81"/>
      <c r="W697" s="81"/>
      <c r="X697" s="81"/>
    </row>
    <row r="698" spans="18:24" ht="12.75">
      <c r="R698" s="81"/>
      <c r="S698" s="81"/>
      <c r="T698" s="81"/>
      <c r="U698" s="81"/>
      <c r="V698" s="81"/>
      <c r="W698" s="81"/>
      <c r="X698" s="81"/>
    </row>
    <row r="699" spans="18:24" ht="12.75">
      <c r="R699" s="81"/>
      <c r="S699" s="81"/>
      <c r="T699" s="81"/>
      <c r="U699" s="81"/>
      <c r="V699" s="81"/>
      <c r="W699" s="81"/>
      <c r="X699" s="81"/>
    </row>
    <row r="700" spans="18:24" ht="12.75">
      <c r="R700" s="81"/>
      <c r="S700" s="81"/>
      <c r="T700" s="81"/>
      <c r="U700" s="81"/>
      <c r="V700" s="81"/>
      <c r="W700" s="81"/>
      <c r="X700" s="81"/>
    </row>
    <row r="701" spans="18:24" ht="12.75">
      <c r="R701" s="81"/>
      <c r="S701" s="81"/>
      <c r="T701" s="81"/>
      <c r="U701" s="81"/>
      <c r="V701" s="81"/>
      <c r="W701" s="81"/>
      <c r="X701" s="81"/>
    </row>
    <row r="702" spans="18:24" ht="12.75">
      <c r="R702" s="81"/>
      <c r="S702" s="81"/>
      <c r="T702" s="81"/>
      <c r="U702" s="81"/>
      <c r="V702" s="81"/>
      <c r="W702" s="81"/>
      <c r="X702" s="81"/>
    </row>
    <row r="703" spans="18:24" ht="12.75">
      <c r="R703" s="81"/>
      <c r="S703" s="81"/>
      <c r="T703" s="81"/>
      <c r="U703" s="81"/>
      <c r="V703" s="81"/>
      <c r="W703" s="81"/>
      <c r="X703" s="81"/>
    </row>
    <row r="704" spans="18:24" ht="12.75">
      <c r="R704" s="81"/>
      <c r="S704" s="81"/>
      <c r="T704" s="81"/>
      <c r="U704" s="81"/>
      <c r="V704" s="81"/>
      <c r="W704" s="81"/>
      <c r="X704" s="81"/>
    </row>
    <row r="705" spans="18:24" ht="12.75">
      <c r="R705" s="81"/>
      <c r="S705" s="81"/>
      <c r="T705" s="81"/>
      <c r="U705" s="81"/>
      <c r="V705" s="81"/>
      <c r="W705" s="81"/>
      <c r="X705" s="81"/>
    </row>
    <row r="706" spans="18:24" ht="12.75">
      <c r="R706" s="81"/>
      <c r="S706" s="81"/>
      <c r="T706" s="81"/>
      <c r="U706" s="81"/>
      <c r="V706" s="81"/>
      <c r="W706" s="81"/>
      <c r="X706" s="81"/>
    </row>
    <row r="707" spans="18:24" ht="12.75">
      <c r="R707" s="81"/>
      <c r="S707" s="81"/>
      <c r="T707" s="81"/>
      <c r="U707" s="81"/>
      <c r="V707" s="81"/>
      <c r="W707" s="81"/>
      <c r="X707" s="81"/>
    </row>
    <row r="708" spans="18:24" ht="12.75">
      <c r="R708" s="81"/>
      <c r="S708" s="81"/>
      <c r="T708" s="81"/>
      <c r="U708" s="81"/>
      <c r="V708" s="81"/>
      <c r="W708" s="81"/>
      <c r="X708" s="81"/>
    </row>
    <row r="709" spans="18:24" ht="12.75">
      <c r="R709" s="81"/>
      <c r="S709" s="81"/>
      <c r="T709" s="81"/>
      <c r="U709" s="81"/>
      <c r="V709" s="81"/>
      <c r="W709" s="81"/>
      <c r="X709" s="81"/>
    </row>
    <row r="710" spans="18:24" ht="12.75">
      <c r="R710" s="81"/>
      <c r="S710" s="81"/>
      <c r="T710" s="81"/>
      <c r="U710" s="81"/>
      <c r="V710" s="81"/>
      <c r="W710" s="81"/>
      <c r="X710" s="81"/>
    </row>
    <row r="711" spans="18:24" ht="12.75">
      <c r="R711" s="81"/>
      <c r="S711" s="81"/>
      <c r="T711" s="81"/>
      <c r="U711" s="81"/>
      <c r="V711" s="81"/>
      <c r="W711" s="81"/>
      <c r="X711" s="81"/>
    </row>
    <row r="712" spans="18:24" ht="12.75">
      <c r="R712" s="81"/>
      <c r="S712" s="81"/>
      <c r="T712" s="81"/>
      <c r="U712" s="81"/>
      <c r="V712" s="81"/>
      <c r="W712" s="81"/>
      <c r="X712" s="81"/>
    </row>
    <row r="713" spans="18:24" ht="12.75">
      <c r="R713" s="81"/>
      <c r="S713" s="81"/>
      <c r="T713" s="81"/>
      <c r="U713" s="81"/>
      <c r="V713" s="81"/>
      <c r="W713" s="81"/>
      <c r="X713" s="81"/>
    </row>
    <row r="714" spans="18:24" ht="12.75">
      <c r="R714" s="81"/>
      <c r="S714" s="81"/>
      <c r="T714" s="81"/>
      <c r="U714" s="81"/>
      <c r="V714" s="81"/>
      <c r="W714" s="81"/>
      <c r="X714" s="81"/>
    </row>
    <row r="715" spans="18:24" ht="12.75">
      <c r="R715" s="81"/>
      <c r="S715" s="81"/>
      <c r="T715" s="81"/>
      <c r="U715" s="81"/>
      <c r="V715" s="81"/>
      <c r="W715" s="81"/>
      <c r="X715" s="81"/>
    </row>
    <row r="716" spans="18:24" ht="12.75">
      <c r="R716" s="81"/>
      <c r="S716" s="81"/>
      <c r="T716" s="81"/>
      <c r="U716" s="81"/>
      <c r="V716" s="81"/>
      <c r="W716" s="81"/>
      <c r="X716" s="81"/>
    </row>
    <row r="717" spans="18:24" ht="12.75">
      <c r="R717" s="81"/>
      <c r="S717" s="81"/>
      <c r="T717" s="81"/>
      <c r="U717" s="81"/>
      <c r="V717" s="81"/>
      <c r="W717" s="81"/>
      <c r="X717" s="81"/>
    </row>
    <row r="718" spans="18:24" ht="12.75">
      <c r="R718" s="81"/>
      <c r="S718" s="81"/>
      <c r="T718" s="81"/>
      <c r="U718" s="81"/>
      <c r="V718" s="81"/>
      <c r="W718" s="81"/>
      <c r="X718" s="81"/>
    </row>
    <row r="719" spans="18:24" ht="12.75">
      <c r="R719" s="81"/>
      <c r="S719" s="81"/>
      <c r="T719" s="81"/>
      <c r="U719" s="81"/>
      <c r="V719" s="81"/>
      <c r="W719" s="81"/>
      <c r="X719" s="81"/>
    </row>
    <row r="720" spans="18:24" ht="12.75">
      <c r="R720" s="81"/>
      <c r="S720" s="81"/>
      <c r="T720" s="81"/>
      <c r="U720" s="81"/>
      <c r="V720" s="81"/>
      <c r="W720" s="81"/>
      <c r="X720" s="81"/>
    </row>
    <row r="721" spans="18:24" ht="12.75">
      <c r="R721" s="81"/>
      <c r="S721" s="81"/>
      <c r="T721" s="81"/>
      <c r="U721" s="81"/>
      <c r="V721" s="81"/>
      <c r="W721" s="81"/>
      <c r="X721" s="81"/>
    </row>
    <row r="722" spans="18:24" ht="12.75">
      <c r="R722" s="81"/>
      <c r="S722" s="81"/>
      <c r="T722" s="81"/>
      <c r="U722" s="81"/>
      <c r="V722" s="81"/>
      <c r="W722" s="81"/>
      <c r="X722" s="81"/>
    </row>
    <row r="723" spans="18:24" ht="12.75">
      <c r="R723" s="81"/>
      <c r="S723" s="81"/>
      <c r="T723" s="81"/>
      <c r="U723" s="81"/>
      <c r="V723" s="81"/>
      <c r="W723" s="81"/>
      <c r="X723" s="81"/>
    </row>
    <row r="724" spans="18:24" ht="12.75">
      <c r="R724" s="81"/>
      <c r="S724" s="81"/>
      <c r="T724" s="81"/>
      <c r="U724" s="81"/>
      <c r="V724" s="81"/>
      <c r="W724" s="81"/>
      <c r="X724" s="81"/>
    </row>
    <row r="725" spans="18:24" ht="12.75">
      <c r="R725" s="81"/>
      <c r="S725" s="81"/>
      <c r="T725" s="81"/>
      <c r="U725" s="81"/>
      <c r="V725" s="81"/>
      <c r="W725" s="81"/>
      <c r="X725" s="81"/>
    </row>
    <row r="726" spans="18:24" ht="12.75">
      <c r="R726" s="81"/>
      <c r="S726" s="81"/>
      <c r="T726" s="81"/>
      <c r="U726" s="81"/>
      <c r="V726" s="81"/>
      <c r="W726" s="81"/>
      <c r="X726" s="81"/>
    </row>
    <row r="727" spans="18:24" ht="12.75">
      <c r="R727" s="81"/>
      <c r="S727" s="81"/>
      <c r="T727" s="81"/>
      <c r="U727" s="81"/>
      <c r="V727" s="81"/>
      <c r="W727" s="81"/>
      <c r="X727" s="81"/>
    </row>
    <row r="728" spans="18:24" ht="12.75">
      <c r="R728" s="81"/>
      <c r="S728" s="81"/>
      <c r="T728" s="81"/>
      <c r="U728" s="81"/>
      <c r="V728" s="81"/>
      <c r="W728" s="81"/>
      <c r="X728" s="81"/>
    </row>
    <row r="729" spans="18:24" ht="12.75">
      <c r="R729" s="81"/>
      <c r="S729" s="81"/>
      <c r="T729" s="81"/>
      <c r="U729" s="81"/>
      <c r="V729" s="81"/>
      <c r="W729" s="81"/>
      <c r="X729" s="81"/>
    </row>
    <row r="730" spans="18:24" ht="12.75">
      <c r="R730" s="81"/>
      <c r="S730" s="81"/>
      <c r="T730" s="81"/>
      <c r="U730" s="81"/>
      <c r="V730" s="81"/>
      <c r="W730" s="81"/>
      <c r="X730" s="81"/>
    </row>
    <row r="731" spans="18:24" ht="12.75">
      <c r="R731" s="81"/>
      <c r="S731" s="81"/>
      <c r="T731" s="81"/>
      <c r="U731" s="81"/>
      <c r="V731" s="81"/>
      <c r="W731" s="81"/>
      <c r="X731" s="81"/>
    </row>
    <row r="732" spans="18:24" ht="12.75">
      <c r="R732" s="81"/>
      <c r="S732" s="81"/>
      <c r="T732" s="81"/>
      <c r="U732" s="81"/>
      <c r="V732" s="81"/>
      <c r="W732" s="81"/>
      <c r="X732" s="81"/>
    </row>
    <row r="733" spans="18:24" ht="12.75">
      <c r="R733" s="81"/>
      <c r="S733" s="81"/>
      <c r="T733" s="81"/>
      <c r="U733" s="81"/>
      <c r="V733" s="81"/>
      <c r="W733" s="81"/>
      <c r="X733" s="81"/>
    </row>
    <row r="734" spans="18:24" ht="12.75">
      <c r="R734" s="81"/>
      <c r="S734" s="81"/>
      <c r="T734" s="81"/>
      <c r="U734" s="81"/>
      <c r="V734" s="81"/>
      <c r="W734" s="81"/>
      <c r="X734" s="81"/>
    </row>
    <row r="735" spans="18:24" ht="12.75">
      <c r="R735" s="81"/>
      <c r="S735" s="81"/>
      <c r="T735" s="81"/>
      <c r="U735" s="81"/>
      <c r="V735" s="81"/>
      <c r="W735" s="81"/>
      <c r="X735" s="81"/>
    </row>
    <row r="736" spans="18:24" ht="12.75">
      <c r="R736" s="81"/>
      <c r="S736" s="81"/>
      <c r="T736" s="81"/>
      <c r="U736" s="81"/>
      <c r="V736" s="81"/>
      <c r="W736" s="81"/>
      <c r="X736" s="81"/>
    </row>
    <row r="737" spans="18:24" ht="12.75">
      <c r="R737" s="81"/>
      <c r="S737" s="81"/>
      <c r="T737" s="81"/>
      <c r="U737" s="81"/>
      <c r="V737" s="81"/>
      <c r="W737" s="81"/>
      <c r="X737" s="81"/>
    </row>
    <row r="738" spans="18:24" ht="12.75">
      <c r="R738" s="81"/>
      <c r="S738" s="81"/>
      <c r="T738" s="81"/>
      <c r="U738" s="81"/>
      <c r="V738" s="81"/>
      <c r="W738" s="81"/>
      <c r="X738" s="81"/>
    </row>
    <row r="739" spans="18:24" ht="12.75">
      <c r="R739" s="81"/>
      <c r="S739" s="81"/>
      <c r="T739" s="81"/>
      <c r="U739" s="81"/>
      <c r="V739" s="81"/>
      <c r="W739" s="81"/>
      <c r="X739" s="81"/>
    </row>
    <row r="740" spans="18:24" ht="12.75">
      <c r="R740" s="81"/>
      <c r="S740" s="81"/>
      <c r="T740" s="81"/>
      <c r="U740" s="81"/>
      <c r="V740" s="81"/>
      <c r="W740" s="81"/>
      <c r="X740" s="81"/>
    </row>
    <row r="741" spans="18:24" ht="12.75">
      <c r="R741" s="81"/>
      <c r="S741" s="81"/>
      <c r="T741" s="81"/>
      <c r="U741" s="81"/>
      <c r="V741" s="81"/>
      <c r="W741" s="81"/>
      <c r="X741" s="81"/>
    </row>
    <row r="742" spans="18:24" ht="12.75">
      <c r="R742" s="81"/>
      <c r="S742" s="81"/>
      <c r="T742" s="81"/>
      <c r="U742" s="81"/>
      <c r="V742" s="81"/>
      <c r="W742" s="81"/>
      <c r="X742" s="81"/>
    </row>
    <row r="743" spans="18:24" ht="12.75">
      <c r="R743" s="81"/>
      <c r="S743" s="81"/>
      <c r="T743" s="81"/>
      <c r="U743" s="81"/>
      <c r="V743" s="81"/>
      <c r="W743" s="81"/>
      <c r="X743" s="81"/>
    </row>
    <row r="744" spans="18:24" ht="12.75">
      <c r="R744" s="81"/>
      <c r="S744" s="81"/>
      <c r="T744" s="81"/>
      <c r="U744" s="81"/>
      <c r="V744" s="81"/>
      <c r="W744" s="81"/>
      <c r="X744" s="81"/>
    </row>
    <row r="745" spans="18:24" ht="12.75">
      <c r="R745" s="81"/>
      <c r="S745" s="81"/>
      <c r="T745" s="81"/>
      <c r="U745" s="81"/>
      <c r="V745" s="81"/>
      <c r="W745" s="81"/>
      <c r="X745" s="81"/>
    </row>
    <row r="746" spans="18:24" ht="12.75">
      <c r="R746" s="81"/>
      <c r="S746" s="81"/>
      <c r="T746" s="81"/>
      <c r="U746" s="81"/>
      <c r="V746" s="81"/>
      <c r="W746" s="81"/>
      <c r="X746" s="81"/>
    </row>
    <row r="747" spans="18:24" ht="12.75">
      <c r="R747" s="81"/>
      <c r="S747" s="81"/>
      <c r="T747" s="81"/>
      <c r="U747" s="81"/>
      <c r="V747" s="81"/>
      <c r="W747" s="81"/>
      <c r="X747" s="81"/>
    </row>
    <row r="748" spans="18:24" ht="12.75">
      <c r="R748" s="81"/>
      <c r="S748" s="81"/>
      <c r="T748" s="81"/>
      <c r="U748" s="81"/>
      <c r="V748" s="81"/>
      <c r="W748" s="81"/>
      <c r="X748" s="81"/>
    </row>
    <row r="749" spans="18:24" ht="12.75">
      <c r="R749" s="81"/>
      <c r="S749" s="81"/>
      <c r="T749" s="81"/>
      <c r="U749" s="81"/>
      <c r="V749" s="81"/>
      <c r="W749" s="81"/>
      <c r="X749" s="81"/>
    </row>
    <row r="750" spans="18:24" ht="12.75">
      <c r="R750" s="81"/>
      <c r="S750" s="81"/>
      <c r="T750" s="81"/>
      <c r="U750" s="81"/>
      <c r="V750" s="81"/>
      <c r="W750" s="81"/>
      <c r="X750" s="81"/>
    </row>
    <row r="751" spans="18:24" ht="12.75">
      <c r="R751" s="81"/>
      <c r="S751" s="81"/>
      <c r="T751" s="81"/>
      <c r="U751" s="81"/>
      <c r="V751" s="81"/>
      <c r="W751" s="81"/>
      <c r="X751" s="81"/>
    </row>
    <row r="752" spans="18:24" ht="12.75">
      <c r="R752" s="81"/>
      <c r="S752" s="81"/>
      <c r="T752" s="81"/>
      <c r="U752" s="81"/>
      <c r="V752" s="81"/>
      <c r="W752" s="81"/>
      <c r="X752" s="81"/>
    </row>
    <row r="753" spans="18:24" ht="12.75">
      <c r="R753" s="81"/>
      <c r="S753" s="81"/>
      <c r="T753" s="81"/>
      <c r="U753" s="81"/>
      <c r="V753" s="81"/>
      <c r="W753" s="81"/>
      <c r="X753" s="81"/>
    </row>
    <row r="754" spans="18:24" ht="12.75">
      <c r="R754" s="81"/>
      <c r="S754" s="81"/>
      <c r="T754" s="81"/>
      <c r="U754" s="81"/>
      <c r="V754" s="81"/>
      <c r="W754" s="81"/>
      <c r="X754" s="81"/>
    </row>
    <row r="755" spans="18:24" ht="12.75">
      <c r="R755" s="81"/>
      <c r="S755" s="81"/>
      <c r="T755" s="81"/>
      <c r="U755" s="81"/>
      <c r="V755" s="81"/>
      <c r="W755" s="81"/>
      <c r="X755" s="81"/>
    </row>
    <row r="756" spans="18:24" ht="12.75">
      <c r="R756" s="81"/>
      <c r="S756" s="81"/>
      <c r="T756" s="81"/>
      <c r="U756" s="81"/>
      <c r="V756" s="81"/>
      <c r="W756" s="81"/>
      <c r="X756" s="81"/>
    </row>
    <row r="757" spans="18:24" ht="12.75">
      <c r="R757" s="81"/>
      <c r="S757" s="81"/>
      <c r="T757" s="81"/>
      <c r="U757" s="81"/>
      <c r="V757" s="81"/>
      <c r="W757" s="81"/>
      <c r="X757" s="81"/>
    </row>
    <row r="758" spans="18:24" ht="12.75">
      <c r="R758" s="81"/>
      <c r="S758" s="81"/>
      <c r="T758" s="81"/>
      <c r="U758" s="81"/>
      <c r="V758" s="81"/>
      <c r="W758" s="81"/>
      <c r="X758" s="81"/>
    </row>
    <row r="759" spans="18:24" ht="12.75">
      <c r="R759" s="81"/>
      <c r="S759" s="81"/>
      <c r="T759" s="81"/>
      <c r="U759" s="81"/>
      <c r="V759" s="81"/>
      <c r="W759" s="81"/>
      <c r="X759" s="81"/>
    </row>
    <row r="760" spans="18:24" ht="12.75">
      <c r="R760" s="81"/>
      <c r="S760" s="81"/>
      <c r="T760" s="81"/>
      <c r="U760" s="81"/>
      <c r="V760" s="81"/>
      <c r="W760" s="81"/>
      <c r="X760" s="81"/>
    </row>
    <row r="761" spans="18:24" ht="12.75">
      <c r="R761" s="81"/>
      <c r="S761" s="81"/>
      <c r="T761" s="81"/>
      <c r="U761" s="81"/>
      <c r="V761" s="81"/>
      <c r="W761" s="81"/>
      <c r="X761" s="81"/>
    </row>
    <row r="762" spans="18:24" ht="12.75">
      <c r="R762" s="81"/>
      <c r="S762" s="81"/>
      <c r="T762" s="81"/>
      <c r="U762" s="81"/>
      <c r="V762" s="81"/>
      <c r="W762" s="81"/>
      <c r="X762" s="81"/>
    </row>
    <row r="763" spans="18:24" ht="12.75">
      <c r="R763" s="81"/>
      <c r="S763" s="81"/>
      <c r="T763" s="81"/>
      <c r="U763" s="81"/>
      <c r="V763" s="81"/>
      <c r="W763" s="81"/>
      <c r="X763" s="81"/>
    </row>
    <row r="764" spans="18:24" ht="12.75">
      <c r="R764" s="81"/>
      <c r="S764" s="81"/>
      <c r="T764" s="81"/>
      <c r="U764" s="81"/>
      <c r="V764" s="81"/>
      <c r="W764" s="81"/>
      <c r="X764" s="81"/>
    </row>
    <row r="765" spans="18:24" ht="12.75">
      <c r="R765" s="81"/>
      <c r="S765" s="81"/>
      <c r="T765" s="81"/>
      <c r="U765" s="81"/>
      <c r="V765" s="81"/>
      <c r="W765" s="81"/>
      <c r="X765" s="81"/>
    </row>
    <row r="766" spans="18:24" ht="12.75">
      <c r="R766" s="81"/>
      <c r="S766" s="81"/>
      <c r="T766" s="81"/>
      <c r="U766" s="81"/>
      <c r="V766" s="81"/>
      <c r="W766" s="81"/>
      <c r="X766" s="81"/>
    </row>
    <row r="767" spans="18:24" ht="12.75">
      <c r="R767" s="81"/>
      <c r="S767" s="81"/>
      <c r="T767" s="81"/>
      <c r="U767" s="81"/>
      <c r="V767" s="81"/>
      <c r="W767" s="81"/>
      <c r="X767" s="81"/>
    </row>
    <row r="768" spans="18:24" ht="12.75">
      <c r="R768" s="81"/>
      <c r="S768" s="81"/>
      <c r="T768" s="81"/>
      <c r="U768" s="81"/>
      <c r="V768" s="81"/>
      <c r="W768" s="81"/>
      <c r="X768" s="81"/>
    </row>
    <row r="769" spans="18:24" ht="12.75">
      <c r="R769" s="81"/>
      <c r="S769" s="81"/>
      <c r="T769" s="81"/>
      <c r="U769" s="81"/>
      <c r="V769" s="81"/>
      <c r="W769" s="81"/>
      <c r="X769" s="81"/>
    </row>
    <row r="770" spans="18:24" ht="12.75">
      <c r="R770" s="81"/>
      <c r="S770" s="81"/>
      <c r="T770" s="81"/>
      <c r="U770" s="81"/>
      <c r="V770" s="81"/>
      <c r="W770" s="81"/>
      <c r="X770" s="81"/>
    </row>
    <row r="771" spans="18:24" ht="12.75">
      <c r="R771" s="81"/>
      <c r="S771" s="81"/>
      <c r="T771" s="81"/>
      <c r="U771" s="81"/>
      <c r="V771" s="81"/>
      <c r="W771" s="81"/>
      <c r="X771" s="81"/>
    </row>
    <row r="772" spans="18:24" ht="12.75">
      <c r="R772" s="81"/>
      <c r="S772" s="81"/>
      <c r="T772" s="81"/>
      <c r="U772" s="81"/>
      <c r="V772" s="81"/>
      <c r="W772" s="81"/>
      <c r="X772" s="81"/>
    </row>
    <row r="773" spans="18:24" ht="12.75">
      <c r="R773" s="81"/>
      <c r="S773" s="81"/>
      <c r="T773" s="81"/>
      <c r="U773" s="81"/>
      <c r="V773" s="81"/>
      <c r="W773" s="81"/>
      <c r="X773" s="81"/>
    </row>
    <row r="774" spans="18:24" ht="12.75">
      <c r="R774" s="81"/>
      <c r="S774" s="81"/>
      <c r="T774" s="81"/>
      <c r="U774" s="81"/>
      <c r="V774" s="81"/>
      <c r="W774" s="81"/>
      <c r="X774" s="81"/>
    </row>
    <row r="775" spans="18:24" ht="12.75">
      <c r="R775" s="81"/>
      <c r="S775" s="81"/>
      <c r="T775" s="81"/>
      <c r="U775" s="81"/>
      <c r="V775" s="81"/>
      <c r="W775" s="81"/>
      <c r="X775" s="81"/>
    </row>
    <row r="776" spans="18:24" ht="12.75">
      <c r="R776" s="81"/>
      <c r="S776" s="81"/>
      <c r="T776" s="81"/>
      <c r="U776" s="81"/>
      <c r="V776" s="81"/>
      <c r="W776" s="81"/>
      <c r="X776" s="81"/>
    </row>
    <row r="777" spans="18:24" ht="12.75">
      <c r="R777" s="81"/>
      <c r="S777" s="81"/>
      <c r="T777" s="81"/>
      <c r="U777" s="81"/>
      <c r="V777" s="81"/>
      <c r="W777" s="81"/>
      <c r="X777" s="81"/>
    </row>
    <row r="778" spans="18:24" ht="12.75">
      <c r="R778" s="81"/>
      <c r="S778" s="81"/>
      <c r="T778" s="81"/>
      <c r="U778" s="81"/>
      <c r="V778" s="81"/>
      <c r="W778" s="81"/>
      <c r="X778" s="81"/>
    </row>
    <row r="779" spans="18:24" ht="12.75">
      <c r="R779" s="81"/>
      <c r="S779" s="81"/>
      <c r="T779" s="81"/>
      <c r="U779" s="81"/>
      <c r="V779" s="81"/>
      <c r="W779" s="81"/>
      <c r="X779" s="81"/>
    </row>
    <row r="780" spans="18:24" ht="12.75">
      <c r="R780" s="81"/>
      <c r="S780" s="81"/>
      <c r="T780" s="81"/>
      <c r="U780" s="81"/>
      <c r="V780" s="81"/>
      <c r="W780" s="81"/>
      <c r="X780" s="81"/>
    </row>
    <row r="781" spans="18:24" ht="12.75">
      <c r="R781" s="81"/>
      <c r="S781" s="81"/>
      <c r="T781" s="81"/>
      <c r="U781" s="81"/>
      <c r="V781" s="81"/>
      <c r="W781" s="81"/>
      <c r="X781" s="81"/>
    </row>
    <row r="782" spans="18:24" ht="12.75">
      <c r="R782" s="81"/>
      <c r="S782" s="81"/>
      <c r="T782" s="81"/>
      <c r="U782" s="81"/>
      <c r="V782" s="81"/>
      <c r="W782" s="81"/>
      <c r="X782" s="81"/>
    </row>
    <row r="783" spans="18:24" ht="12.75">
      <c r="R783" s="81"/>
      <c r="S783" s="81"/>
      <c r="T783" s="81"/>
      <c r="U783" s="81"/>
      <c r="V783" s="81"/>
      <c r="W783" s="81"/>
      <c r="X783" s="81"/>
    </row>
    <row r="784" spans="18:24" ht="12.75">
      <c r="R784" s="81"/>
      <c r="S784" s="81"/>
      <c r="T784" s="81"/>
      <c r="U784" s="81"/>
      <c r="V784" s="81"/>
      <c r="W784" s="81"/>
      <c r="X784" s="81"/>
    </row>
    <row r="785" spans="18:24" ht="12.75">
      <c r="R785" s="81"/>
      <c r="S785" s="81"/>
      <c r="T785" s="81"/>
      <c r="U785" s="81"/>
      <c r="V785" s="81"/>
      <c r="W785" s="81"/>
      <c r="X785" s="81"/>
    </row>
    <row r="786" spans="18:24" ht="12.75">
      <c r="R786" s="81"/>
      <c r="S786" s="81"/>
      <c r="T786" s="81"/>
      <c r="U786" s="81"/>
      <c r="V786" s="81"/>
      <c r="W786" s="81"/>
      <c r="X786" s="81"/>
    </row>
    <row r="787" spans="18:24" ht="12.75">
      <c r="R787" s="81"/>
      <c r="S787" s="81"/>
      <c r="T787" s="81"/>
      <c r="U787" s="81"/>
      <c r="V787" s="81"/>
      <c r="W787" s="81"/>
      <c r="X787" s="81"/>
    </row>
    <row r="788" spans="18:24" ht="12.75">
      <c r="R788" s="81"/>
      <c r="S788" s="81"/>
      <c r="T788" s="81"/>
      <c r="U788" s="81"/>
      <c r="V788" s="81"/>
      <c r="W788" s="81"/>
      <c r="X788" s="81"/>
    </row>
    <row r="789" spans="18:24" ht="12.75">
      <c r="R789" s="81"/>
      <c r="S789" s="81"/>
      <c r="T789" s="81"/>
      <c r="U789" s="81"/>
      <c r="V789" s="81"/>
      <c r="W789" s="81"/>
      <c r="X789" s="81"/>
    </row>
    <row r="790" spans="18:24" ht="12.75">
      <c r="R790" s="81"/>
      <c r="S790" s="81"/>
      <c r="T790" s="81"/>
      <c r="U790" s="81"/>
      <c r="V790" s="81"/>
      <c r="W790" s="81"/>
      <c r="X790" s="81"/>
    </row>
    <row r="791" spans="18:24" ht="12.75">
      <c r="R791" s="81"/>
      <c r="S791" s="81"/>
      <c r="T791" s="81"/>
      <c r="U791" s="81"/>
      <c r="V791" s="81"/>
      <c r="W791" s="81"/>
      <c r="X791" s="81"/>
    </row>
    <row r="792" spans="18:24" ht="12.75">
      <c r="R792" s="81"/>
      <c r="S792" s="81"/>
      <c r="T792" s="81"/>
      <c r="U792" s="81"/>
      <c r="V792" s="81"/>
      <c r="W792" s="81"/>
      <c r="X792" s="81"/>
    </row>
    <row r="793" spans="18:24" ht="12.75">
      <c r="R793" s="81"/>
      <c r="S793" s="81"/>
      <c r="T793" s="81"/>
      <c r="U793" s="81"/>
      <c r="V793" s="81"/>
      <c r="W793" s="81"/>
      <c r="X793" s="81"/>
    </row>
    <row r="794" spans="18:24" ht="12.75">
      <c r="R794" s="81"/>
      <c r="S794" s="81"/>
      <c r="T794" s="81"/>
      <c r="U794" s="81"/>
      <c r="V794" s="81"/>
      <c r="W794" s="81"/>
      <c r="X794" s="81"/>
    </row>
    <row r="795" spans="18:24" ht="12.75">
      <c r="R795" s="81"/>
      <c r="S795" s="81"/>
      <c r="T795" s="81"/>
      <c r="U795" s="81"/>
      <c r="V795" s="81"/>
      <c r="W795" s="81"/>
      <c r="X795" s="81"/>
    </row>
    <row r="796" spans="18:24" ht="12.75">
      <c r="R796" s="81"/>
      <c r="S796" s="81"/>
      <c r="T796" s="81"/>
      <c r="U796" s="81"/>
      <c r="V796" s="81"/>
      <c r="W796" s="81"/>
      <c r="X796" s="81"/>
    </row>
    <row r="797" spans="18:24" ht="12.75">
      <c r="R797" s="81"/>
      <c r="S797" s="81"/>
      <c r="T797" s="81"/>
      <c r="U797" s="81"/>
      <c r="V797" s="81"/>
      <c r="W797" s="81"/>
      <c r="X797" s="81"/>
    </row>
    <row r="798" spans="18:24" ht="12.75">
      <c r="R798" s="81"/>
      <c r="S798" s="81"/>
      <c r="T798" s="81"/>
      <c r="U798" s="81"/>
      <c r="V798" s="81"/>
      <c r="W798" s="81"/>
      <c r="X798" s="81"/>
    </row>
    <row r="799" spans="18:24" ht="12.75">
      <c r="R799" s="81"/>
      <c r="S799" s="81"/>
      <c r="T799" s="81"/>
      <c r="U799" s="81"/>
      <c r="V799" s="81"/>
      <c r="W799" s="81"/>
      <c r="X799" s="81"/>
    </row>
    <row r="800" spans="18:24" ht="12.75">
      <c r="R800" s="81"/>
      <c r="S800" s="81"/>
      <c r="T800" s="81"/>
      <c r="U800" s="81"/>
      <c r="V800" s="81"/>
      <c r="W800" s="81"/>
      <c r="X800" s="81"/>
    </row>
    <row r="801" spans="18:24" ht="12.75">
      <c r="R801" s="81"/>
      <c r="S801" s="81"/>
      <c r="T801" s="81"/>
      <c r="U801" s="81"/>
      <c r="V801" s="81"/>
      <c r="W801" s="81"/>
      <c r="X801" s="81"/>
    </row>
    <row r="802" spans="18:24" ht="12.75">
      <c r="R802" s="81"/>
      <c r="S802" s="81"/>
      <c r="T802" s="81"/>
      <c r="U802" s="81"/>
      <c r="V802" s="81"/>
      <c r="W802" s="81"/>
      <c r="X802" s="81"/>
    </row>
    <row r="803" spans="18:24" ht="12.75">
      <c r="R803" s="81"/>
      <c r="S803" s="81"/>
      <c r="T803" s="81"/>
      <c r="U803" s="81"/>
      <c r="V803" s="81"/>
      <c r="W803" s="81"/>
      <c r="X803" s="81"/>
    </row>
    <row r="804" spans="18:24" ht="12.75">
      <c r="R804" s="81"/>
      <c r="S804" s="81"/>
      <c r="T804" s="81"/>
      <c r="U804" s="81"/>
      <c r="V804" s="81"/>
      <c r="W804" s="81"/>
      <c r="X804" s="81"/>
    </row>
    <row r="805" spans="18:24" ht="12.75">
      <c r="R805" s="81"/>
      <c r="S805" s="81"/>
      <c r="T805" s="81"/>
      <c r="U805" s="81"/>
      <c r="V805" s="81"/>
      <c r="W805" s="81"/>
      <c r="X805" s="81"/>
    </row>
    <row r="806" spans="18:24" ht="12.75">
      <c r="R806" s="81"/>
      <c r="S806" s="81"/>
      <c r="T806" s="81"/>
      <c r="U806" s="81"/>
      <c r="V806" s="81"/>
      <c r="W806" s="81"/>
      <c r="X806" s="81"/>
    </row>
    <row r="807" spans="18:24" ht="12.75">
      <c r="R807" s="81"/>
      <c r="S807" s="81"/>
      <c r="T807" s="81"/>
      <c r="U807" s="81"/>
      <c r="V807" s="81"/>
      <c r="W807" s="81"/>
      <c r="X807" s="81"/>
    </row>
    <row r="808" spans="18:24" ht="12.75">
      <c r="R808" s="81"/>
      <c r="S808" s="81"/>
      <c r="T808" s="81"/>
      <c r="U808" s="81"/>
      <c r="V808" s="81"/>
      <c r="W808" s="81"/>
      <c r="X808" s="81"/>
    </row>
    <row r="809" spans="18:24" ht="12.75">
      <c r="R809" s="81"/>
      <c r="S809" s="81"/>
      <c r="T809" s="81"/>
      <c r="U809" s="81"/>
      <c r="V809" s="81"/>
      <c r="W809" s="81"/>
      <c r="X809" s="81"/>
    </row>
    <row r="810" spans="18:24" ht="12.75">
      <c r="R810" s="81"/>
      <c r="S810" s="81"/>
      <c r="T810" s="81"/>
      <c r="U810" s="81"/>
      <c r="V810" s="81"/>
      <c r="W810" s="81"/>
      <c r="X810" s="81"/>
    </row>
    <row r="811" spans="18:24" ht="12.75">
      <c r="R811" s="81"/>
      <c r="S811" s="81"/>
      <c r="T811" s="81"/>
      <c r="U811" s="81"/>
      <c r="V811" s="81"/>
      <c r="W811" s="81"/>
      <c r="X811" s="81"/>
    </row>
    <row r="812" spans="18:24" ht="12.75">
      <c r="R812" s="81"/>
      <c r="S812" s="81"/>
      <c r="T812" s="81"/>
      <c r="U812" s="81"/>
      <c r="V812" s="81"/>
      <c r="W812" s="81"/>
      <c r="X812" s="81"/>
    </row>
    <row r="813" spans="18:24" ht="12.75">
      <c r="R813" s="81"/>
      <c r="S813" s="81"/>
      <c r="T813" s="81"/>
      <c r="U813" s="81"/>
      <c r="V813" s="81"/>
      <c r="W813" s="81"/>
      <c r="X813" s="81"/>
    </row>
    <row r="814" spans="18:24" ht="12.75">
      <c r="R814" s="81"/>
      <c r="S814" s="81"/>
      <c r="T814" s="81"/>
      <c r="U814" s="81"/>
      <c r="V814" s="81"/>
      <c r="W814" s="81"/>
      <c r="X814" s="81"/>
    </row>
    <row r="815" spans="18:24" ht="12.75">
      <c r="R815" s="81"/>
      <c r="S815" s="81"/>
      <c r="T815" s="81"/>
      <c r="U815" s="81"/>
      <c r="V815" s="81"/>
      <c r="W815" s="81"/>
      <c r="X815" s="81"/>
    </row>
    <row r="816" spans="18:24" ht="12.75">
      <c r="R816" s="81"/>
      <c r="S816" s="81"/>
      <c r="T816" s="81"/>
      <c r="U816" s="81"/>
      <c r="V816" s="81"/>
      <c r="W816" s="81"/>
      <c r="X816" s="81"/>
    </row>
    <row r="817" spans="18:24" ht="12.75">
      <c r="R817" s="81"/>
      <c r="S817" s="81"/>
      <c r="T817" s="81"/>
      <c r="U817" s="81"/>
      <c r="V817" s="81"/>
      <c r="W817" s="81"/>
      <c r="X817" s="81"/>
    </row>
    <row r="818" spans="18:24" ht="12.75">
      <c r="R818" s="81"/>
      <c r="S818" s="81"/>
      <c r="T818" s="81"/>
      <c r="U818" s="81"/>
      <c r="V818" s="81"/>
      <c r="W818" s="81"/>
      <c r="X818" s="81"/>
    </row>
    <row r="819" spans="18:24" ht="12.75">
      <c r="R819" s="81"/>
      <c r="S819" s="81"/>
      <c r="T819" s="81"/>
      <c r="U819" s="81"/>
      <c r="V819" s="81"/>
      <c r="W819" s="81"/>
      <c r="X819" s="81"/>
    </row>
    <row r="820" spans="18:24" ht="12.75">
      <c r="R820" s="81"/>
      <c r="S820" s="81"/>
      <c r="T820" s="81"/>
      <c r="U820" s="81"/>
      <c r="V820" s="81"/>
      <c r="W820" s="81"/>
      <c r="X820" s="81"/>
    </row>
    <row r="821" spans="18:24" ht="12.75">
      <c r="R821" s="81"/>
      <c r="S821" s="81"/>
      <c r="T821" s="81"/>
      <c r="U821" s="81"/>
      <c r="V821" s="81"/>
      <c r="W821" s="81"/>
      <c r="X821" s="81"/>
    </row>
    <row r="822" spans="18:24" ht="12.75">
      <c r="R822" s="81"/>
      <c r="S822" s="81"/>
      <c r="T822" s="81"/>
      <c r="U822" s="81"/>
      <c r="V822" s="81"/>
      <c r="W822" s="81"/>
      <c r="X822" s="81"/>
    </row>
    <row r="823" spans="18:24" ht="12.75">
      <c r="R823" s="81"/>
      <c r="S823" s="81"/>
      <c r="T823" s="81"/>
      <c r="U823" s="81"/>
      <c r="V823" s="81"/>
      <c r="W823" s="81"/>
      <c r="X823" s="81"/>
    </row>
    <row r="824" spans="18:24" ht="12.75">
      <c r="R824" s="81"/>
      <c r="S824" s="81"/>
      <c r="T824" s="81"/>
      <c r="U824" s="81"/>
      <c r="V824" s="81"/>
      <c r="W824" s="81"/>
      <c r="X824" s="81"/>
    </row>
    <row r="825" spans="18:24" ht="12.75">
      <c r="R825" s="81"/>
      <c r="S825" s="81"/>
      <c r="T825" s="81"/>
      <c r="U825" s="81"/>
      <c r="V825" s="81"/>
      <c r="W825" s="81"/>
      <c r="X825" s="81"/>
    </row>
    <row r="826" spans="18:24" ht="12.75">
      <c r="R826" s="81"/>
      <c r="S826" s="81"/>
      <c r="T826" s="81"/>
      <c r="U826" s="81"/>
      <c r="V826" s="81"/>
      <c r="W826" s="81"/>
      <c r="X826" s="81"/>
    </row>
    <row r="827" spans="18:24" ht="12.75">
      <c r="R827" s="81"/>
      <c r="S827" s="81"/>
      <c r="T827" s="81"/>
      <c r="U827" s="81"/>
      <c r="V827" s="81"/>
      <c r="W827" s="81"/>
      <c r="X827" s="81"/>
    </row>
    <row r="828" spans="18:24" ht="12.75">
      <c r="R828" s="81"/>
      <c r="S828" s="81"/>
      <c r="T828" s="81"/>
      <c r="U828" s="81"/>
      <c r="V828" s="81"/>
      <c r="W828" s="81"/>
      <c r="X828" s="81"/>
    </row>
    <row r="829" spans="18:24" ht="12.75">
      <c r="R829" s="81"/>
      <c r="S829" s="81"/>
      <c r="T829" s="81"/>
      <c r="U829" s="81"/>
      <c r="V829" s="81"/>
      <c r="W829" s="81"/>
      <c r="X829" s="81"/>
    </row>
    <row r="830" spans="18:24" ht="12.75">
      <c r="R830" s="81"/>
      <c r="S830" s="81"/>
      <c r="T830" s="81"/>
      <c r="U830" s="81"/>
      <c r="V830" s="81"/>
      <c r="W830" s="81"/>
      <c r="X830" s="81"/>
    </row>
    <row r="831" spans="18:24" ht="12.75">
      <c r="R831" s="81"/>
      <c r="S831" s="81"/>
      <c r="T831" s="81"/>
      <c r="U831" s="81"/>
      <c r="V831" s="81"/>
      <c r="W831" s="81"/>
      <c r="X831" s="81"/>
    </row>
    <row r="832" spans="18:24" ht="12.75">
      <c r="R832" s="81"/>
      <c r="S832" s="81"/>
      <c r="T832" s="81"/>
      <c r="U832" s="81"/>
      <c r="V832" s="81"/>
      <c r="W832" s="81"/>
      <c r="X832" s="81"/>
    </row>
    <row r="833" spans="18:24" ht="12.75">
      <c r="R833" s="81"/>
      <c r="S833" s="81"/>
      <c r="T833" s="81"/>
      <c r="U833" s="81"/>
      <c r="V833" s="81"/>
      <c r="W833" s="81"/>
      <c r="X833" s="81"/>
    </row>
    <row r="834" spans="18:24" ht="12.75">
      <c r="R834" s="81"/>
      <c r="S834" s="81"/>
      <c r="T834" s="81"/>
      <c r="U834" s="81"/>
      <c r="V834" s="81"/>
      <c r="W834" s="81"/>
      <c r="X834" s="81"/>
    </row>
    <row r="835" spans="18:24" ht="12.75">
      <c r="R835" s="81"/>
      <c r="S835" s="81"/>
      <c r="T835" s="81"/>
      <c r="U835" s="81"/>
      <c r="V835" s="81"/>
      <c r="W835" s="81"/>
      <c r="X835" s="81"/>
    </row>
    <row r="836" spans="18:24" ht="12.75">
      <c r="R836" s="81"/>
      <c r="S836" s="81"/>
      <c r="T836" s="81"/>
      <c r="U836" s="81"/>
      <c r="V836" s="81"/>
      <c r="W836" s="81"/>
      <c r="X836" s="81"/>
    </row>
    <row r="837" spans="18:24" ht="12.75">
      <c r="R837" s="81"/>
      <c r="S837" s="81"/>
      <c r="T837" s="81"/>
      <c r="U837" s="81"/>
      <c r="V837" s="81"/>
      <c r="W837" s="81"/>
      <c r="X837" s="81"/>
    </row>
    <row r="838" spans="18:24" ht="12.75">
      <c r="R838" s="81"/>
      <c r="S838" s="81"/>
      <c r="T838" s="81"/>
      <c r="U838" s="81"/>
      <c r="V838" s="81"/>
      <c r="W838" s="81"/>
      <c r="X838" s="81"/>
    </row>
    <row r="839" spans="18:24" ht="12.75">
      <c r="R839" s="81"/>
      <c r="S839" s="81"/>
      <c r="T839" s="81"/>
      <c r="U839" s="81"/>
      <c r="V839" s="81"/>
      <c r="W839" s="81"/>
      <c r="X839" s="81"/>
    </row>
    <row r="840" spans="18:24" ht="12.75">
      <c r="R840" s="81"/>
      <c r="S840" s="81"/>
      <c r="T840" s="81"/>
      <c r="U840" s="81"/>
      <c r="V840" s="81"/>
      <c r="W840" s="81"/>
      <c r="X840" s="81"/>
    </row>
    <row r="841" spans="18:24" ht="12.75">
      <c r="R841" s="81"/>
      <c r="S841" s="81"/>
      <c r="T841" s="81"/>
      <c r="U841" s="81"/>
      <c r="V841" s="81"/>
      <c r="W841" s="81"/>
      <c r="X841" s="81"/>
    </row>
    <row r="842" spans="18:24" ht="12.75">
      <c r="R842" s="81"/>
      <c r="S842" s="81"/>
      <c r="T842" s="81"/>
      <c r="U842" s="81"/>
      <c r="V842" s="81"/>
      <c r="W842" s="81"/>
      <c r="X842" s="81"/>
    </row>
    <row r="843" spans="18:24" ht="12.75">
      <c r="R843" s="81"/>
      <c r="S843" s="81"/>
      <c r="T843" s="81"/>
      <c r="U843" s="81"/>
      <c r="V843" s="81"/>
      <c r="W843" s="81"/>
      <c r="X843" s="81"/>
    </row>
    <row r="844" spans="18:24" ht="12.75">
      <c r="R844" s="81"/>
      <c r="S844" s="81"/>
      <c r="T844" s="81"/>
      <c r="U844" s="81"/>
      <c r="V844" s="81"/>
      <c r="W844" s="81"/>
      <c r="X844" s="81"/>
    </row>
    <row r="845" spans="18:24" ht="12.75">
      <c r="R845" s="81"/>
      <c r="S845" s="81"/>
      <c r="T845" s="81"/>
      <c r="U845" s="81"/>
      <c r="V845" s="81"/>
      <c r="W845" s="81"/>
      <c r="X845" s="81"/>
    </row>
    <row r="846" spans="18:24" ht="12.75">
      <c r="R846" s="81"/>
      <c r="S846" s="81"/>
      <c r="T846" s="81"/>
      <c r="U846" s="81"/>
      <c r="V846" s="81"/>
      <c r="W846" s="81"/>
      <c r="X846" s="81"/>
    </row>
    <row r="847" spans="18:24" ht="12.75">
      <c r="R847" s="81"/>
      <c r="S847" s="81"/>
      <c r="T847" s="81"/>
      <c r="U847" s="81"/>
      <c r="V847" s="81"/>
      <c r="W847" s="81"/>
      <c r="X847" s="81"/>
    </row>
    <row r="848" spans="18:24" ht="12.75">
      <c r="R848" s="81"/>
      <c r="S848" s="81"/>
      <c r="T848" s="81"/>
      <c r="U848" s="81"/>
      <c r="V848" s="81"/>
      <c r="W848" s="81"/>
      <c r="X848" s="81"/>
    </row>
    <row r="849" spans="18:24" ht="12.75">
      <c r="R849" s="81"/>
      <c r="S849" s="81"/>
      <c r="T849" s="81"/>
      <c r="U849" s="81"/>
      <c r="V849" s="81"/>
      <c r="W849" s="81"/>
      <c r="X849" s="81"/>
    </row>
    <row r="850" spans="18:24" ht="12.75">
      <c r="R850" s="81"/>
      <c r="S850" s="81"/>
      <c r="T850" s="81"/>
      <c r="U850" s="81"/>
      <c r="V850" s="81"/>
      <c r="W850" s="81"/>
      <c r="X850" s="81"/>
    </row>
    <row r="851" spans="18:24" ht="12.75">
      <c r="R851" s="81"/>
      <c r="S851" s="81"/>
      <c r="T851" s="81"/>
      <c r="U851" s="81"/>
      <c r="V851" s="81"/>
      <c r="W851" s="81"/>
      <c r="X851" s="81"/>
    </row>
    <row r="852" spans="18:24" ht="12.75">
      <c r="R852" s="81"/>
      <c r="S852" s="81"/>
      <c r="T852" s="81"/>
      <c r="U852" s="81"/>
      <c r="V852" s="81"/>
      <c r="W852" s="81"/>
      <c r="X852" s="81"/>
    </row>
    <row r="853" spans="18:24" ht="12.75">
      <c r="R853" s="81"/>
      <c r="S853" s="81"/>
      <c r="T853" s="81"/>
      <c r="U853" s="81"/>
      <c r="V853" s="81"/>
      <c r="W853" s="81"/>
      <c r="X853" s="81"/>
    </row>
    <row r="854" spans="18:24" ht="12.75">
      <c r="R854" s="81"/>
      <c r="S854" s="81"/>
      <c r="T854" s="81"/>
      <c r="U854" s="81"/>
      <c r="V854" s="81"/>
      <c r="W854" s="81"/>
      <c r="X854" s="81"/>
    </row>
    <row r="855" spans="18:24" ht="12.75">
      <c r="R855" s="81"/>
      <c r="S855" s="81"/>
      <c r="T855" s="81"/>
      <c r="U855" s="81"/>
      <c r="V855" s="81"/>
      <c r="W855" s="81"/>
      <c r="X855" s="81"/>
    </row>
    <row r="856" spans="18:24" ht="12.75">
      <c r="R856" s="81"/>
      <c r="S856" s="81"/>
      <c r="T856" s="81"/>
      <c r="U856" s="81"/>
      <c r="V856" s="81"/>
      <c r="W856" s="81"/>
      <c r="X856" s="81"/>
    </row>
    <row r="857" spans="18:24" ht="12.75">
      <c r="R857" s="81"/>
      <c r="S857" s="81"/>
      <c r="T857" s="81"/>
      <c r="U857" s="81"/>
      <c r="V857" s="81"/>
      <c r="W857" s="81"/>
      <c r="X857" s="81"/>
    </row>
    <row r="858" spans="18:24" ht="12.75">
      <c r="R858" s="81"/>
      <c r="S858" s="81"/>
      <c r="T858" s="81"/>
      <c r="U858" s="81"/>
      <c r="V858" s="81"/>
      <c r="W858" s="81"/>
      <c r="X858" s="81"/>
    </row>
    <row r="859" spans="18:24" ht="12.75">
      <c r="R859" s="81"/>
      <c r="S859" s="81"/>
      <c r="T859" s="81"/>
      <c r="U859" s="81"/>
      <c r="V859" s="81"/>
      <c r="W859" s="81"/>
      <c r="X859" s="81"/>
    </row>
    <row r="860" spans="18:24" ht="12.75">
      <c r="R860" s="81"/>
      <c r="S860" s="81"/>
      <c r="T860" s="81"/>
      <c r="U860" s="81"/>
      <c r="V860" s="81"/>
      <c r="W860" s="81"/>
      <c r="X860" s="81"/>
    </row>
    <row r="861" spans="18:24" ht="12.75">
      <c r="R861" s="81"/>
      <c r="S861" s="81"/>
      <c r="T861" s="81"/>
      <c r="U861" s="81"/>
      <c r="V861" s="81"/>
      <c r="W861" s="81"/>
      <c r="X861" s="81"/>
    </row>
    <row r="862" spans="18:24" ht="12.75">
      <c r="R862" s="81"/>
      <c r="S862" s="81"/>
      <c r="T862" s="81"/>
      <c r="U862" s="81"/>
      <c r="V862" s="81"/>
      <c r="W862" s="81"/>
      <c r="X862" s="81"/>
    </row>
    <row r="863" spans="18:24" ht="12.75">
      <c r="R863" s="81"/>
      <c r="S863" s="81"/>
      <c r="T863" s="81"/>
      <c r="U863" s="81"/>
      <c r="V863" s="81"/>
      <c r="W863" s="81"/>
      <c r="X863" s="81"/>
    </row>
    <row r="864" spans="18:24" ht="12.75">
      <c r="R864" s="81"/>
      <c r="S864" s="81"/>
      <c r="T864" s="81"/>
      <c r="U864" s="81"/>
      <c r="V864" s="81"/>
      <c r="W864" s="81"/>
      <c r="X864" s="81"/>
    </row>
    <row r="865" spans="18:24" ht="12.75">
      <c r="R865" s="81"/>
      <c r="S865" s="81"/>
      <c r="T865" s="81"/>
      <c r="U865" s="81"/>
      <c r="V865" s="81"/>
      <c r="W865" s="81"/>
      <c r="X865" s="81"/>
    </row>
    <row r="866" spans="18:24" ht="12.75">
      <c r="R866" s="81"/>
      <c r="S866" s="81"/>
      <c r="T866" s="81"/>
      <c r="U866" s="81"/>
      <c r="V866" s="81"/>
      <c r="W866" s="81"/>
      <c r="X866" s="81"/>
    </row>
    <row r="867" spans="18:24" ht="12.75">
      <c r="R867" s="81"/>
      <c r="S867" s="81"/>
      <c r="T867" s="81"/>
      <c r="U867" s="81"/>
      <c r="V867" s="81"/>
      <c r="W867" s="81"/>
      <c r="X867" s="81"/>
    </row>
    <row r="868" spans="18:24" ht="12.75">
      <c r="R868" s="81"/>
      <c r="S868" s="81"/>
      <c r="T868" s="81"/>
      <c r="U868" s="81"/>
      <c r="V868" s="81"/>
      <c r="W868" s="81"/>
      <c r="X868" s="81"/>
    </row>
    <row r="869" spans="18:24" ht="12.75">
      <c r="R869" s="81"/>
      <c r="S869" s="81"/>
      <c r="T869" s="81"/>
      <c r="U869" s="81"/>
      <c r="V869" s="81"/>
      <c r="W869" s="81"/>
      <c r="X869" s="81"/>
    </row>
    <row r="870" spans="18:24" ht="12.75">
      <c r="R870" s="81"/>
      <c r="S870" s="81"/>
      <c r="T870" s="81"/>
      <c r="U870" s="81"/>
      <c r="V870" s="81"/>
      <c r="W870" s="81"/>
      <c r="X870" s="81"/>
    </row>
    <row r="871" spans="18:24" ht="12.75">
      <c r="R871" s="81"/>
      <c r="S871" s="81"/>
      <c r="T871" s="81"/>
      <c r="U871" s="81"/>
      <c r="V871" s="81"/>
      <c r="W871" s="81"/>
      <c r="X871" s="81"/>
    </row>
    <row r="872" spans="18:24" ht="12.75">
      <c r="R872" s="81"/>
      <c r="S872" s="81"/>
      <c r="T872" s="81"/>
      <c r="U872" s="81"/>
      <c r="V872" s="81"/>
      <c r="W872" s="81"/>
      <c r="X872" s="81"/>
    </row>
    <row r="873" spans="18:24" ht="12.75">
      <c r="R873" s="81"/>
      <c r="S873" s="81"/>
      <c r="T873" s="81"/>
      <c r="U873" s="81"/>
      <c r="V873" s="81"/>
      <c r="W873" s="81"/>
      <c r="X873" s="81"/>
    </row>
    <row r="874" spans="18:24" ht="12.75">
      <c r="R874" s="81"/>
      <c r="S874" s="81"/>
      <c r="T874" s="81"/>
      <c r="U874" s="81"/>
      <c r="V874" s="81"/>
      <c r="W874" s="81"/>
      <c r="X874" s="81"/>
    </row>
    <row r="875" spans="18:24" ht="12.75">
      <c r="R875" s="81"/>
      <c r="S875" s="81"/>
      <c r="T875" s="81"/>
      <c r="U875" s="81"/>
      <c r="V875" s="81"/>
      <c r="W875" s="81"/>
      <c r="X875" s="81"/>
    </row>
    <row r="876" spans="18:24" ht="12.75">
      <c r="R876" s="81"/>
      <c r="S876" s="81"/>
      <c r="T876" s="81"/>
      <c r="U876" s="81"/>
      <c r="V876" s="81"/>
      <c r="W876" s="81"/>
      <c r="X876" s="81"/>
    </row>
    <row r="877" spans="18:24" ht="12.75">
      <c r="R877" s="81"/>
      <c r="S877" s="81"/>
      <c r="T877" s="81"/>
      <c r="U877" s="81"/>
      <c r="V877" s="81"/>
      <c r="W877" s="81"/>
      <c r="X877" s="81"/>
    </row>
    <row r="878" spans="18:24" ht="12.75">
      <c r="R878" s="81"/>
      <c r="S878" s="81"/>
      <c r="T878" s="81"/>
      <c r="U878" s="81"/>
      <c r="V878" s="81"/>
      <c r="W878" s="81"/>
      <c r="X878" s="81"/>
    </row>
    <row r="879" spans="18:24" ht="12.75">
      <c r="R879" s="81"/>
      <c r="S879" s="81"/>
      <c r="T879" s="81"/>
      <c r="U879" s="81"/>
      <c r="V879" s="81"/>
      <c r="W879" s="81"/>
      <c r="X879" s="81"/>
    </row>
    <row r="880" spans="18:24" ht="12.75">
      <c r="R880" s="81"/>
      <c r="S880" s="81"/>
      <c r="T880" s="81"/>
      <c r="U880" s="81"/>
      <c r="V880" s="81"/>
      <c r="W880" s="81"/>
      <c r="X880" s="81"/>
    </row>
    <row r="881" spans="18:24" ht="12.75">
      <c r="R881" s="81"/>
      <c r="S881" s="81"/>
      <c r="T881" s="81"/>
      <c r="U881" s="81"/>
      <c r="V881" s="81"/>
      <c r="W881" s="81"/>
      <c r="X881" s="81"/>
    </row>
    <row r="882" spans="18:24" ht="12.75">
      <c r="R882" s="81"/>
      <c r="S882" s="81"/>
      <c r="T882" s="81"/>
      <c r="U882" s="81"/>
      <c r="V882" s="81"/>
      <c r="W882" s="81"/>
      <c r="X882" s="81"/>
    </row>
    <row r="883" spans="18:24" ht="12.75">
      <c r="R883" s="81"/>
      <c r="S883" s="81"/>
      <c r="T883" s="81"/>
      <c r="U883" s="81"/>
      <c r="V883" s="81"/>
      <c r="W883" s="81"/>
      <c r="X883" s="81"/>
    </row>
    <row r="884" spans="18:24" ht="12.75">
      <c r="R884" s="81"/>
      <c r="S884" s="81"/>
      <c r="T884" s="81"/>
      <c r="U884" s="81"/>
      <c r="V884" s="81"/>
      <c r="W884" s="81"/>
      <c r="X884" s="81"/>
    </row>
    <row r="885" spans="18:24" ht="12.75">
      <c r="R885" s="81"/>
      <c r="S885" s="81"/>
      <c r="T885" s="81"/>
      <c r="U885" s="81"/>
      <c r="V885" s="81"/>
      <c r="W885" s="81"/>
      <c r="X885" s="81"/>
    </row>
    <row r="886" spans="18:24" ht="12.75">
      <c r="R886" s="81"/>
      <c r="S886" s="81"/>
      <c r="T886" s="81"/>
      <c r="U886" s="81"/>
      <c r="V886" s="81"/>
      <c r="W886" s="81"/>
      <c r="X886" s="81"/>
    </row>
    <row r="887" spans="18:24" ht="12.75">
      <c r="R887" s="81"/>
      <c r="S887" s="81"/>
      <c r="T887" s="81"/>
      <c r="U887" s="81"/>
      <c r="V887" s="81"/>
      <c r="W887" s="81"/>
      <c r="X887" s="81"/>
    </row>
    <row r="888" spans="18:24" ht="12.75">
      <c r="R888" s="81"/>
      <c r="S888" s="81"/>
      <c r="T888" s="81"/>
      <c r="U888" s="81"/>
      <c r="V888" s="81"/>
      <c r="W888" s="81"/>
      <c r="X888" s="81"/>
    </row>
    <row r="889" spans="18:24" ht="12.75">
      <c r="R889" s="81"/>
      <c r="S889" s="81"/>
      <c r="T889" s="81"/>
      <c r="U889" s="81"/>
      <c r="V889" s="81"/>
      <c r="W889" s="81"/>
      <c r="X889" s="81"/>
    </row>
    <row r="890" spans="18:24" ht="12.75">
      <c r="R890" s="81"/>
      <c r="S890" s="81"/>
      <c r="T890" s="81"/>
      <c r="U890" s="81"/>
      <c r="V890" s="81"/>
      <c r="W890" s="81"/>
      <c r="X890" s="81"/>
    </row>
    <row r="891" spans="18:24" ht="12.75">
      <c r="R891" s="81"/>
      <c r="S891" s="81"/>
      <c r="T891" s="81"/>
      <c r="U891" s="81"/>
      <c r="V891" s="81"/>
      <c r="W891" s="81"/>
      <c r="X891" s="81"/>
    </row>
    <row r="892" spans="18:24" ht="12.75">
      <c r="R892" s="81"/>
      <c r="S892" s="81"/>
      <c r="T892" s="81"/>
      <c r="U892" s="81"/>
      <c r="V892" s="81"/>
      <c r="W892" s="81"/>
      <c r="X892" s="81"/>
    </row>
    <row r="893" spans="18:24" ht="12.75">
      <c r="R893" s="81"/>
      <c r="S893" s="81"/>
      <c r="T893" s="81"/>
      <c r="U893" s="81"/>
      <c r="V893" s="81"/>
      <c r="W893" s="81"/>
      <c r="X893" s="81"/>
    </row>
    <row r="894" spans="18:24" ht="12.75">
      <c r="R894" s="81"/>
      <c r="S894" s="81"/>
      <c r="T894" s="81"/>
      <c r="U894" s="81"/>
      <c r="V894" s="81"/>
      <c r="W894" s="81"/>
      <c r="X894" s="81"/>
    </row>
    <row r="895" spans="18:24" ht="12.75">
      <c r="R895" s="81"/>
      <c r="S895" s="81"/>
      <c r="T895" s="81"/>
      <c r="U895" s="81"/>
      <c r="V895" s="81"/>
      <c r="W895" s="81"/>
      <c r="X895" s="81"/>
    </row>
    <row r="896" spans="18:24" ht="12.75">
      <c r="R896" s="81"/>
      <c r="S896" s="81"/>
      <c r="T896" s="81"/>
      <c r="U896" s="81"/>
      <c r="V896" s="81"/>
      <c r="W896" s="81"/>
      <c r="X896" s="81"/>
    </row>
    <row r="897" spans="18:24" ht="12.75">
      <c r="R897" s="81"/>
      <c r="S897" s="81"/>
      <c r="T897" s="81"/>
      <c r="U897" s="81"/>
      <c r="V897" s="81"/>
      <c r="W897" s="81"/>
      <c r="X897" s="81"/>
    </row>
    <row r="898" spans="18:24" ht="12.75">
      <c r="R898" s="81"/>
      <c r="S898" s="81"/>
      <c r="T898" s="81"/>
      <c r="U898" s="81"/>
      <c r="V898" s="81"/>
      <c r="W898" s="81"/>
      <c r="X898" s="81"/>
    </row>
    <row r="899" spans="18:24" ht="12.75">
      <c r="R899" s="81"/>
      <c r="S899" s="81"/>
      <c r="T899" s="81"/>
      <c r="U899" s="81"/>
      <c r="V899" s="81"/>
      <c r="W899" s="81"/>
      <c r="X899" s="81"/>
    </row>
    <row r="900" spans="18:24" ht="12.75">
      <c r="R900" s="81"/>
      <c r="S900" s="81"/>
      <c r="T900" s="81"/>
      <c r="U900" s="81"/>
      <c r="V900" s="81"/>
      <c r="W900" s="81"/>
      <c r="X900" s="81"/>
    </row>
    <row r="901" spans="18:24" ht="12.75">
      <c r="R901" s="81"/>
      <c r="S901" s="81"/>
      <c r="T901" s="81"/>
      <c r="U901" s="81"/>
      <c r="V901" s="81"/>
      <c r="W901" s="81"/>
      <c r="X901" s="81"/>
    </row>
    <row r="902" spans="18:24" ht="12.75">
      <c r="R902" s="81"/>
      <c r="S902" s="81"/>
      <c r="T902" s="81"/>
      <c r="U902" s="81"/>
      <c r="V902" s="81"/>
      <c r="W902" s="81"/>
      <c r="X902" s="81"/>
    </row>
    <row r="903" spans="18:24" ht="12.75">
      <c r="R903" s="81"/>
      <c r="S903" s="81"/>
      <c r="T903" s="81"/>
      <c r="U903" s="81"/>
      <c r="V903" s="81"/>
      <c r="W903" s="81"/>
      <c r="X903" s="81"/>
    </row>
    <row r="904" spans="18:24" ht="12.75">
      <c r="R904" s="81"/>
      <c r="S904" s="81"/>
      <c r="T904" s="81"/>
      <c r="U904" s="81"/>
      <c r="V904" s="81"/>
      <c r="W904" s="81"/>
      <c r="X904" s="81"/>
    </row>
    <row r="905" spans="18:24" ht="12.75">
      <c r="R905" s="81"/>
      <c r="S905" s="81"/>
      <c r="T905" s="81"/>
      <c r="U905" s="81"/>
      <c r="V905" s="81"/>
      <c r="W905" s="81"/>
      <c r="X905" s="81"/>
    </row>
    <row r="906" spans="18:24" ht="12.75">
      <c r="R906" s="81"/>
      <c r="S906" s="81"/>
      <c r="T906" s="81"/>
      <c r="U906" s="81"/>
      <c r="V906" s="81"/>
      <c r="W906" s="81"/>
      <c r="X906" s="81"/>
    </row>
    <row r="907" spans="18:24" ht="12.75">
      <c r="R907" s="81"/>
      <c r="S907" s="81"/>
      <c r="T907" s="81"/>
      <c r="U907" s="81"/>
      <c r="V907" s="81"/>
      <c r="W907" s="81"/>
      <c r="X907" s="81"/>
    </row>
    <row r="908" spans="18:24" ht="12.75">
      <c r="R908" s="81"/>
      <c r="S908" s="81"/>
      <c r="T908" s="81"/>
      <c r="U908" s="81"/>
      <c r="V908" s="81"/>
      <c r="W908" s="81"/>
      <c r="X908" s="81"/>
    </row>
    <row r="909" spans="18:24" ht="12.75">
      <c r="R909" s="81"/>
      <c r="S909" s="81"/>
      <c r="T909" s="81"/>
      <c r="U909" s="81"/>
      <c r="V909" s="81"/>
      <c r="W909" s="81"/>
      <c r="X909" s="81"/>
    </row>
    <row r="910" spans="18:24" ht="12.75">
      <c r="R910" s="81"/>
      <c r="S910" s="81"/>
      <c r="T910" s="81"/>
      <c r="U910" s="81"/>
      <c r="V910" s="81"/>
      <c r="W910" s="81"/>
      <c r="X910" s="81"/>
    </row>
    <row r="911" spans="18:24" ht="12.75">
      <c r="R911" s="81"/>
      <c r="S911" s="81"/>
      <c r="T911" s="81"/>
      <c r="U911" s="81"/>
      <c r="V911" s="81"/>
      <c r="W911" s="81"/>
      <c r="X911" s="81"/>
    </row>
    <row r="912" spans="18:24" ht="12.75">
      <c r="R912" s="81"/>
      <c r="S912" s="81"/>
      <c r="T912" s="81"/>
      <c r="U912" s="81"/>
      <c r="V912" s="81"/>
      <c r="W912" s="81"/>
      <c r="X912" s="81"/>
    </row>
    <row r="913" spans="18:24" ht="12.75">
      <c r="R913" s="81"/>
      <c r="S913" s="81"/>
      <c r="T913" s="81"/>
      <c r="U913" s="81"/>
      <c r="V913" s="81"/>
      <c r="W913" s="81"/>
      <c r="X913" s="81"/>
    </row>
    <row r="914" spans="18:24" ht="12.75">
      <c r="R914" s="81"/>
      <c r="S914" s="81"/>
      <c r="T914" s="81"/>
      <c r="U914" s="81"/>
      <c r="V914" s="81"/>
      <c r="W914" s="81"/>
      <c r="X914" s="81"/>
    </row>
    <row r="915" spans="18:24" ht="12.75">
      <c r="R915" s="81"/>
      <c r="S915" s="81"/>
      <c r="T915" s="81"/>
      <c r="U915" s="81"/>
      <c r="V915" s="81"/>
      <c r="W915" s="81"/>
      <c r="X915" s="81"/>
    </row>
    <row r="916" spans="18:24" ht="12.75">
      <c r="R916" s="81"/>
      <c r="S916" s="81"/>
      <c r="T916" s="81"/>
      <c r="U916" s="81"/>
      <c r="V916" s="81"/>
      <c r="W916" s="81"/>
      <c r="X916" s="81"/>
    </row>
    <row r="917" spans="18:24" ht="12.75">
      <c r="R917" s="81"/>
      <c r="S917" s="81"/>
      <c r="T917" s="81"/>
      <c r="U917" s="81"/>
      <c r="V917" s="81"/>
      <c r="W917" s="81"/>
      <c r="X917" s="81"/>
    </row>
    <row r="918" spans="18:24" ht="12.75">
      <c r="R918" s="81"/>
      <c r="S918" s="81"/>
      <c r="T918" s="81"/>
      <c r="U918" s="81"/>
      <c r="V918" s="81"/>
      <c r="W918" s="81"/>
      <c r="X918" s="81"/>
    </row>
    <row r="919" spans="18:24" ht="12.75">
      <c r="R919" s="81"/>
      <c r="S919" s="81"/>
      <c r="T919" s="81"/>
      <c r="U919" s="81"/>
      <c r="V919" s="81"/>
      <c r="W919" s="81"/>
      <c r="X919" s="81"/>
    </row>
    <row r="920" spans="18:24" ht="12.75">
      <c r="R920" s="81"/>
      <c r="S920" s="81"/>
      <c r="T920" s="81"/>
      <c r="U920" s="81"/>
      <c r="V920" s="81"/>
      <c r="W920" s="81"/>
      <c r="X920" s="81"/>
    </row>
    <row r="921" spans="18:24" ht="12.75">
      <c r="R921" s="81"/>
      <c r="S921" s="81"/>
      <c r="T921" s="81"/>
      <c r="U921" s="81"/>
      <c r="V921" s="81"/>
      <c r="W921" s="81"/>
      <c r="X921" s="81"/>
    </row>
    <row r="922" spans="18:24" ht="12.75">
      <c r="R922" s="81"/>
      <c r="S922" s="81"/>
      <c r="T922" s="81"/>
      <c r="U922" s="81"/>
      <c r="V922" s="81"/>
      <c r="W922" s="81"/>
      <c r="X922" s="81"/>
    </row>
    <row r="923" spans="18:24" ht="12.75">
      <c r="R923" s="81"/>
      <c r="S923" s="81"/>
      <c r="T923" s="81"/>
      <c r="U923" s="81"/>
      <c r="V923" s="81"/>
      <c r="W923" s="81"/>
      <c r="X923" s="81"/>
    </row>
    <row r="924" spans="18:24" ht="12.75">
      <c r="R924" s="81"/>
      <c r="S924" s="81"/>
      <c r="T924" s="81"/>
      <c r="U924" s="81"/>
      <c r="V924" s="81"/>
      <c r="W924" s="81"/>
      <c r="X924" s="81"/>
    </row>
    <row r="925" spans="18:24" ht="12.75">
      <c r="R925" s="81"/>
      <c r="S925" s="81"/>
      <c r="T925" s="81"/>
      <c r="U925" s="81"/>
      <c r="V925" s="81"/>
      <c r="W925" s="81"/>
      <c r="X925" s="81"/>
    </row>
    <row r="926" spans="18:24" ht="12.75">
      <c r="R926" s="81"/>
      <c r="S926" s="81"/>
      <c r="T926" s="81"/>
      <c r="U926" s="81"/>
      <c r="V926" s="81"/>
      <c r="W926" s="81"/>
      <c r="X926" s="81"/>
    </row>
    <row r="927" spans="18:24" ht="12.75">
      <c r="R927" s="81"/>
      <c r="S927" s="81"/>
      <c r="T927" s="81"/>
      <c r="U927" s="81"/>
      <c r="V927" s="81"/>
      <c r="W927" s="81"/>
      <c r="X927" s="81"/>
    </row>
    <row r="928" spans="18:24" ht="12.75">
      <c r="R928" s="81"/>
      <c r="S928" s="81"/>
      <c r="T928" s="81"/>
      <c r="U928" s="81"/>
      <c r="V928" s="81"/>
      <c r="W928" s="81"/>
      <c r="X928" s="81"/>
    </row>
    <row r="929" spans="18:24" ht="12.75">
      <c r="R929" s="81"/>
      <c r="S929" s="81"/>
      <c r="T929" s="81"/>
      <c r="U929" s="81"/>
      <c r="V929" s="81"/>
      <c r="W929" s="81"/>
      <c r="X929" s="81"/>
    </row>
    <row r="930" spans="18:24" ht="12.75">
      <c r="R930" s="81"/>
      <c r="S930" s="81"/>
      <c r="T930" s="81"/>
      <c r="U930" s="81"/>
      <c r="V930" s="81"/>
      <c r="W930" s="81"/>
      <c r="X930" s="81"/>
    </row>
    <row r="931" spans="18:24" ht="12.75">
      <c r="R931" s="81"/>
      <c r="S931" s="81"/>
      <c r="T931" s="81"/>
      <c r="U931" s="81"/>
      <c r="V931" s="81"/>
      <c r="W931" s="81"/>
      <c r="X931" s="81"/>
    </row>
    <row r="932" spans="18:24" ht="12.75">
      <c r="R932" s="81"/>
      <c r="S932" s="81"/>
      <c r="T932" s="81"/>
      <c r="U932" s="81"/>
      <c r="V932" s="81"/>
      <c r="W932" s="81"/>
      <c r="X932" s="81"/>
    </row>
    <row r="933" spans="18:24" ht="12.75">
      <c r="R933" s="81"/>
      <c r="S933" s="81"/>
      <c r="T933" s="81"/>
      <c r="U933" s="81"/>
      <c r="V933" s="81"/>
      <c r="W933" s="81"/>
      <c r="X933" s="81"/>
    </row>
    <row r="934" spans="18:24" ht="12.75">
      <c r="R934" s="81"/>
      <c r="S934" s="81"/>
      <c r="T934" s="81"/>
      <c r="U934" s="81"/>
      <c r="V934" s="81"/>
      <c r="W934" s="81"/>
      <c r="X934" s="81"/>
    </row>
    <row r="935" spans="18:24" ht="12.75">
      <c r="R935" s="81"/>
      <c r="S935" s="81"/>
      <c r="T935" s="81"/>
      <c r="U935" s="81"/>
      <c r="V935" s="81"/>
      <c r="W935" s="81"/>
      <c r="X935" s="81"/>
    </row>
    <row r="936" spans="18:24" ht="12.75">
      <c r="R936" s="81"/>
      <c r="S936" s="81"/>
      <c r="T936" s="81"/>
      <c r="U936" s="81"/>
      <c r="V936" s="81"/>
      <c r="W936" s="81"/>
      <c r="X936" s="81"/>
    </row>
    <row r="937" spans="18:24" ht="12.75">
      <c r="R937" s="81"/>
      <c r="S937" s="81"/>
      <c r="T937" s="81"/>
      <c r="U937" s="81"/>
      <c r="V937" s="81"/>
      <c r="W937" s="81"/>
      <c r="X937" s="81"/>
    </row>
    <row r="938" spans="18:24" ht="12.75">
      <c r="R938" s="81"/>
      <c r="S938" s="81"/>
      <c r="T938" s="81"/>
      <c r="U938" s="81"/>
      <c r="V938" s="81"/>
      <c r="W938" s="81"/>
      <c r="X938" s="81"/>
    </row>
    <row r="939" spans="18:24" ht="12.75">
      <c r="R939" s="81"/>
      <c r="S939" s="81"/>
      <c r="T939" s="81"/>
      <c r="U939" s="81"/>
      <c r="V939" s="81"/>
      <c r="W939" s="81"/>
      <c r="X939" s="81"/>
    </row>
    <row r="940" spans="18:24" ht="12.75">
      <c r="R940" s="81"/>
      <c r="S940" s="81"/>
      <c r="T940" s="81"/>
      <c r="U940" s="81"/>
      <c r="V940" s="81"/>
      <c r="W940" s="81"/>
      <c r="X940" s="81"/>
    </row>
    <row r="941" spans="18:24" ht="12.75">
      <c r="R941" s="81"/>
      <c r="S941" s="81"/>
      <c r="T941" s="81"/>
      <c r="U941" s="81"/>
      <c r="V941" s="81"/>
      <c r="W941" s="81"/>
      <c r="X941" s="81"/>
    </row>
    <row r="942" spans="18:24" ht="12.75">
      <c r="R942" s="81"/>
      <c r="S942" s="81"/>
      <c r="T942" s="81"/>
      <c r="U942" s="81"/>
      <c r="V942" s="81"/>
      <c r="W942" s="81"/>
      <c r="X942" s="81"/>
    </row>
    <row r="943" spans="18:24" ht="12.75">
      <c r="R943" s="81"/>
      <c r="S943" s="81"/>
      <c r="T943" s="81"/>
      <c r="U943" s="81"/>
      <c r="V943" s="81"/>
      <c r="W943" s="81"/>
      <c r="X943" s="81"/>
    </row>
    <row r="944" spans="18:24" ht="12.75">
      <c r="R944" s="81"/>
      <c r="S944" s="81"/>
      <c r="T944" s="81"/>
      <c r="U944" s="81"/>
      <c r="V944" s="81"/>
      <c r="W944" s="81"/>
      <c r="X944" s="81"/>
    </row>
    <row r="945" spans="18:24" ht="12.75">
      <c r="R945" s="81"/>
      <c r="S945" s="81"/>
      <c r="T945" s="81"/>
      <c r="U945" s="81"/>
      <c r="V945" s="81"/>
      <c r="W945" s="81"/>
      <c r="X945" s="81"/>
    </row>
    <row r="946" spans="18:24" ht="12.75">
      <c r="R946" s="81"/>
      <c r="S946" s="81"/>
      <c r="T946" s="81"/>
      <c r="U946" s="81"/>
      <c r="V946" s="81"/>
      <c r="W946" s="81"/>
      <c r="X946" s="81"/>
    </row>
    <row r="947" spans="18:24" ht="12.75">
      <c r="R947" s="81"/>
      <c r="S947" s="81"/>
      <c r="T947" s="81"/>
      <c r="U947" s="81"/>
      <c r="V947" s="81"/>
      <c r="W947" s="81"/>
      <c r="X947" s="81"/>
    </row>
    <row r="948" spans="18:24" ht="12.75">
      <c r="R948" s="81"/>
      <c r="S948" s="81"/>
      <c r="T948" s="81"/>
      <c r="U948" s="81"/>
      <c r="V948" s="81"/>
      <c r="W948" s="81"/>
      <c r="X948" s="81"/>
    </row>
    <row r="949" spans="18:24" ht="12.75">
      <c r="R949" s="81"/>
      <c r="S949" s="81"/>
      <c r="T949" s="81"/>
      <c r="U949" s="81"/>
      <c r="V949" s="81"/>
      <c r="W949" s="81"/>
      <c r="X949" s="81"/>
    </row>
    <row r="950" spans="18:24" ht="12.75">
      <c r="R950" s="81"/>
      <c r="S950" s="81"/>
      <c r="T950" s="81"/>
      <c r="U950" s="81"/>
      <c r="V950" s="81"/>
      <c r="W950" s="81"/>
      <c r="X950" s="81"/>
    </row>
    <row r="951" spans="18:24" ht="12.75">
      <c r="R951" s="81"/>
      <c r="S951" s="81"/>
      <c r="T951" s="81"/>
      <c r="U951" s="81"/>
      <c r="V951" s="81"/>
      <c r="W951" s="81"/>
      <c r="X951" s="81"/>
    </row>
    <row r="952" spans="18:24" ht="12.75">
      <c r="R952" s="81"/>
      <c r="S952" s="81"/>
      <c r="T952" s="81"/>
      <c r="U952" s="81"/>
      <c r="V952" s="81"/>
      <c r="W952" s="81"/>
      <c r="X952" s="81"/>
    </row>
    <row r="953" spans="18:24" ht="12.75">
      <c r="R953" s="81"/>
      <c r="S953" s="81"/>
      <c r="T953" s="81"/>
      <c r="U953" s="81"/>
      <c r="V953" s="81"/>
      <c r="W953" s="81"/>
      <c r="X953" s="81"/>
    </row>
    <row r="954" spans="18:24" ht="12.75">
      <c r="R954" s="81"/>
      <c r="S954" s="81"/>
      <c r="T954" s="81"/>
      <c r="U954" s="81"/>
      <c r="V954" s="81"/>
      <c r="W954" s="81"/>
      <c r="X954" s="81"/>
    </row>
    <row r="955" spans="18:24" ht="12.75">
      <c r="R955" s="81"/>
      <c r="S955" s="81"/>
      <c r="T955" s="81"/>
      <c r="U955" s="81"/>
      <c r="V955" s="81"/>
      <c r="W955" s="81"/>
      <c r="X955" s="81"/>
    </row>
    <row r="956" spans="18:24" ht="12.75">
      <c r="R956" s="81"/>
      <c r="S956" s="81"/>
      <c r="T956" s="81"/>
      <c r="U956" s="81"/>
      <c r="V956" s="81"/>
      <c r="W956" s="81"/>
      <c r="X956" s="81"/>
    </row>
    <row r="957" spans="18:24" ht="12.75">
      <c r="R957" s="81"/>
      <c r="S957" s="81"/>
      <c r="T957" s="81"/>
      <c r="U957" s="81"/>
      <c r="V957" s="81"/>
      <c r="W957" s="81"/>
      <c r="X957" s="81"/>
    </row>
  </sheetData>
  <sheetProtection/>
  <mergeCells count="24">
    <mergeCell ref="B3:P3"/>
    <mergeCell ref="E5:E7"/>
    <mergeCell ref="L6:L7"/>
    <mergeCell ref="R6:R7"/>
    <mergeCell ref="I6:I7"/>
    <mergeCell ref="J6:J7"/>
    <mergeCell ref="G5:L5"/>
    <mergeCell ref="H6:H7"/>
    <mergeCell ref="B230:C230"/>
    <mergeCell ref="B2:R2"/>
    <mergeCell ref="P6:P7"/>
    <mergeCell ref="M6:M7"/>
    <mergeCell ref="N6:N7"/>
    <mergeCell ref="O6:O7"/>
    <mergeCell ref="Q5:R5"/>
    <mergeCell ref="G6:G7"/>
    <mergeCell ref="B222:C222"/>
    <mergeCell ref="A5:D7"/>
    <mergeCell ref="B226:C226"/>
    <mergeCell ref="Q6:Q7"/>
    <mergeCell ref="M5:P5"/>
    <mergeCell ref="K6:K7"/>
    <mergeCell ref="B218:C218"/>
    <mergeCell ref="F5:F7"/>
  </mergeCells>
  <printOptions horizontalCentered="1"/>
  <pageMargins left="0.1968503937007874" right="0.1968503937007874" top="0.35433070866141736" bottom="0.2755905511811024" header="0.15748031496062992" footer="0.15748031496062992"/>
  <pageSetup horizontalDpi="600" verticalDpi="600" orientation="landscape" paperSize="9" scale="48" r:id="rId1"/>
  <headerFooter alignWithMargins="0">
    <oddHeader>&amp;L 5. melléklet a 18/2014.(IX.1.) önkormányzati rendelethez
"5. melléklet az 1/2014.(I.31.) önkormányzati rendelethez"</oddHeader>
  </headerFooter>
  <rowBreaks count="2" manualBreakCount="2">
    <brk id="79" max="17" man="1"/>
    <brk id="154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19"/>
  <sheetViews>
    <sheetView view="pageLayout" zoomScaleSheetLayoutView="100" workbookViewId="0" topLeftCell="A1">
      <selection activeCell="C2" sqref="C2"/>
    </sheetView>
  </sheetViews>
  <sheetFormatPr defaultColWidth="11.625" defaultRowHeight="12.75"/>
  <cols>
    <col min="1" max="1" width="12.75390625" style="70" customWidth="1"/>
    <col min="2" max="2" width="8.00390625" style="74" customWidth="1"/>
    <col min="3" max="3" width="95.75390625" style="70" customWidth="1"/>
    <col min="4" max="4" width="11.25390625" style="71" customWidth="1"/>
    <col min="5" max="5" width="9.25390625" style="72" customWidth="1"/>
    <col min="6" max="6" width="9.00390625" style="70" customWidth="1"/>
    <col min="7" max="7" width="9.75390625" style="70" customWidth="1"/>
    <col min="8" max="8" width="11.125" style="70" customWidth="1"/>
    <col min="9" max="9" width="9.625" style="70" customWidth="1"/>
    <col min="10" max="10" width="9.375" style="70" customWidth="1"/>
    <col min="11" max="12" width="10.125" style="70" customWidth="1"/>
    <col min="13" max="13" width="9.375" style="70" customWidth="1"/>
    <col min="14" max="14" width="9.25390625" style="70" customWidth="1"/>
    <col min="15" max="15" width="10.875" style="73" customWidth="1"/>
    <col min="16" max="16" width="11.25390625" style="70" customWidth="1"/>
    <col min="17" max="18" width="10.875" style="70" customWidth="1"/>
    <col min="19" max="16384" width="11.625" style="164" customWidth="1"/>
  </cols>
  <sheetData>
    <row r="1" spans="2:3" ht="12.75">
      <c r="B1" s="1019"/>
      <c r="C1" s="1019"/>
    </row>
    <row r="3" spans="2:18" ht="14.25">
      <c r="B3" s="1021" t="s">
        <v>212</v>
      </c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942"/>
      <c r="R3" s="942"/>
    </row>
    <row r="4" spans="2:17" ht="15">
      <c r="B4" s="1020"/>
      <c r="C4" s="1020"/>
      <c r="D4" s="1020"/>
      <c r="E4" s="1020"/>
      <c r="F4" s="1020"/>
      <c r="G4" s="1020"/>
      <c r="H4" s="1020"/>
      <c r="I4" s="1020"/>
      <c r="J4" s="1020"/>
      <c r="K4" s="1020"/>
      <c r="L4" s="1020"/>
      <c r="M4" s="1020"/>
      <c r="N4" s="1020"/>
      <c r="O4" s="1020"/>
      <c r="P4" s="1020"/>
      <c r="Q4" s="75"/>
    </row>
    <row r="5" spans="14:18" ht="13.5" thickBot="1">
      <c r="N5" s="72"/>
      <c r="O5" s="76"/>
      <c r="P5" s="76"/>
      <c r="Q5" s="76"/>
      <c r="R5" s="76" t="s">
        <v>579</v>
      </c>
    </row>
    <row r="6" spans="1:18" ht="18" customHeight="1">
      <c r="A6" s="1026" t="s">
        <v>122</v>
      </c>
      <c r="B6" s="996"/>
      <c r="C6" s="996"/>
      <c r="D6" s="996"/>
      <c r="E6" s="1012" t="s">
        <v>580</v>
      </c>
      <c r="F6" s="996" t="s">
        <v>581</v>
      </c>
      <c r="G6" s="991" t="s">
        <v>582</v>
      </c>
      <c r="H6" s="991"/>
      <c r="I6" s="991"/>
      <c r="J6" s="991"/>
      <c r="K6" s="991"/>
      <c r="L6" s="991"/>
      <c r="M6" s="991" t="s">
        <v>583</v>
      </c>
      <c r="N6" s="991"/>
      <c r="O6" s="991"/>
      <c r="P6" s="991"/>
      <c r="Q6" s="991" t="s">
        <v>524</v>
      </c>
      <c r="R6" s="1001"/>
    </row>
    <row r="7" spans="1:18" ht="25.5" customHeight="1">
      <c r="A7" s="1027"/>
      <c r="B7" s="997"/>
      <c r="C7" s="997"/>
      <c r="D7" s="997"/>
      <c r="E7" s="1013"/>
      <c r="F7" s="997"/>
      <c r="G7" s="993" t="s">
        <v>584</v>
      </c>
      <c r="H7" s="993" t="s">
        <v>585</v>
      </c>
      <c r="I7" s="993" t="s">
        <v>586</v>
      </c>
      <c r="J7" s="993" t="s">
        <v>41</v>
      </c>
      <c r="K7" s="993" t="s">
        <v>40</v>
      </c>
      <c r="L7" s="993" t="s">
        <v>153</v>
      </c>
      <c r="M7" s="997" t="s">
        <v>527</v>
      </c>
      <c r="N7" s="997" t="s">
        <v>526</v>
      </c>
      <c r="O7" s="993" t="s">
        <v>67</v>
      </c>
      <c r="P7" s="989" t="s">
        <v>479</v>
      </c>
      <c r="Q7" s="989" t="s">
        <v>587</v>
      </c>
      <c r="R7" s="1017" t="s">
        <v>480</v>
      </c>
    </row>
    <row r="8" spans="1:18" ht="30" customHeight="1" thickBot="1">
      <c r="A8" s="1028"/>
      <c r="B8" s="998"/>
      <c r="C8" s="998"/>
      <c r="D8" s="998"/>
      <c r="E8" s="1014"/>
      <c r="F8" s="998"/>
      <c r="G8" s="994"/>
      <c r="H8" s="994"/>
      <c r="I8" s="994"/>
      <c r="J8" s="994"/>
      <c r="K8" s="994"/>
      <c r="L8" s="994"/>
      <c r="M8" s="998"/>
      <c r="N8" s="998"/>
      <c r="O8" s="994"/>
      <c r="P8" s="994"/>
      <c r="Q8" s="994"/>
      <c r="R8" s="1018"/>
    </row>
    <row r="9" spans="1:18" ht="12.75">
      <c r="A9" s="1024" t="s">
        <v>141</v>
      </c>
      <c r="B9" s="1025"/>
      <c r="C9" s="1025"/>
      <c r="D9" s="197"/>
      <c r="E9" s="77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198"/>
    </row>
    <row r="10" spans="1:18" ht="12.75">
      <c r="A10" s="180" t="s">
        <v>588</v>
      </c>
      <c r="B10" s="181" t="s">
        <v>175</v>
      </c>
      <c r="C10" s="182" t="s">
        <v>347</v>
      </c>
      <c r="D10" s="183" t="s">
        <v>163</v>
      </c>
      <c r="E10" s="82">
        <v>1950</v>
      </c>
      <c r="F10" s="82">
        <f aca="true" t="shared" si="0" ref="F10:F47">G10+H10+I10+J10+K10+L10+M10+N10+O10+P10+Q10+R10</f>
        <v>382290</v>
      </c>
      <c r="G10" s="80">
        <v>195843</v>
      </c>
      <c r="H10" s="80">
        <v>57523</v>
      </c>
      <c r="I10" s="80">
        <v>110319</v>
      </c>
      <c r="J10" s="80"/>
      <c r="K10" s="80"/>
      <c r="L10" s="80"/>
      <c r="M10" s="80"/>
      <c r="N10" s="80">
        <v>18605</v>
      </c>
      <c r="O10" s="80"/>
      <c r="P10" s="80"/>
      <c r="Q10" s="80"/>
      <c r="R10" s="184"/>
    </row>
    <row r="11" spans="1:18" ht="12.75">
      <c r="A11" s="180"/>
      <c r="B11" s="181"/>
      <c r="C11" s="182"/>
      <c r="D11" s="183" t="s">
        <v>765</v>
      </c>
      <c r="E11" s="82">
        <v>10139</v>
      </c>
      <c r="F11" s="82">
        <f t="shared" si="0"/>
        <v>393882</v>
      </c>
      <c r="G11" s="80">
        <v>204999</v>
      </c>
      <c r="H11" s="80">
        <v>59959</v>
      </c>
      <c r="I11" s="80">
        <v>110319</v>
      </c>
      <c r="J11" s="80"/>
      <c r="K11" s="80"/>
      <c r="L11" s="80"/>
      <c r="M11" s="80"/>
      <c r="N11" s="80">
        <v>18605</v>
      </c>
      <c r="O11" s="80"/>
      <c r="P11" s="80"/>
      <c r="Q11" s="80"/>
      <c r="R11" s="184"/>
    </row>
    <row r="12" spans="1:18" ht="12.75">
      <c r="A12" s="180"/>
      <c r="B12" s="181"/>
      <c r="C12" s="182"/>
      <c r="D12" s="183" t="s">
        <v>944</v>
      </c>
      <c r="E12" s="82">
        <v>10139</v>
      </c>
      <c r="F12" s="82">
        <f t="shared" si="0"/>
        <v>397898</v>
      </c>
      <c r="G12" s="80">
        <v>205407</v>
      </c>
      <c r="H12" s="80">
        <v>59134</v>
      </c>
      <c r="I12" s="80">
        <v>112848</v>
      </c>
      <c r="J12" s="80">
        <v>933</v>
      </c>
      <c r="K12" s="80"/>
      <c r="L12" s="80"/>
      <c r="M12" s="80">
        <v>971</v>
      </c>
      <c r="N12" s="80">
        <v>18605</v>
      </c>
      <c r="O12" s="80"/>
      <c r="P12" s="80"/>
      <c r="Q12" s="80"/>
      <c r="R12" s="184"/>
    </row>
    <row r="13" spans="1:18" ht="12.75">
      <c r="A13" s="180" t="s">
        <v>588</v>
      </c>
      <c r="B13" s="181" t="s">
        <v>348</v>
      </c>
      <c r="C13" s="182" t="s">
        <v>350</v>
      </c>
      <c r="D13" s="183" t="s">
        <v>163</v>
      </c>
      <c r="E13" s="82">
        <v>0</v>
      </c>
      <c r="F13" s="82">
        <f t="shared" si="0"/>
        <v>55125</v>
      </c>
      <c r="G13" s="80">
        <v>41629</v>
      </c>
      <c r="H13" s="80">
        <v>10996</v>
      </c>
      <c r="I13" s="80">
        <v>2500</v>
      </c>
      <c r="J13" s="80"/>
      <c r="K13" s="80"/>
      <c r="L13" s="80"/>
      <c r="M13" s="80"/>
      <c r="N13" s="80"/>
      <c r="O13" s="80"/>
      <c r="P13" s="80"/>
      <c r="Q13" s="80"/>
      <c r="R13" s="184"/>
    </row>
    <row r="14" spans="1:18" ht="12.75">
      <c r="A14" s="180"/>
      <c r="B14" s="181"/>
      <c r="C14" s="182"/>
      <c r="D14" s="183" t="s">
        <v>765</v>
      </c>
      <c r="E14" s="82">
        <v>0</v>
      </c>
      <c r="F14" s="82">
        <f t="shared" si="0"/>
        <v>55125</v>
      </c>
      <c r="G14" s="80">
        <v>41629</v>
      </c>
      <c r="H14" s="80">
        <v>10996</v>
      </c>
      <c r="I14" s="80">
        <v>2500</v>
      </c>
      <c r="J14" s="80"/>
      <c r="K14" s="80"/>
      <c r="L14" s="80"/>
      <c r="M14" s="80"/>
      <c r="N14" s="80"/>
      <c r="O14" s="80"/>
      <c r="P14" s="80"/>
      <c r="Q14" s="80"/>
      <c r="R14" s="184"/>
    </row>
    <row r="15" spans="1:18" ht="12.75">
      <c r="A15" s="180"/>
      <c r="B15" s="181"/>
      <c r="C15" s="182"/>
      <c r="D15" s="183" t="s">
        <v>944</v>
      </c>
      <c r="E15" s="82">
        <v>0</v>
      </c>
      <c r="F15" s="82">
        <f t="shared" si="0"/>
        <v>57125</v>
      </c>
      <c r="G15" s="80">
        <v>41629</v>
      </c>
      <c r="H15" s="80">
        <v>10996</v>
      </c>
      <c r="I15" s="80">
        <v>4500</v>
      </c>
      <c r="J15" s="80"/>
      <c r="K15" s="80"/>
      <c r="L15" s="80"/>
      <c r="M15" s="80"/>
      <c r="N15" s="80"/>
      <c r="O15" s="80"/>
      <c r="P15" s="80"/>
      <c r="Q15" s="80"/>
      <c r="R15" s="184"/>
    </row>
    <row r="16" spans="1:18" ht="12.75">
      <c r="A16" s="180" t="s">
        <v>593</v>
      </c>
      <c r="B16" s="181" t="s">
        <v>359</v>
      </c>
      <c r="C16" s="182" t="s">
        <v>613</v>
      </c>
      <c r="D16" s="183" t="s">
        <v>163</v>
      </c>
      <c r="E16" s="82">
        <v>649269</v>
      </c>
      <c r="F16" s="82">
        <f t="shared" si="0"/>
        <v>0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185"/>
    </row>
    <row r="17" spans="1:18" ht="12.75">
      <c r="A17" s="180"/>
      <c r="B17" s="181"/>
      <c r="C17" s="182"/>
      <c r="D17" s="183" t="s">
        <v>765</v>
      </c>
      <c r="E17" s="82">
        <v>652672</v>
      </c>
      <c r="F17" s="82">
        <f t="shared" si="0"/>
        <v>0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185"/>
    </row>
    <row r="18" spans="1:18" ht="12.75">
      <c r="A18" s="180"/>
      <c r="B18" s="181"/>
      <c r="C18" s="182"/>
      <c r="D18" s="183" t="s">
        <v>944</v>
      </c>
      <c r="E18" s="82">
        <v>656688</v>
      </c>
      <c r="F18" s="82">
        <f t="shared" si="0"/>
        <v>0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185"/>
    </row>
    <row r="19" spans="1:18" ht="12.75">
      <c r="A19" s="180" t="s">
        <v>596</v>
      </c>
      <c r="B19" s="181" t="s">
        <v>442</v>
      </c>
      <c r="C19" s="182" t="s">
        <v>358</v>
      </c>
      <c r="D19" s="183" t="s">
        <v>163</v>
      </c>
      <c r="E19" s="82">
        <v>1000</v>
      </c>
      <c r="F19" s="82">
        <f t="shared" si="0"/>
        <v>18312</v>
      </c>
      <c r="G19" s="80">
        <v>12204</v>
      </c>
      <c r="H19" s="80">
        <v>3047</v>
      </c>
      <c r="I19" s="80">
        <v>3061</v>
      </c>
      <c r="J19" s="80"/>
      <c r="K19" s="80"/>
      <c r="L19" s="80"/>
      <c r="M19" s="80"/>
      <c r="N19" s="80"/>
      <c r="O19" s="80"/>
      <c r="P19" s="80"/>
      <c r="Q19" s="80"/>
      <c r="R19" s="184"/>
    </row>
    <row r="20" spans="1:18" ht="12.75">
      <c r="A20" s="180"/>
      <c r="B20" s="181"/>
      <c r="C20" s="182"/>
      <c r="D20" s="183" t="s">
        <v>765</v>
      </c>
      <c r="E20" s="82">
        <v>1943</v>
      </c>
      <c r="F20" s="82">
        <f t="shared" si="0"/>
        <v>19255</v>
      </c>
      <c r="G20" s="80">
        <v>12204</v>
      </c>
      <c r="H20" s="80">
        <v>3047</v>
      </c>
      <c r="I20" s="80">
        <v>4004</v>
      </c>
      <c r="J20" s="80"/>
      <c r="K20" s="80"/>
      <c r="L20" s="80"/>
      <c r="M20" s="80"/>
      <c r="N20" s="80"/>
      <c r="O20" s="80"/>
      <c r="P20" s="80"/>
      <c r="Q20" s="80"/>
      <c r="R20" s="184"/>
    </row>
    <row r="21" spans="1:18" ht="12.75">
      <c r="A21" s="180"/>
      <c r="B21" s="181"/>
      <c r="C21" s="182"/>
      <c r="D21" s="183" t="s">
        <v>944</v>
      </c>
      <c r="E21" s="82">
        <v>1953</v>
      </c>
      <c r="F21" s="82">
        <f t="shared" si="0"/>
        <v>17765</v>
      </c>
      <c r="G21" s="80">
        <v>12204</v>
      </c>
      <c r="H21" s="80">
        <v>3047</v>
      </c>
      <c r="I21" s="80">
        <v>2514</v>
      </c>
      <c r="J21" s="80"/>
      <c r="K21" s="80"/>
      <c r="L21" s="80"/>
      <c r="M21" s="80"/>
      <c r="N21" s="80"/>
      <c r="O21" s="80"/>
      <c r="P21" s="80"/>
      <c r="Q21" s="80"/>
      <c r="R21" s="184"/>
    </row>
    <row r="22" spans="1:18" ht="12.75">
      <c r="A22" s="180" t="s">
        <v>596</v>
      </c>
      <c r="B22" s="181" t="s">
        <v>278</v>
      </c>
      <c r="C22" s="182" t="s">
        <v>352</v>
      </c>
      <c r="D22" s="183" t="s">
        <v>163</v>
      </c>
      <c r="E22" s="82">
        <v>1000</v>
      </c>
      <c r="F22" s="82">
        <f t="shared" si="0"/>
        <v>1000</v>
      </c>
      <c r="G22" s="79"/>
      <c r="H22" s="79"/>
      <c r="I22" s="79"/>
      <c r="J22" s="79"/>
      <c r="K22" s="79"/>
      <c r="L22" s="79"/>
      <c r="M22" s="79"/>
      <c r="N22" s="79"/>
      <c r="O22" s="79">
        <v>1000</v>
      </c>
      <c r="P22" s="79"/>
      <c r="Q22" s="79"/>
      <c r="R22" s="184"/>
    </row>
    <row r="23" spans="1:18" ht="12.75">
      <c r="A23" s="180"/>
      <c r="B23" s="181"/>
      <c r="C23" s="182"/>
      <c r="D23" s="183" t="s">
        <v>765</v>
      </c>
      <c r="E23" s="82">
        <v>1000</v>
      </c>
      <c r="F23" s="82">
        <f t="shared" si="0"/>
        <v>1000</v>
      </c>
      <c r="G23" s="79"/>
      <c r="H23" s="79"/>
      <c r="I23" s="79"/>
      <c r="J23" s="79"/>
      <c r="K23" s="79"/>
      <c r="L23" s="79"/>
      <c r="M23" s="79"/>
      <c r="N23" s="79"/>
      <c r="O23" s="79">
        <v>1000</v>
      </c>
      <c r="P23" s="79"/>
      <c r="Q23" s="79"/>
      <c r="R23" s="184"/>
    </row>
    <row r="24" spans="1:18" ht="12.75">
      <c r="A24" s="180"/>
      <c r="B24" s="181"/>
      <c r="C24" s="182"/>
      <c r="D24" s="183" t="s">
        <v>944</v>
      </c>
      <c r="E24" s="82">
        <v>1000</v>
      </c>
      <c r="F24" s="82">
        <f t="shared" si="0"/>
        <v>1000</v>
      </c>
      <c r="G24" s="79"/>
      <c r="H24" s="79"/>
      <c r="I24" s="79"/>
      <c r="J24" s="79"/>
      <c r="K24" s="79"/>
      <c r="L24" s="79"/>
      <c r="M24" s="79"/>
      <c r="N24" s="79"/>
      <c r="O24" s="79">
        <v>1000</v>
      </c>
      <c r="P24" s="79"/>
      <c r="Q24" s="79"/>
      <c r="R24" s="184"/>
    </row>
    <row r="25" spans="1:18" ht="12.75">
      <c r="A25" s="180" t="s">
        <v>588</v>
      </c>
      <c r="B25" s="181" t="s">
        <v>218</v>
      </c>
      <c r="C25" s="182" t="s">
        <v>351</v>
      </c>
      <c r="D25" s="183" t="s">
        <v>163</v>
      </c>
      <c r="E25" s="82">
        <v>0</v>
      </c>
      <c r="F25" s="82">
        <f t="shared" si="0"/>
        <v>83629</v>
      </c>
      <c r="G25" s="79">
        <v>65102</v>
      </c>
      <c r="H25" s="79">
        <v>17327</v>
      </c>
      <c r="I25" s="79">
        <v>1200</v>
      </c>
      <c r="J25" s="79"/>
      <c r="K25" s="79"/>
      <c r="L25" s="79"/>
      <c r="M25" s="79"/>
      <c r="N25" s="79"/>
      <c r="O25" s="79"/>
      <c r="P25" s="79"/>
      <c r="Q25" s="79"/>
      <c r="R25" s="184"/>
    </row>
    <row r="26" spans="1:18" ht="12.75">
      <c r="A26" s="180"/>
      <c r="B26" s="181"/>
      <c r="C26" s="182"/>
      <c r="D26" s="183" t="s">
        <v>765</v>
      </c>
      <c r="E26" s="82">
        <v>0</v>
      </c>
      <c r="F26" s="82">
        <f t="shared" si="0"/>
        <v>83629</v>
      </c>
      <c r="G26" s="79">
        <v>65102</v>
      </c>
      <c r="H26" s="79">
        <v>17327</v>
      </c>
      <c r="I26" s="79">
        <v>1200</v>
      </c>
      <c r="J26" s="79"/>
      <c r="K26" s="79"/>
      <c r="L26" s="79"/>
      <c r="M26" s="79"/>
      <c r="N26" s="79"/>
      <c r="O26" s="79"/>
      <c r="P26" s="79"/>
      <c r="Q26" s="79"/>
      <c r="R26" s="184"/>
    </row>
    <row r="27" spans="1:18" ht="12.75">
      <c r="A27" s="180"/>
      <c r="B27" s="181"/>
      <c r="C27" s="182"/>
      <c r="D27" s="183" t="s">
        <v>944</v>
      </c>
      <c r="E27" s="82">
        <v>0</v>
      </c>
      <c r="F27" s="82">
        <f t="shared" si="0"/>
        <v>83629</v>
      </c>
      <c r="G27" s="79">
        <v>65102</v>
      </c>
      <c r="H27" s="79">
        <v>17327</v>
      </c>
      <c r="I27" s="79">
        <v>1200</v>
      </c>
      <c r="J27" s="79"/>
      <c r="K27" s="79"/>
      <c r="L27" s="79"/>
      <c r="M27" s="79"/>
      <c r="N27" s="79"/>
      <c r="O27" s="79"/>
      <c r="P27" s="79"/>
      <c r="Q27" s="79"/>
      <c r="R27" s="184"/>
    </row>
    <row r="28" spans="1:18" ht="12.75">
      <c r="A28" s="180" t="s">
        <v>596</v>
      </c>
      <c r="B28" s="181" t="s">
        <v>220</v>
      </c>
      <c r="C28" s="182" t="s">
        <v>346</v>
      </c>
      <c r="D28" s="183" t="s">
        <v>163</v>
      </c>
      <c r="E28" s="82">
        <v>2710</v>
      </c>
      <c r="F28" s="82">
        <f t="shared" si="0"/>
        <v>5059</v>
      </c>
      <c r="G28" s="79">
        <v>1200</v>
      </c>
      <c r="H28" s="79">
        <v>324</v>
      </c>
      <c r="I28" s="79">
        <v>2819</v>
      </c>
      <c r="J28" s="79"/>
      <c r="K28" s="79"/>
      <c r="L28" s="79"/>
      <c r="M28" s="79"/>
      <c r="N28" s="79">
        <v>716</v>
      </c>
      <c r="O28" s="79"/>
      <c r="P28" s="79"/>
      <c r="Q28" s="79"/>
      <c r="R28" s="184"/>
    </row>
    <row r="29" spans="1:18" ht="12.75">
      <c r="A29" s="180"/>
      <c r="B29" s="181"/>
      <c r="C29" s="182"/>
      <c r="D29" s="183" t="s">
        <v>765</v>
      </c>
      <c r="E29" s="82">
        <v>2710</v>
      </c>
      <c r="F29" s="82">
        <f t="shared" si="0"/>
        <v>5059</v>
      </c>
      <c r="G29" s="79">
        <v>1200</v>
      </c>
      <c r="H29" s="79">
        <v>324</v>
      </c>
      <c r="I29" s="79">
        <v>2819</v>
      </c>
      <c r="J29" s="79"/>
      <c r="K29" s="79"/>
      <c r="L29" s="79"/>
      <c r="M29" s="79"/>
      <c r="N29" s="79">
        <v>716</v>
      </c>
      <c r="O29" s="79"/>
      <c r="P29" s="79"/>
      <c r="Q29" s="79"/>
      <c r="R29" s="184"/>
    </row>
    <row r="30" spans="1:18" ht="12.75">
      <c r="A30" s="180"/>
      <c r="B30" s="181"/>
      <c r="C30" s="182"/>
      <c r="D30" s="183" t="s">
        <v>944</v>
      </c>
      <c r="E30" s="82">
        <v>2710</v>
      </c>
      <c r="F30" s="82">
        <f t="shared" si="0"/>
        <v>5059</v>
      </c>
      <c r="G30" s="79">
        <v>1200</v>
      </c>
      <c r="H30" s="79">
        <v>324</v>
      </c>
      <c r="I30" s="79">
        <v>2819</v>
      </c>
      <c r="J30" s="79"/>
      <c r="K30" s="79"/>
      <c r="L30" s="79"/>
      <c r="M30" s="79"/>
      <c r="N30" s="79">
        <v>716</v>
      </c>
      <c r="O30" s="79"/>
      <c r="P30" s="79"/>
      <c r="Q30" s="79"/>
      <c r="R30" s="184"/>
    </row>
    <row r="31" spans="1:18" s="166" customFormat="1" ht="25.5">
      <c r="A31" s="199" t="s">
        <v>588</v>
      </c>
      <c r="B31" s="200" t="s">
        <v>357</v>
      </c>
      <c r="C31" s="201" t="s">
        <v>809</v>
      </c>
      <c r="D31" s="202" t="s">
        <v>163</v>
      </c>
      <c r="E31" s="203">
        <v>3600</v>
      </c>
      <c r="F31" s="82">
        <f t="shared" si="0"/>
        <v>3600</v>
      </c>
      <c r="G31" s="165">
        <v>1600</v>
      </c>
      <c r="H31" s="165">
        <v>500</v>
      </c>
      <c r="I31" s="165">
        <v>1500</v>
      </c>
      <c r="J31" s="165"/>
      <c r="K31" s="165"/>
      <c r="L31" s="165"/>
      <c r="M31" s="165"/>
      <c r="N31" s="165"/>
      <c r="O31" s="165"/>
      <c r="P31" s="165"/>
      <c r="Q31" s="165"/>
      <c r="R31" s="204"/>
    </row>
    <row r="32" spans="1:18" s="166" customFormat="1" ht="12.75">
      <c r="A32" s="199"/>
      <c r="B32" s="200"/>
      <c r="C32" s="201"/>
      <c r="D32" s="202" t="s">
        <v>765</v>
      </c>
      <c r="E32" s="203">
        <v>3600</v>
      </c>
      <c r="F32" s="82">
        <f t="shared" si="0"/>
        <v>3600</v>
      </c>
      <c r="G32" s="165">
        <v>1600</v>
      </c>
      <c r="H32" s="165">
        <v>500</v>
      </c>
      <c r="I32" s="165">
        <v>1500</v>
      </c>
      <c r="J32" s="165"/>
      <c r="K32" s="165"/>
      <c r="L32" s="165"/>
      <c r="M32" s="165"/>
      <c r="N32" s="165"/>
      <c r="O32" s="165"/>
      <c r="P32" s="165"/>
      <c r="Q32" s="165"/>
      <c r="R32" s="204"/>
    </row>
    <row r="33" spans="1:18" s="166" customFormat="1" ht="12.75">
      <c r="A33" s="199"/>
      <c r="B33" s="200"/>
      <c r="C33" s="201"/>
      <c r="D33" s="183" t="s">
        <v>944</v>
      </c>
      <c r="E33" s="203">
        <v>3600</v>
      </c>
      <c r="F33" s="82">
        <f t="shared" si="0"/>
        <v>3100</v>
      </c>
      <c r="G33" s="165">
        <v>1600</v>
      </c>
      <c r="H33" s="165">
        <v>500</v>
      </c>
      <c r="I33" s="165">
        <v>1000</v>
      </c>
      <c r="J33" s="165"/>
      <c r="K33" s="165"/>
      <c r="L33" s="165"/>
      <c r="M33" s="165"/>
      <c r="N33" s="165"/>
      <c r="O33" s="165"/>
      <c r="P33" s="165"/>
      <c r="Q33" s="165"/>
      <c r="R33" s="204"/>
    </row>
    <row r="34" spans="1:18" ht="12.75">
      <c r="A34" s="180" t="s">
        <v>593</v>
      </c>
      <c r="B34" s="181" t="s">
        <v>355</v>
      </c>
      <c r="C34" s="182" t="s">
        <v>690</v>
      </c>
      <c r="D34" s="183" t="s">
        <v>163</v>
      </c>
      <c r="E34" s="82">
        <v>0</v>
      </c>
      <c r="F34" s="82">
        <f t="shared" si="0"/>
        <v>300</v>
      </c>
      <c r="G34" s="80"/>
      <c r="H34" s="80"/>
      <c r="I34" s="80"/>
      <c r="J34" s="80"/>
      <c r="K34" s="80">
        <v>300</v>
      </c>
      <c r="L34" s="80"/>
      <c r="M34" s="80"/>
      <c r="N34" s="80"/>
      <c r="O34" s="80"/>
      <c r="P34" s="80"/>
      <c r="Q34" s="80"/>
      <c r="R34" s="184"/>
    </row>
    <row r="35" spans="1:18" ht="12.75">
      <c r="A35" s="180"/>
      <c r="B35" s="181"/>
      <c r="C35" s="182"/>
      <c r="D35" s="183" t="s">
        <v>765</v>
      </c>
      <c r="E35" s="82">
        <v>0</v>
      </c>
      <c r="F35" s="82">
        <f t="shared" si="0"/>
        <v>300</v>
      </c>
      <c r="G35" s="80"/>
      <c r="H35" s="80"/>
      <c r="I35" s="80"/>
      <c r="J35" s="80"/>
      <c r="K35" s="80">
        <v>300</v>
      </c>
      <c r="L35" s="80"/>
      <c r="M35" s="80"/>
      <c r="N35" s="80"/>
      <c r="O35" s="80"/>
      <c r="P35" s="80"/>
      <c r="Q35" s="80"/>
      <c r="R35" s="184"/>
    </row>
    <row r="36" spans="1:18" ht="12.75">
      <c r="A36" s="180"/>
      <c r="B36" s="181"/>
      <c r="C36" s="182"/>
      <c r="D36" s="183" t="s">
        <v>944</v>
      </c>
      <c r="E36" s="82">
        <v>0</v>
      </c>
      <c r="F36" s="82">
        <f t="shared" si="0"/>
        <v>300</v>
      </c>
      <c r="G36" s="80"/>
      <c r="H36" s="80"/>
      <c r="I36" s="80"/>
      <c r="J36" s="80"/>
      <c r="K36" s="80">
        <v>300</v>
      </c>
      <c r="L36" s="80"/>
      <c r="M36" s="80"/>
      <c r="N36" s="80"/>
      <c r="O36" s="80"/>
      <c r="P36" s="80"/>
      <c r="Q36" s="80"/>
      <c r="R36" s="184"/>
    </row>
    <row r="37" spans="1:18" ht="12.75">
      <c r="A37" s="180" t="s">
        <v>593</v>
      </c>
      <c r="B37" s="181" t="s">
        <v>353</v>
      </c>
      <c r="C37" s="182" t="s">
        <v>693</v>
      </c>
      <c r="D37" s="183" t="s">
        <v>163</v>
      </c>
      <c r="E37" s="82">
        <v>0</v>
      </c>
      <c r="F37" s="82">
        <f t="shared" si="0"/>
        <v>84000</v>
      </c>
      <c r="G37" s="80"/>
      <c r="H37" s="80"/>
      <c r="I37" s="80"/>
      <c r="J37" s="80"/>
      <c r="K37" s="80">
        <v>84000</v>
      </c>
      <c r="L37" s="80"/>
      <c r="M37" s="80"/>
      <c r="N37" s="80"/>
      <c r="O37" s="80"/>
      <c r="P37" s="80"/>
      <c r="Q37" s="80"/>
      <c r="R37" s="184"/>
    </row>
    <row r="38" spans="1:18" ht="12.75">
      <c r="A38" s="180"/>
      <c r="B38" s="181"/>
      <c r="C38" s="182"/>
      <c r="D38" s="183" t="s">
        <v>765</v>
      </c>
      <c r="E38" s="82">
        <v>0</v>
      </c>
      <c r="F38" s="82">
        <f t="shared" si="0"/>
        <v>84000</v>
      </c>
      <c r="G38" s="80"/>
      <c r="H38" s="80"/>
      <c r="I38" s="80"/>
      <c r="J38" s="80"/>
      <c r="K38" s="80">
        <v>84000</v>
      </c>
      <c r="L38" s="80"/>
      <c r="M38" s="80"/>
      <c r="N38" s="80"/>
      <c r="O38" s="80"/>
      <c r="P38" s="80"/>
      <c r="Q38" s="80"/>
      <c r="R38" s="184"/>
    </row>
    <row r="39" spans="1:18" ht="12.75">
      <c r="A39" s="180"/>
      <c r="B39" s="181"/>
      <c r="C39" s="182"/>
      <c r="D39" s="183" t="s">
        <v>944</v>
      </c>
      <c r="E39" s="82">
        <v>0</v>
      </c>
      <c r="F39" s="82">
        <f t="shared" si="0"/>
        <v>84000</v>
      </c>
      <c r="G39" s="80"/>
      <c r="H39" s="80"/>
      <c r="I39" s="80"/>
      <c r="J39" s="80"/>
      <c r="K39" s="80">
        <v>84000</v>
      </c>
      <c r="L39" s="80"/>
      <c r="M39" s="80"/>
      <c r="N39" s="80"/>
      <c r="O39" s="80"/>
      <c r="P39" s="80"/>
      <c r="Q39" s="80"/>
      <c r="R39" s="184"/>
    </row>
    <row r="40" spans="1:18" ht="12.75">
      <c r="A40" s="180" t="s">
        <v>593</v>
      </c>
      <c r="B40" s="181" t="s">
        <v>354</v>
      </c>
      <c r="C40" s="182" t="s">
        <v>697</v>
      </c>
      <c r="D40" s="183" t="s">
        <v>163</v>
      </c>
      <c r="E40" s="82">
        <v>0</v>
      </c>
      <c r="F40" s="82">
        <f t="shared" si="0"/>
        <v>25500</v>
      </c>
      <c r="G40" s="80"/>
      <c r="H40" s="80"/>
      <c r="I40" s="80"/>
      <c r="J40" s="80"/>
      <c r="K40" s="80">
        <v>25500</v>
      </c>
      <c r="L40" s="80"/>
      <c r="M40" s="80"/>
      <c r="N40" s="80"/>
      <c r="O40" s="80"/>
      <c r="P40" s="80"/>
      <c r="Q40" s="80"/>
      <c r="R40" s="184"/>
    </row>
    <row r="41" spans="1:18" ht="12.75">
      <c r="A41" s="180"/>
      <c r="B41" s="181"/>
      <c r="C41" s="182"/>
      <c r="D41" s="183" t="s">
        <v>765</v>
      </c>
      <c r="E41" s="82">
        <v>0</v>
      </c>
      <c r="F41" s="82">
        <f t="shared" si="0"/>
        <v>25500</v>
      </c>
      <c r="G41" s="80"/>
      <c r="H41" s="80"/>
      <c r="I41" s="80"/>
      <c r="J41" s="80"/>
      <c r="K41" s="80">
        <v>25500</v>
      </c>
      <c r="L41" s="80"/>
      <c r="M41" s="80"/>
      <c r="N41" s="80"/>
      <c r="O41" s="80"/>
      <c r="P41" s="80"/>
      <c r="Q41" s="80"/>
      <c r="R41" s="184"/>
    </row>
    <row r="42" spans="1:18" ht="12.75">
      <c r="A42" s="180"/>
      <c r="B42" s="181"/>
      <c r="C42" s="182"/>
      <c r="D42" s="183" t="s">
        <v>944</v>
      </c>
      <c r="E42" s="82">
        <v>0</v>
      </c>
      <c r="F42" s="82">
        <f t="shared" si="0"/>
        <v>25500</v>
      </c>
      <c r="G42" s="80"/>
      <c r="H42" s="80"/>
      <c r="I42" s="80"/>
      <c r="J42" s="80"/>
      <c r="K42" s="80">
        <v>25500</v>
      </c>
      <c r="L42" s="80"/>
      <c r="M42" s="80"/>
      <c r="N42" s="80"/>
      <c r="O42" s="80"/>
      <c r="P42" s="80"/>
      <c r="Q42" s="80"/>
      <c r="R42" s="184"/>
    </row>
    <row r="43" spans="1:18" ht="12.75">
      <c r="A43" s="180" t="s">
        <v>596</v>
      </c>
      <c r="B43" s="181" t="s">
        <v>356</v>
      </c>
      <c r="C43" s="182" t="s">
        <v>699</v>
      </c>
      <c r="D43" s="183" t="s">
        <v>163</v>
      </c>
      <c r="E43" s="82">
        <v>0</v>
      </c>
      <c r="F43" s="82">
        <f t="shared" si="0"/>
        <v>714</v>
      </c>
      <c r="G43" s="80">
        <v>600</v>
      </c>
      <c r="H43" s="80">
        <v>114</v>
      </c>
      <c r="I43" s="80"/>
      <c r="J43" s="80"/>
      <c r="K43" s="80"/>
      <c r="L43" s="80"/>
      <c r="M43" s="80"/>
      <c r="N43" s="80"/>
      <c r="O43" s="80"/>
      <c r="P43" s="80"/>
      <c r="Q43" s="80"/>
      <c r="R43" s="184"/>
    </row>
    <row r="44" spans="1:18" ht="12.75">
      <c r="A44" s="180"/>
      <c r="B44" s="181"/>
      <c r="C44" s="182"/>
      <c r="D44" s="183" t="s">
        <v>765</v>
      </c>
      <c r="E44" s="82">
        <v>0</v>
      </c>
      <c r="F44" s="82">
        <f t="shared" si="0"/>
        <v>714</v>
      </c>
      <c r="G44" s="80">
        <v>600</v>
      </c>
      <c r="H44" s="80">
        <v>114</v>
      </c>
      <c r="I44" s="80"/>
      <c r="J44" s="80"/>
      <c r="K44" s="80"/>
      <c r="L44" s="80"/>
      <c r="M44" s="80"/>
      <c r="N44" s="80"/>
      <c r="O44" s="80"/>
      <c r="P44" s="80"/>
      <c r="Q44" s="80"/>
      <c r="R44" s="184"/>
    </row>
    <row r="45" spans="1:18" ht="12.75">
      <c r="A45" s="180"/>
      <c r="B45" s="181"/>
      <c r="C45" s="182"/>
      <c r="D45" s="183" t="s">
        <v>944</v>
      </c>
      <c r="E45" s="82">
        <v>0</v>
      </c>
      <c r="F45" s="82">
        <f t="shared" si="0"/>
        <v>714</v>
      </c>
      <c r="G45" s="80">
        <v>600</v>
      </c>
      <c r="H45" s="80">
        <v>114</v>
      </c>
      <c r="I45" s="80"/>
      <c r="J45" s="80"/>
      <c r="K45" s="80"/>
      <c r="L45" s="80"/>
      <c r="M45" s="80"/>
      <c r="N45" s="80"/>
      <c r="O45" s="80"/>
      <c r="P45" s="80"/>
      <c r="Q45" s="80"/>
      <c r="R45" s="184"/>
    </row>
    <row r="46" spans="1:18" ht="12.75">
      <c r="A46" s="180" t="s">
        <v>593</v>
      </c>
      <c r="B46" s="181" t="s">
        <v>775</v>
      </c>
      <c r="C46" s="182" t="s">
        <v>949</v>
      </c>
      <c r="D46" s="183" t="s">
        <v>765</v>
      </c>
      <c r="E46" s="82">
        <v>3617</v>
      </c>
      <c r="F46" s="82">
        <f t="shared" si="0"/>
        <v>3617</v>
      </c>
      <c r="G46" s="80">
        <v>2220</v>
      </c>
      <c r="H46" s="80">
        <v>698</v>
      </c>
      <c r="I46" s="80">
        <v>699</v>
      </c>
      <c r="J46" s="80"/>
      <c r="K46" s="80"/>
      <c r="L46" s="80"/>
      <c r="M46" s="80"/>
      <c r="N46" s="80"/>
      <c r="O46" s="80"/>
      <c r="P46" s="80"/>
      <c r="Q46" s="80"/>
      <c r="R46" s="184"/>
    </row>
    <row r="47" spans="1:18" ht="12.75">
      <c r="A47" s="180"/>
      <c r="B47" s="181"/>
      <c r="C47" s="182"/>
      <c r="D47" s="183" t="s">
        <v>944</v>
      </c>
      <c r="E47" s="82">
        <v>7446</v>
      </c>
      <c r="F47" s="82">
        <f t="shared" si="0"/>
        <v>7446</v>
      </c>
      <c r="G47" s="80">
        <v>4806</v>
      </c>
      <c r="H47" s="80">
        <v>1422</v>
      </c>
      <c r="I47" s="80">
        <v>1218</v>
      </c>
      <c r="J47" s="80"/>
      <c r="K47" s="80"/>
      <c r="L47" s="80"/>
      <c r="M47" s="80"/>
      <c r="N47" s="80"/>
      <c r="O47" s="80"/>
      <c r="P47" s="80"/>
      <c r="Q47" s="80"/>
      <c r="R47" s="184"/>
    </row>
    <row r="48" spans="1:18" ht="12.75">
      <c r="A48" s="1022" t="s">
        <v>142</v>
      </c>
      <c r="B48" s="1023"/>
      <c r="C48" s="1023"/>
      <c r="D48" s="192" t="s">
        <v>163</v>
      </c>
      <c r="E48" s="82">
        <f>SUM(E10+E13+E16+E19+E22+E25+E28+E31+E34+E37+E40+E43)</f>
        <v>659529</v>
      </c>
      <c r="F48" s="82">
        <f aca="true" t="shared" si="1" ref="F48:R48">SUM(F10+F13+F16+F19+F22+F25+F28+F31+F34+F37+F40+F43)</f>
        <v>659529</v>
      </c>
      <c r="G48" s="82">
        <f t="shared" si="1"/>
        <v>318178</v>
      </c>
      <c r="H48" s="82">
        <f t="shared" si="1"/>
        <v>89831</v>
      </c>
      <c r="I48" s="82">
        <f t="shared" si="1"/>
        <v>121399</v>
      </c>
      <c r="J48" s="82">
        <f t="shared" si="1"/>
        <v>0</v>
      </c>
      <c r="K48" s="82">
        <f t="shared" si="1"/>
        <v>109800</v>
      </c>
      <c r="L48" s="82">
        <f t="shared" si="1"/>
        <v>0</v>
      </c>
      <c r="M48" s="82">
        <f t="shared" si="1"/>
        <v>0</v>
      </c>
      <c r="N48" s="82">
        <f t="shared" si="1"/>
        <v>19321</v>
      </c>
      <c r="O48" s="82">
        <f t="shared" si="1"/>
        <v>1000</v>
      </c>
      <c r="P48" s="82">
        <f t="shared" si="1"/>
        <v>0</v>
      </c>
      <c r="Q48" s="82">
        <f t="shared" si="1"/>
        <v>0</v>
      </c>
      <c r="R48" s="206">
        <f t="shared" si="1"/>
        <v>0</v>
      </c>
    </row>
    <row r="49" spans="1:18" ht="12.75">
      <c r="A49" s="267"/>
      <c r="B49" s="268"/>
      <c r="C49" s="268"/>
      <c r="D49" s="192" t="s">
        <v>765</v>
      </c>
      <c r="E49" s="82">
        <f>SUM(E11+E14+E17+E20+E23+E26+E29+E32+E35+E38+E41+E44+E46)</f>
        <v>675681</v>
      </c>
      <c r="F49" s="82">
        <f aca="true" t="shared" si="2" ref="F49:R49">SUM(F11+F14+F17+F20+F23+F26+F29+F32+F35+F38+F41+F44+F46)</f>
        <v>675681</v>
      </c>
      <c r="G49" s="82">
        <f t="shared" si="2"/>
        <v>329554</v>
      </c>
      <c r="H49" s="82">
        <f t="shared" si="2"/>
        <v>92965</v>
      </c>
      <c r="I49" s="82">
        <f t="shared" si="2"/>
        <v>123041</v>
      </c>
      <c r="J49" s="82">
        <f t="shared" si="2"/>
        <v>0</v>
      </c>
      <c r="K49" s="82">
        <f t="shared" si="2"/>
        <v>109800</v>
      </c>
      <c r="L49" s="82">
        <f t="shared" si="2"/>
        <v>0</v>
      </c>
      <c r="M49" s="82">
        <f t="shared" si="2"/>
        <v>0</v>
      </c>
      <c r="N49" s="82">
        <f t="shared" si="2"/>
        <v>19321</v>
      </c>
      <c r="O49" s="82">
        <f t="shared" si="2"/>
        <v>1000</v>
      </c>
      <c r="P49" s="82">
        <f t="shared" si="2"/>
        <v>0</v>
      </c>
      <c r="Q49" s="82">
        <f t="shared" si="2"/>
        <v>0</v>
      </c>
      <c r="R49" s="206">
        <f t="shared" si="2"/>
        <v>0</v>
      </c>
    </row>
    <row r="50" spans="1:18" ht="12.75">
      <c r="A50" s="267"/>
      <c r="B50" s="268"/>
      <c r="C50" s="268"/>
      <c r="D50" s="192" t="s">
        <v>944</v>
      </c>
      <c r="E50" s="82">
        <f>SUM(E12+E15+E18+E21+E24+E27+E30+E33+E36+E39+E42+E45+E47)</f>
        <v>683536</v>
      </c>
      <c r="F50" s="82">
        <f aca="true" t="shared" si="3" ref="F50:R50">SUM(F12+F15+F18+F21+F24+F27+F30+F33+F36+F39+F42+F45+F47)</f>
        <v>683536</v>
      </c>
      <c r="G50" s="82">
        <f t="shared" si="3"/>
        <v>332548</v>
      </c>
      <c r="H50" s="82">
        <f t="shared" si="3"/>
        <v>92864</v>
      </c>
      <c r="I50" s="82">
        <f t="shared" si="3"/>
        <v>126099</v>
      </c>
      <c r="J50" s="82">
        <f t="shared" si="3"/>
        <v>933</v>
      </c>
      <c r="K50" s="82">
        <f t="shared" si="3"/>
        <v>109800</v>
      </c>
      <c r="L50" s="82">
        <f t="shared" si="3"/>
        <v>0</v>
      </c>
      <c r="M50" s="82">
        <f t="shared" si="3"/>
        <v>971</v>
      </c>
      <c r="N50" s="82">
        <f t="shared" si="3"/>
        <v>19321</v>
      </c>
      <c r="O50" s="82">
        <f t="shared" si="3"/>
        <v>1000</v>
      </c>
      <c r="P50" s="82">
        <f t="shared" si="3"/>
        <v>0</v>
      </c>
      <c r="Q50" s="82">
        <f t="shared" si="3"/>
        <v>0</v>
      </c>
      <c r="R50" s="206">
        <f t="shared" si="3"/>
        <v>0</v>
      </c>
    </row>
    <row r="51" spans="1:18" ht="12.75">
      <c r="A51" s="180"/>
      <c r="B51" s="181"/>
      <c r="C51" s="182"/>
      <c r="D51" s="183"/>
      <c r="E51" s="82"/>
      <c r="F51" s="82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184"/>
    </row>
    <row r="52" spans="1:18" ht="12.75">
      <c r="A52" s="1022" t="s">
        <v>360</v>
      </c>
      <c r="B52" s="1023"/>
      <c r="C52" s="1023"/>
      <c r="D52" s="183"/>
      <c r="E52" s="82"/>
      <c r="F52" s="82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184"/>
    </row>
    <row r="53" spans="1:18" ht="12.75">
      <c r="A53" s="180" t="s">
        <v>588</v>
      </c>
      <c r="B53" s="181" t="s">
        <v>175</v>
      </c>
      <c r="C53" s="182" t="s">
        <v>347</v>
      </c>
      <c r="D53" s="183" t="s">
        <v>163</v>
      </c>
      <c r="E53" s="82">
        <v>4419</v>
      </c>
      <c r="F53" s="82">
        <f>G53+H53+I53+J53+K53+L53+M53+N53+O53+P53+Q53+R53</f>
        <v>26738</v>
      </c>
      <c r="G53" s="79">
        <v>18104</v>
      </c>
      <c r="H53" s="79">
        <v>5334</v>
      </c>
      <c r="I53" s="79">
        <v>3300</v>
      </c>
      <c r="J53" s="79"/>
      <c r="K53" s="79"/>
      <c r="L53" s="79"/>
      <c r="M53" s="79"/>
      <c r="N53" s="79"/>
      <c r="O53" s="79"/>
      <c r="P53" s="79"/>
      <c r="Q53" s="79"/>
      <c r="R53" s="187"/>
    </row>
    <row r="54" spans="1:18" ht="12.75">
      <c r="A54" s="180"/>
      <c r="B54" s="181"/>
      <c r="C54" s="182"/>
      <c r="D54" s="183" t="s">
        <v>765</v>
      </c>
      <c r="E54" s="82">
        <v>6830</v>
      </c>
      <c r="F54" s="82">
        <f aca="true" t="shared" si="4" ref="F54:F66">G54+H54+I54+J54+K54+L54+M54+N54+O54+P54+Q54+R54</f>
        <v>29230</v>
      </c>
      <c r="G54" s="79">
        <v>19435</v>
      </c>
      <c r="H54" s="79">
        <v>5695</v>
      </c>
      <c r="I54" s="79">
        <v>4100</v>
      </c>
      <c r="J54" s="79"/>
      <c r="K54" s="79"/>
      <c r="L54" s="79"/>
      <c r="M54" s="79"/>
      <c r="N54" s="79"/>
      <c r="O54" s="79"/>
      <c r="P54" s="79"/>
      <c r="Q54" s="79"/>
      <c r="R54" s="187"/>
    </row>
    <row r="55" spans="1:18" ht="12.75">
      <c r="A55" s="180"/>
      <c r="B55" s="181"/>
      <c r="C55" s="182"/>
      <c r="D55" s="183" t="s">
        <v>944</v>
      </c>
      <c r="E55" s="82">
        <v>6830</v>
      </c>
      <c r="F55" s="82">
        <f t="shared" si="4"/>
        <v>29281</v>
      </c>
      <c r="G55" s="79">
        <v>19474</v>
      </c>
      <c r="H55" s="79">
        <v>5707</v>
      </c>
      <c r="I55" s="79">
        <v>4100</v>
      </c>
      <c r="J55" s="79"/>
      <c r="K55" s="79"/>
      <c r="L55" s="79"/>
      <c r="M55" s="79"/>
      <c r="N55" s="79"/>
      <c r="O55" s="79"/>
      <c r="P55" s="79"/>
      <c r="Q55" s="79"/>
      <c r="R55" s="187"/>
    </row>
    <row r="56" spans="1:18" ht="12.75">
      <c r="A56" s="180" t="s">
        <v>593</v>
      </c>
      <c r="B56" s="181" t="s">
        <v>359</v>
      </c>
      <c r="C56" s="182" t="s">
        <v>613</v>
      </c>
      <c r="D56" s="183" t="s">
        <v>163</v>
      </c>
      <c r="E56" s="82">
        <v>22319</v>
      </c>
      <c r="F56" s="82">
        <f t="shared" si="4"/>
        <v>0</v>
      </c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184"/>
    </row>
    <row r="57" spans="1:18" ht="12.75">
      <c r="A57" s="180"/>
      <c r="B57" s="181"/>
      <c r="C57" s="182"/>
      <c r="D57" s="183" t="s">
        <v>765</v>
      </c>
      <c r="E57" s="82">
        <v>22400</v>
      </c>
      <c r="F57" s="82">
        <f t="shared" si="4"/>
        <v>0</v>
      </c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184"/>
    </row>
    <row r="58" spans="1:18" ht="12.75">
      <c r="A58" s="180"/>
      <c r="B58" s="181"/>
      <c r="C58" s="182"/>
      <c r="D58" s="183" t="s">
        <v>944</v>
      </c>
      <c r="E58" s="82">
        <v>22451</v>
      </c>
      <c r="F58" s="82">
        <f t="shared" si="4"/>
        <v>0</v>
      </c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184"/>
    </row>
    <row r="59" spans="1:18" ht="12.75">
      <c r="A59" s="180" t="s">
        <v>593</v>
      </c>
      <c r="B59" s="181" t="s">
        <v>353</v>
      </c>
      <c r="C59" s="182" t="s">
        <v>693</v>
      </c>
      <c r="D59" s="183" t="s">
        <v>163</v>
      </c>
      <c r="E59" s="82">
        <v>2125</v>
      </c>
      <c r="F59" s="82">
        <f t="shared" si="4"/>
        <v>2125</v>
      </c>
      <c r="G59" s="79"/>
      <c r="H59" s="79"/>
      <c r="I59" s="79"/>
      <c r="J59" s="79"/>
      <c r="K59" s="79">
        <v>2125</v>
      </c>
      <c r="L59" s="79"/>
      <c r="M59" s="79"/>
      <c r="N59" s="79"/>
      <c r="O59" s="79"/>
      <c r="P59" s="79"/>
      <c r="Q59" s="79"/>
      <c r="R59" s="187"/>
    </row>
    <row r="60" spans="1:18" ht="12.75">
      <c r="A60" s="180"/>
      <c r="B60" s="181"/>
      <c r="C60" s="182"/>
      <c r="D60" s="183" t="s">
        <v>765</v>
      </c>
      <c r="E60" s="82">
        <v>2125</v>
      </c>
      <c r="F60" s="82">
        <f t="shared" si="4"/>
        <v>2125</v>
      </c>
      <c r="G60" s="79"/>
      <c r="H60" s="79"/>
      <c r="I60" s="79"/>
      <c r="J60" s="79"/>
      <c r="K60" s="79">
        <v>2125</v>
      </c>
      <c r="L60" s="79"/>
      <c r="M60" s="79"/>
      <c r="N60" s="79"/>
      <c r="O60" s="79"/>
      <c r="P60" s="79"/>
      <c r="Q60" s="79"/>
      <c r="R60" s="187"/>
    </row>
    <row r="61" spans="1:18" ht="12.75">
      <c r="A61" s="180"/>
      <c r="B61" s="181"/>
      <c r="C61" s="182"/>
      <c r="D61" s="183" t="s">
        <v>944</v>
      </c>
      <c r="E61" s="82">
        <v>2125</v>
      </c>
      <c r="F61" s="82">
        <f t="shared" si="4"/>
        <v>2125</v>
      </c>
      <c r="G61" s="79"/>
      <c r="H61" s="79"/>
      <c r="I61" s="79"/>
      <c r="J61" s="79"/>
      <c r="K61" s="79">
        <v>2125</v>
      </c>
      <c r="L61" s="79"/>
      <c r="M61" s="79"/>
      <c r="N61" s="79"/>
      <c r="O61" s="79"/>
      <c r="P61" s="79"/>
      <c r="Q61" s="79"/>
      <c r="R61" s="187"/>
    </row>
    <row r="62" spans="1:18" ht="12.75">
      <c r="A62" s="180" t="s">
        <v>593</v>
      </c>
      <c r="B62" s="181" t="s">
        <v>354</v>
      </c>
      <c r="C62" s="182" t="s">
        <v>697</v>
      </c>
      <c r="D62" s="183" t="s">
        <v>163</v>
      </c>
      <c r="E62" s="82">
        <v>446</v>
      </c>
      <c r="F62" s="82">
        <f t="shared" si="4"/>
        <v>446</v>
      </c>
      <c r="G62" s="79"/>
      <c r="H62" s="79"/>
      <c r="I62" s="79"/>
      <c r="J62" s="79"/>
      <c r="K62" s="79">
        <v>446</v>
      </c>
      <c r="L62" s="79"/>
      <c r="M62" s="79"/>
      <c r="N62" s="79"/>
      <c r="O62" s="79"/>
      <c r="P62" s="79"/>
      <c r="Q62" s="79"/>
      <c r="R62" s="184"/>
    </row>
    <row r="63" spans="1:18" ht="12.75">
      <c r="A63" s="180"/>
      <c r="B63" s="181"/>
      <c r="C63" s="182"/>
      <c r="D63" s="183" t="s">
        <v>765</v>
      </c>
      <c r="E63" s="82">
        <v>446</v>
      </c>
      <c r="F63" s="82">
        <f t="shared" si="4"/>
        <v>446</v>
      </c>
      <c r="G63" s="79"/>
      <c r="H63" s="79"/>
      <c r="I63" s="79"/>
      <c r="J63" s="79"/>
      <c r="K63" s="79">
        <v>446</v>
      </c>
      <c r="L63" s="79"/>
      <c r="M63" s="79"/>
      <c r="N63" s="79"/>
      <c r="O63" s="79"/>
      <c r="P63" s="79"/>
      <c r="Q63" s="79"/>
      <c r="R63" s="184"/>
    </row>
    <row r="64" spans="1:18" ht="12.75">
      <c r="A64" s="180"/>
      <c r="B64" s="181"/>
      <c r="C64" s="182"/>
      <c r="D64" s="183" t="s">
        <v>944</v>
      </c>
      <c r="E64" s="82">
        <v>446</v>
      </c>
      <c r="F64" s="82">
        <f t="shared" si="4"/>
        <v>446</v>
      </c>
      <c r="G64" s="79"/>
      <c r="H64" s="79"/>
      <c r="I64" s="79"/>
      <c r="J64" s="79"/>
      <c r="K64" s="79">
        <v>446</v>
      </c>
      <c r="L64" s="79"/>
      <c r="M64" s="79"/>
      <c r="N64" s="79"/>
      <c r="O64" s="79"/>
      <c r="P64" s="79"/>
      <c r="Q64" s="79"/>
      <c r="R64" s="184"/>
    </row>
    <row r="65" spans="1:18" ht="12.75">
      <c r="A65" s="180" t="s">
        <v>593</v>
      </c>
      <c r="B65" s="181" t="s">
        <v>775</v>
      </c>
      <c r="C65" s="182" t="s">
        <v>776</v>
      </c>
      <c r="D65" s="183" t="s">
        <v>765</v>
      </c>
      <c r="E65" s="82">
        <v>266</v>
      </c>
      <c r="F65" s="82">
        <f t="shared" si="4"/>
        <v>266</v>
      </c>
      <c r="G65" s="79">
        <v>160</v>
      </c>
      <c r="H65" s="79">
        <v>50</v>
      </c>
      <c r="I65" s="79">
        <v>56</v>
      </c>
      <c r="J65" s="79"/>
      <c r="K65" s="79"/>
      <c r="L65" s="79"/>
      <c r="M65" s="79"/>
      <c r="N65" s="79"/>
      <c r="O65" s="79"/>
      <c r="P65" s="79"/>
      <c r="Q65" s="79"/>
      <c r="R65" s="184"/>
    </row>
    <row r="66" spans="1:18" ht="12.75">
      <c r="A66" s="180"/>
      <c r="B66" s="181"/>
      <c r="C66" s="182"/>
      <c r="D66" s="183" t="s">
        <v>944</v>
      </c>
      <c r="E66" s="82">
        <v>532</v>
      </c>
      <c r="F66" s="82">
        <f t="shared" si="4"/>
        <v>532</v>
      </c>
      <c r="G66" s="79">
        <v>336</v>
      </c>
      <c r="H66" s="79">
        <v>100</v>
      </c>
      <c r="I66" s="79">
        <v>96</v>
      </c>
      <c r="J66" s="79"/>
      <c r="K66" s="79"/>
      <c r="L66" s="79"/>
      <c r="M66" s="79"/>
      <c r="N66" s="79"/>
      <c r="O66" s="79"/>
      <c r="P66" s="79"/>
      <c r="Q66" s="79"/>
      <c r="R66" s="184"/>
    </row>
    <row r="67" spans="1:18" ht="12.75">
      <c r="A67" s="1022" t="s">
        <v>361</v>
      </c>
      <c r="B67" s="1023"/>
      <c r="C67" s="1023"/>
      <c r="D67" s="192" t="s">
        <v>163</v>
      </c>
      <c r="E67" s="82">
        <f>SUM(E53+E56+E59+E62)</f>
        <v>29309</v>
      </c>
      <c r="F67" s="82">
        <f aca="true" t="shared" si="5" ref="F67:R67">SUM(F53+F56+F59+F62)</f>
        <v>29309</v>
      </c>
      <c r="G67" s="82">
        <f t="shared" si="5"/>
        <v>18104</v>
      </c>
      <c r="H67" s="82">
        <f t="shared" si="5"/>
        <v>5334</v>
      </c>
      <c r="I67" s="82">
        <f t="shared" si="5"/>
        <v>3300</v>
      </c>
      <c r="J67" s="82">
        <f t="shared" si="5"/>
        <v>0</v>
      </c>
      <c r="K67" s="82">
        <f t="shared" si="5"/>
        <v>2571</v>
      </c>
      <c r="L67" s="82">
        <f t="shared" si="5"/>
        <v>0</v>
      </c>
      <c r="M67" s="82">
        <f t="shared" si="5"/>
        <v>0</v>
      </c>
      <c r="N67" s="82">
        <f t="shared" si="5"/>
        <v>0</v>
      </c>
      <c r="O67" s="82">
        <f t="shared" si="5"/>
        <v>0</v>
      </c>
      <c r="P67" s="82">
        <f t="shared" si="5"/>
        <v>0</v>
      </c>
      <c r="Q67" s="82">
        <f t="shared" si="5"/>
        <v>0</v>
      </c>
      <c r="R67" s="206">
        <f t="shared" si="5"/>
        <v>0</v>
      </c>
    </row>
    <row r="68" spans="1:18" ht="12.75">
      <c r="A68" s="267"/>
      <c r="B68" s="268"/>
      <c r="C68" s="268"/>
      <c r="D68" s="192" t="s">
        <v>765</v>
      </c>
      <c r="E68" s="82">
        <f>SUM(E54+E57+E60+E63+E65)</f>
        <v>32067</v>
      </c>
      <c r="F68" s="82">
        <f aca="true" t="shared" si="6" ref="F68:R69">SUM(F54+F57+F60+F63+F65)</f>
        <v>32067</v>
      </c>
      <c r="G68" s="82">
        <f t="shared" si="6"/>
        <v>19595</v>
      </c>
      <c r="H68" s="82">
        <f t="shared" si="6"/>
        <v>5745</v>
      </c>
      <c r="I68" s="82">
        <f t="shared" si="6"/>
        <v>4156</v>
      </c>
      <c r="J68" s="82">
        <f t="shared" si="6"/>
        <v>0</v>
      </c>
      <c r="K68" s="82">
        <f t="shared" si="6"/>
        <v>2571</v>
      </c>
      <c r="L68" s="82">
        <f t="shared" si="6"/>
        <v>0</v>
      </c>
      <c r="M68" s="82">
        <f t="shared" si="6"/>
        <v>0</v>
      </c>
      <c r="N68" s="82">
        <f t="shared" si="6"/>
        <v>0</v>
      </c>
      <c r="O68" s="82">
        <f t="shared" si="6"/>
        <v>0</v>
      </c>
      <c r="P68" s="82">
        <f t="shared" si="6"/>
        <v>0</v>
      </c>
      <c r="Q68" s="82">
        <f t="shared" si="6"/>
        <v>0</v>
      </c>
      <c r="R68" s="206">
        <f t="shared" si="6"/>
        <v>0</v>
      </c>
    </row>
    <row r="69" spans="1:18" ht="12.75">
      <c r="A69" s="180"/>
      <c r="B69" s="181"/>
      <c r="C69" s="182"/>
      <c r="D69" s="192" t="s">
        <v>944</v>
      </c>
      <c r="E69" s="82">
        <f>SUM(E55+E58+E61+E64+E66)</f>
        <v>32384</v>
      </c>
      <c r="F69" s="82">
        <f t="shared" si="6"/>
        <v>32384</v>
      </c>
      <c r="G69" s="82">
        <f t="shared" si="6"/>
        <v>19810</v>
      </c>
      <c r="H69" s="82">
        <f t="shared" si="6"/>
        <v>5807</v>
      </c>
      <c r="I69" s="82">
        <f t="shared" si="6"/>
        <v>4196</v>
      </c>
      <c r="J69" s="82">
        <f t="shared" si="6"/>
        <v>0</v>
      </c>
      <c r="K69" s="82">
        <f t="shared" si="6"/>
        <v>2571</v>
      </c>
      <c r="L69" s="82">
        <f t="shared" si="6"/>
        <v>0</v>
      </c>
      <c r="M69" s="82">
        <f t="shared" si="6"/>
        <v>0</v>
      </c>
      <c r="N69" s="82">
        <f t="shared" si="6"/>
        <v>0</v>
      </c>
      <c r="O69" s="82">
        <f t="shared" si="6"/>
        <v>0</v>
      </c>
      <c r="P69" s="82">
        <f t="shared" si="6"/>
        <v>0</v>
      </c>
      <c r="Q69" s="82">
        <f t="shared" si="6"/>
        <v>0</v>
      </c>
      <c r="R69" s="206">
        <f t="shared" si="6"/>
        <v>0</v>
      </c>
    </row>
    <row r="70" spans="1:18" ht="12.75">
      <c r="A70" s="1022" t="s">
        <v>26</v>
      </c>
      <c r="B70" s="1023"/>
      <c r="C70" s="1023"/>
      <c r="D70" s="183"/>
      <c r="E70" s="82"/>
      <c r="F70" s="82"/>
      <c r="G70" s="79"/>
      <c r="H70" s="79"/>
      <c r="I70" s="79"/>
      <c r="J70" s="79"/>
      <c r="K70" s="82"/>
      <c r="L70" s="82"/>
      <c r="M70" s="82"/>
      <c r="N70" s="79"/>
      <c r="O70" s="79"/>
      <c r="P70" s="79"/>
      <c r="Q70" s="79"/>
      <c r="R70" s="184"/>
    </row>
    <row r="71" spans="1:18" ht="12.75">
      <c r="A71" s="180" t="s">
        <v>588</v>
      </c>
      <c r="B71" s="181" t="s">
        <v>175</v>
      </c>
      <c r="C71" s="182" t="s">
        <v>347</v>
      </c>
      <c r="D71" s="183" t="s">
        <v>163</v>
      </c>
      <c r="E71" s="82">
        <v>2826</v>
      </c>
      <c r="F71" s="82">
        <f>G71+H71+I71+J71+K71+L71+M71+N71+O71+P71+Q71+R71</f>
        <v>27228</v>
      </c>
      <c r="G71" s="79">
        <v>17710</v>
      </c>
      <c r="H71" s="79">
        <v>4781</v>
      </c>
      <c r="I71" s="79">
        <v>4191</v>
      </c>
      <c r="J71" s="79"/>
      <c r="K71" s="79"/>
      <c r="L71" s="79"/>
      <c r="M71" s="79"/>
      <c r="N71" s="79">
        <v>546</v>
      </c>
      <c r="O71" s="79"/>
      <c r="P71" s="79"/>
      <c r="Q71" s="79"/>
      <c r="R71" s="184"/>
    </row>
    <row r="72" spans="1:18" ht="12.75">
      <c r="A72" s="180"/>
      <c r="B72" s="181"/>
      <c r="C72" s="182"/>
      <c r="D72" s="183" t="s">
        <v>765</v>
      </c>
      <c r="E72" s="82">
        <v>4096</v>
      </c>
      <c r="F72" s="82">
        <f aca="true" t="shared" si="7" ref="F72:F84">G72+H72+I72+J72+K72+L72+M72+N72+O72+P72+Q72+R72</f>
        <v>28610</v>
      </c>
      <c r="G72" s="79">
        <v>18798</v>
      </c>
      <c r="H72" s="79">
        <v>5075</v>
      </c>
      <c r="I72" s="79">
        <v>4191</v>
      </c>
      <c r="J72" s="79"/>
      <c r="K72" s="79"/>
      <c r="L72" s="79"/>
      <c r="M72" s="79"/>
      <c r="N72" s="79">
        <v>546</v>
      </c>
      <c r="O72" s="79"/>
      <c r="P72" s="79"/>
      <c r="Q72" s="79"/>
      <c r="R72" s="184"/>
    </row>
    <row r="73" spans="1:18" ht="12.75">
      <c r="A73" s="180"/>
      <c r="B73" s="181"/>
      <c r="C73" s="182"/>
      <c r="D73" s="183" t="s">
        <v>944</v>
      </c>
      <c r="E73" s="82">
        <v>4096</v>
      </c>
      <c r="F73" s="82">
        <f t="shared" si="7"/>
        <v>28694</v>
      </c>
      <c r="G73" s="79">
        <v>18864</v>
      </c>
      <c r="H73" s="79">
        <v>5093</v>
      </c>
      <c r="I73" s="79">
        <v>4191</v>
      </c>
      <c r="J73" s="79"/>
      <c r="K73" s="79"/>
      <c r="L73" s="79"/>
      <c r="M73" s="79"/>
      <c r="N73" s="79">
        <v>546</v>
      </c>
      <c r="O73" s="79"/>
      <c r="P73" s="79"/>
      <c r="Q73" s="79"/>
      <c r="R73" s="184"/>
    </row>
    <row r="74" spans="1:18" ht="12.75">
      <c r="A74" s="180" t="s">
        <v>593</v>
      </c>
      <c r="B74" s="181" t="s">
        <v>359</v>
      </c>
      <c r="C74" s="182" t="s">
        <v>613</v>
      </c>
      <c r="D74" s="183" t="s">
        <v>163</v>
      </c>
      <c r="E74" s="82">
        <v>24402</v>
      </c>
      <c r="F74" s="82">
        <f t="shared" si="7"/>
        <v>0</v>
      </c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184"/>
    </row>
    <row r="75" spans="1:18" ht="12.75">
      <c r="A75" s="180"/>
      <c r="B75" s="181"/>
      <c r="C75" s="182"/>
      <c r="D75" s="183" t="s">
        <v>765</v>
      </c>
      <c r="E75" s="82">
        <v>24514</v>
      </c>
      <c r="F75" s="82">
        <f t="shared" si="7"/>
        <v>0</v>
      </c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184"/>
    </row>
    <row r="76" spans="1:18" ht="12.75">
      <c r="A76" s="180"/>
      <c r="B76" s="181"/>
      <c r="C76" s="182"/>
      <c r="D76" s="183" t="s">
        <v>944</v>
      </c>
      <c r="E76" s="82">
        <v>24598</v>
      </c>
      <c r="F76" s="82">
        <f t="shared" si="7"/>
        <v>0</v>
      </c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184"/>
    </row>
    <row r="77" spans="1:18" ht="12.75">
      <c r="A77" s="180" t="s">
        <v>593</v>
      </c>
      <c r="B77" s="181" t="s">
        <v>353</v>
      </c>
      <c r="C77" s="182" t="s">
        <v>693</v>
      </c>
      <c r="D77" s="183" t="s">
        <v>163</v>
      </c>
      <c r="E77" s="82">
        <v>6424</v>
      </c>
      <c r="F77" s="82">
        <f t="shared" si="7"/>
        <v>6424</v>
      </c>
      <c r="G77" s="79"/>
      <c r="H77" s="79"/>
      <c r="I77" s="79"/>
      <c r="J77" s="79"/>
      <c r="K77" s="79">
        <v>6424</v>
      </c>
      <c r="L77" s="79"/>
      <c r="M77" s="79"/>
      <c r="N77" s="79"/>
      <c r="O77" s="79"/>
      <c r="P77" s="79"/>
      <c r="Q77" s="79"/>
      <c r="R77" s="184"/>
    </row>
    <row r="78" spans="1:18" ht="12.75">
      <c r="A78" s="180"/>
      <c r="B78" s="181"/>
      <c r="C78" s="182"/>
      <c r="D78" s="183" t="s">
        <v>765</v>
      </c>
      <c r="E78" s="82">
        <v>6424</v>
      </c>
      <c r="F78" s="82">
        <f t="shared" si="7"/>
        <v>6424</v>
      </c>
      <c r="G78" s="79"/>
      <c r="H78" s="79"/>
      <c r="I78" s="79"/>
      <c r="J78" s="79"/>
      <c r="K78" s="79">
        <v>6424</v>
      </c>
      <c r="L78" s="79"/>
      <c r="M78" s="79"/>
      <c r="N78" s="79"/>
      <c r="O78" s="79"/>
      <c r="P78" s="79"/>
      <c r="Q78" s="79"/>
      <c r="R78" s="184"/>
    </row>
    <row r="79" spans="1:18" ht="12.75">
      <c r="A79" s="180"/>
      <c r="B79" s="181"/>
      <c r="C79" s="182"/>
      <c r="D79" s="183" t="s">
        <v>944</v>
      </c>
      <c r="E79" s="82">
        <v>6424</v>
      </c>
      <c r="F79" s="82">
        <f t="shared" si="7"/>
        <v>6424</v>
      </c>
      <c r="G79" s="79"/>
      <c r="H79" s="79"/>
      <c r="I79" s="79"/>
      <c r="J79" s="79"/>
      <c r="K79" s="79">
        <v>6424</v>
      </c>
      <c r="L79" s="79"/>
      <c r="M79" s="79"/>
      <c r="N79" s="79"/>
      <c r="O79" s="79"/>
      <c r="P79" s="79"/>
      <c r="Q79" s="79"/>
      <c r="R79" s="184"/>
    </row>
    <row r="80" spans="1:18" ht="12.75">
      <c r="A80" s="180" t="s">
        <v>593</v>
      </c>
      <c r="B80" s="181" t="s">
        <v>354</v>
      </c>
      <c r="C80" s="182" t="s">
        <v>697</v>
      </c>
      <c r="D80" s="183" t="s">
        <v>163</v>
      </c>
      <c r="E80" s="82">
        <v>1160</v>
      </c>
      <c r="F80" s="82">
        <f t="shared" si="7"/>
        <v>1160</v>
      </c>
      <c r="G80" s="79"/>
      <c r="H80" s="79"/>
      <c r="I80" s="79"/>
      <c r="J80" s="79"/>
      <c r="K80" s="79">
        <v>1160</v>
      </c>
      <c r="L80" s="79"/>
      <c r="M80" s="79"/>
      <c r="N80" s="79"/>
      <c r="O80" s="79"/>
      <c r="P80" s="79"/>
      <c r="Q80" s="79"/>
      <c r="R80" s="184"/>
    </row>
    <row r="81" spans="1:18" ht="12.75">
      <c r="A81" s="180"/>
      <c r="B81" s="181"/>
      <c r="C81" s="182"/>
      <c r="D81" s="183" t="s">
        <v>765</v>
      </c>
      <c r="E81" s="82">
        <v>1160</v>
      </c>
      <c r="F81" s="82">
        <f t="shared" si="7"/>
        <v>1160</v>
      </c>
      <c r="G81" s="79"/>
      <c r="H81" s="79"/>
      <c r="I81" s="79"/>
      <c r="J81" s="79"/>
      <c r="K81" s="79">
        <v>1160</v>
      </c>
      <c r="L81" s="79"/>
      <c r="M81" s="79"/>
      <c r="N81" s="79"/>
      <c r="O81" s="79"/>
      <c r="P81" s="79"/>
      <c r="Q81" s="79"/>
      <c r="R81" s="184"/>
    </row>
    <row r="82" spans="1:18" ht="12.75">
      <c r="A82" s="180"/>
      <c r="B82" s="181"/>
      <c r="C82" s="182"/>
      <c r="D82" s="183" t="s">
        <v>944</v>
      </c>
      <c r="E82" s="82">
        <v>1160</v>
      </c>
      <c r="F82" s="82">
        <f t="shared" si="7"/>
        <v>1160</v>
      </c>
      <c r="G82" s="79"/>
      <c r="H82" s="79"/>
      <c r="I82" s="79"/>
      <c r="J82" s="79"/>
      <c r="K82" s="79">
        <v>1160</v>
      </c>
      <c r="L82" s="79"/>
      <c r="M82" s="79"/>
      <c r="N82" s="79"/>
      <c r="O82" s="79"/>
      <c r="P82" s="79"/>
      <c r="Q82" s="79"/>
      <c r="R82" s="184"/>
    </row>
    <row r="83" spans="1:18" ht="12.75">
      <c r="A83" s="180" t="s">
        <v>593</v>
      </c>
      <c r="B83" s="181" t="s">
        <v>775</v>
      </c>
      <c r="C83" s="182" t="s">
        <v>776</v>
      </c>
      <c r="D83" s="183" t="s">
        <v>765</v>
      </c>
      <c r="E83" s="82">
        <v>266</v>
      </c>
      <c r="F83" s="82">
        <f t="shared" si="7"/>
        <v>266</v>
      </c>
      <c r="G83" s="79">
        <v>160</v>
      </c>
      <c r="H83" s="79">
        <v>50</v>
      </c>
      <c r="I83" s="79">
        <v>56</v>
      </c>
      <c r="J83" s="79"/>
      <c r="K83" s="79"/>
      <c r="L83" s="79"/>
      <c r="M83" s="79"/>
      <c r="N83" s="79"/>
      <c r="O83" s="79"/>
      <c r="P83" s="79"/>
      <c r="Q83" s="79"/>
      <c r="R83" s="184"/>
    </row>
    <row r="84" spans="1:18" ht="12.75">
      <c r="A84" s="180"/>
      <c r="B84" s="181"/>
      <c r="C84" s="182"/>
      <c r="D84" s="183" t="s">
        <v>944</v>
      </c>
      <c r="E84" s="82">
        <v>533</v>
      </c>
      <c r="F84" s="82">
        <f t="shared" si="7"/>
        <v>533</v>
      </c>
      <c r="G84" s="79">
        <v>336</v>
      </c>
      <c r="H84" s="79">
        <v>100</v>
      </c>
      <c r="I84" s="79">
        <v>97</v>
      </c>
      <c r="J84" s="79"/>
      <c r="K84" s="79"/>
      <c r="L84" s="79"/>
      <c r="M84" s="79"/>
      <c r="N84" s="79"/>
      <c r="O84" s="79"/>
      <c r="P84" s="79"/>
      <c r="Q84" s="79"/>
      <c r="R84" s="184"/>
    </row>
    <row r="85" spans="1:18" ht="12.75">
      <c r="A85" s="1022" t="s">
        <v>362</v>
      </c>
      <c r="B85" s="1023"/>
      <c r="C85" s="1023"/>
      <c r="D85" s="192" t="s">
        <v>163</v>
      </c>
      <c r="E85" s="82">
        <f>SUM(E71+E74+E77+E80)</f>
        <v>34812</v>
      </c>
      <c r="F85" s="82">
        <f aca="true" t="shared" si="8" ref="F85:R85">SUM(F71+F74+F77+F80)</f>
        <v>34812</v>
      </c>
      <c r="G85" s="82">
        <f t="shared" si="8"/>
        <v>17710</v>
      </c>
      <c r="H85" s="82">
        <f t="shared" si="8"/>
        <v>4781</v>
      </c>
      <c r="I85" s="82">
        <f t="shared" si="8"/>
        <v>4191</v>
      </c>
      <c r="J85" s="82">
        <f t="shared" si="8"/>
        <v>0</v>
      </c>
      <c r="K85" s="82">
        <f t="shared" si="8"/>
        <v>7584</v>
      </c>
      <c r="L85" s="82">
        <f t="shared" si="8"/>
        <v>0</v>
      </c>
      <c r="M85" s="82">
        <f t="shared" si="8"/>
        <v>0</v>
      </c>
      <c r="N85" s="82">
        <f t="shared" si="8"/>
        <v>546</v>
      </c>
      <c r="O85" s="82">
        <f t="shared" si="8"/>
        <v>0</v>
      </c>
      <c r="P85" s="82">
        <f t="shared" si="8"/>
        <v>0</v>
      </c>
      <c r="Q85" s="82">
        <f t="shared" si="8"/>
        <v>0</v>
      </c>
      <c r="R85" s="206">
        <f t="shared" si="8"/>
        <v>0</v>
      </c>
    </row>
    <row r="86" spans="1:18" ht="12.75">
      <c r="A86" s="267"/>
      <c r="B86" s="268"/>
      <c r="C86" s="268"/>
      <c r="D86" s="192" t="s">
        <v>765</v>
      </c>
      <c r="E86" s="82">
        <f>SUM(E72+E75+E78+E81+E83)</f>
        <v>36460</v>
      </c>
      <c r="F86" s="82">
        <f aca="true" t="shared" si="9" ref="F86:R87">SUM(F72+F75+F78+F81+F83)</f>
        <v>36460</v>
      </c>
      <c r="G86" s="82">
        <f t="shared" si="9"/>
        <v>18958</v>
      </c>
      <c r="H86" s="82">
        <f t="shared" si="9"/>
        <v>5125</v>
      </c>
      <c r="I86" s="82">
        <f t="shared" si="9"/>
        <v>4247</v>
      </c>
      <c r="J86" s="82">
        <f t="shared" si="9"/>
        <v>0</v>
      </c>
      <c r="K86" s="82">
        <f t="shared" si="9"/>
        <v>7584</v>
      </c>
      <c r="L86" s="82">
        <f t="shared" si="9"/>
        <v>0</v>
      </c>
      <c r="M86" s="82">
        <f t="shared" si="9"/>
        <v>0</v>
      </c>
      <c r="N86" s="82">
        <f t="shared" si="9"/>
        <v>546</v>
      </c>
      <c r="O86" s="82">
        <f t="shared" si="9"/>
        <v>0</v>
      </c>
      <c r="P86" s="82">
        <f t="shared" si="9"/>
        <v>0</v>
      </c>
      <c r="Q86" s="82">
        <f t="shared" si="9"/>
        <v>0</v>
      </c>
      <c r="R86" s="206">
        <f t="shared" si="9"/>
        <v>0</v>
      </c>
    </row>
    <row r="87" spans="1:18" ht="13.5" thickBot="1">
      <c r="A87" s="337"/>
      <c r="B87" s="338"/>
      <c r="C87" s="339"/>
      <c r="D87" s="795" t="s">
        <v>944</v>
      </c>
      <c r="E87" s="340">
        <f>SUM(E73+E76+E79+E82+E84)</f>
        <v>36811</v>
      </c>
      <c r="F87" s="340">
        <f t="shared" si="9"/>
        <v>36811</v>
      </c>
      <c r="G87" s="340">
        <f t="shared" si="9"/>
        <v>19200</v>
      </c>
      <c r="H87" s="340">
        <f t="shared" si="9"/>
        <v>5193</v>
      </c>
      <c r="I87" s="340">
        <f t="shared" si="9"/>
        <v>4288</v>
      </c>
      <c r="J87" s="340">
        <f t="shared" si="9"/>
        <v>0</v>
      </c>
      <c r="K87" s="340">
        <f t="shared" si="9"/>
        <v>7584</v>
      </c>
      <c r="L87" s="340">
        <f t="shared" si="9"/>
        <v>0</v>
      </c>
      <c r="M87" s="340">
        <f t="shared" si="9"/>
        <v>0</v>
      </c>
      <c r="N87" s="340">
        <f t="shared" si="9"/>
        <v>546</v>
      </c>
      <c r="O87" s="340">
        <f t="shared" si="9"/>
        <v>0</v>
      </c>
      <c r="P87" s="340">
        <f t="shared" si="9"/>
        <v>0</v>
      </c>
      <c r="Q87" s="340">
        <f t="shared" si="9"/>
        <v>0</v>
      </c>
      <c r="R87" s="799">
        <f t="shared" si="9"/>
        <v>0</v>
      </c>
    </row>
    <row r="88" spans="1:18" ht="12.75">
      <c r="A88" s="1031" t="s">
        <v>27</v>
      </c>
      <c r="B88" s="1032"/>
      <c r="C88" s="1032"/>
      <c r="D88" s="343"/>
      <c r="E88" s="344"/>
      <c r="F88" s="344"/>
      <c r="G88" s="445"/>
      <c r="H88" s="445"/>
      <c r="I88" s="445"/>
      <c r="J88" s="445"/>
      <c r="K88" s="445"/>
      <c r="L88" s="445"/>
      <c r="M88" s="445"/>
      <c r="N88" s="445"/>
      <c r="O88" s="445"/>
      <c r="P88" s="445"/>
      <c r="Q88" s="445"/>
      <c r="R88" s="345"/>
    </row>
    <row r="89" spans="1:18" ht="12.75">
      <c r="A89" s="180" t="s">
        <v>588</v>
      </c>
      <c r="B89" s="181" t="s">
        <v>175</v>
      </c>
      <c r="C89" s="182" t="s">
        <v>347</v>
      </c>
      <c r="D89" s="183" t="s">
        <v>163</v>
      </c>
      <c r="E89" s="82">
        <v>1680</v>
      </c>
      <c r="F89" s="82">
        <f>G89+H89+I89+J89+K89+L89+M89+N89+O89+P89+Q89+R89</f>
        <v>8909</v>
      </c>
      <c r="G89" s="80">
        <v>5644</v>
      </c>
      <c r="H89" s="80">
        <v>1517</v>
      </c>
      <c r="I89" s="80">
        <v>1557</v>
      </c>
      <c r="J89" s="80"/>
      <c r="K89" s="80"/>
      <c r="L89" s="80"/>
      <c r="M89" s="80"/>
      <c r="N89" s="80">
        <v>191</v>
      </c>
      <c r="O89" s="83"/>
      <c r="P89" s="80"/>
      <c r="Q89" s="80"/>
      <c r="R89" s="184"/>
    </row>
    <row r="90" spans="1:18" ht="12.75">
      <c r="A90" s="180"/>
      <c r="B90" s="181"/>
      <c r="C90" s="182"/>
      <c r="D90" s="183" t="s">
        <v>765</v>
      </c>
      <c r="E90" s="82">
        <v>2312</v>
      </c>
      <c r="F90" s="82">
        <f>G90+H90+I90+J90+K90+L90+M90+N90+O90+P90+Q90+R90</f>
        <v>9746</v>
      </c>
      <c r="G90" s="80">
        <v>6302</v>
      </c>
      <c r="H90" s="80">
        <v>1696</v>
      </c>
      <c r="I90" s="80">
        <v>1557</v>
      </c>
      <c r="J90" s="80"/>
      <c r="K90" s="80"/>
      <c r="L90" s="80"/>
      <c r="M90" s="80"/>
      <c r="N90" s="80">
        <v>191</v>
      </c>
      <c r="O90" s="83"/>
      <c r="P90" s="80"/>
      <c r="Q90" s="80"/>
      <c r="R90" s="184"/>
    </row>
    <row r="91" spans="1:18" ht="12.75">
      <c r="A91" s="180"/>
      <c r="B91" s="181"/>
      <c r="C91" s="182"/>
      <c r="D91" s="183" t="s">
        <v>944</v>
      </c>
      <c r="E91" s="82">
        <v>2312</v>
      </c>
      <c r="F91" s="82">
        <f aca="true" t="shared" si="10" ref="F91:F96">G91+H91+I91+J91+K91+L91+M91+N91+O91+P91+Q91+R91</f>
        <v>9888</v>
      </c>
      <c r="G91" s="80">
        <v>6415</v>
      </c>
      <c r="H91" s="80">
        <v>1725</v>
      </c>
      <c r="I91" s="80">
        <v>1527</v>
      </c>
      <c r="J91" s="80"/>
      <c r="K91" s="80"/>
      <c r="L91" s="80"/>
      <c r="M91" s="80"/>
      <c r="N91" s="80">
        <v>221</v>
      </c>
      <c r="O91" s="83"/>
      <c r="P91" s="80"/>
      <c r="Q91" s="80"/>
      <c r="R91" s="184"/>
    </row>
    <row r="92" spans="1:18" ht="12.75">
      <c r="A92" s="180" t="s">
        <v>593</v>
      </c>
      <c r="B92" s="181" t="s">
        <v>359</v>
      </c>
      <c r="C92" s="182" t="s">
        <v>613</v>
      </c>
      <c r="D92" s="183" t="s">
        <v>163</v>
      </c>
      <c r="E92" s="82">
        <v>7229</v>
      </c>
      <c r="F92" s="82">
        <f t="shared" si="10"/>
        <v>0</v>
      </c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184"/>
    </row>
    <row r="93" spans="1:18" ht="12.75">
      <c r="A93" s="180"/>
      <c r="B93" s="181"/>
      <c r="C93" s="182"/>
      <c r="D93" s="183" t="s">
        <v>765</v>
      </c>
      <c r="E93" s="82">
        <v>7434</v>
      </c>
      <c r="F93" s="82">
        <f t="shared" si="10"/>
        <v>0</v>
      </c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184"/>
    </row>
    <row r="94" spans="1:18" ht="12.75">
      <c r="A94" s="180"/>
      <c r="B94" s="181"/>
      <c r="C94" s="182"/>
      <c r="D94" s="183" t="s">
        <v>944</v>
      </c>
      <c r="E94" s="82">
        <v>7576</v>
      </c>
      <c r="F94" s="82">
        <f t="shared" si="10"/>
        <v>0</v>
      </c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184"/>
    </row>
    <row r="95" spans="1:18" ht="12.75">
      <c r="A95" s="180" t="s">
        <v>593</v>
      </c>
      <c r="B95" s="181" t="s">
        <v>775</v>
      </c>
      <c r="C95" s="182" t="s">
        <v>776</v>
      </c>
      <c r="D95" s="183" t="s">
        <v>765</v>
      </c>
      <c r="E95" s="82">
        <v>184</v>
      </c>
      <c r="F95" s="82">
        <f t="shared" si="10"/>
        <v>184</v>
      </c>
      <c r="G95" s="80">
        <v>120</v>
      </c>
      <c r="H95" s="80">
        <v>37</v>
      </c>
      <c r="I95" s="80">
        <v>27</v>
      </c>
      <c r="J95" s="80"/>
      <c r="K95" s="80"/>
      <c r="L95" s="80"/>
      <c r="M95" s="80"/>
      <c r="N95" s="80"/>
      <c r="O95" s="80"/>
      <c r="P95" s="80"/>
      <c r="Q95" s="80"/>
      <c r="R95" s="184"/>
    </row>
    <row r="96" spans="1:18" ht="12.75">
      <c r="A96" s="180"/>
      <c r="B96" s="181"/>
      <c r="C96" s="182"/>
      <c r="D96" s="183" t="s">
        <v>944</v>
      </c>
      <c r="E96" s="82">
        <v>368</v>
      </c>
      <c r="F96" s="82">
        <f t="shared" si="10"/>
        <v>368</v>
      </c>
      <c r="G96" s="80">
        <v>249</v>
      </c>
      <c r="H96" s="80">
        <v>74</v>
      </c>
      <c r="I96" s="80">
        <v>45</v>
      </c>
      <c r="J96" s="80"/>
      <c r="K96" s="80"/>
      <c r="L96" s="80"/>
      <c r="M96" s="80"/>
      <c r="N96" s="80"/>
      <c r="O96" s="80"/>
      <c r="P96" s="80"/>
      <c r="Q96" s="80"/>
      <c r="R96" s="184"/>
    </row>
    <row r="97" spans="1:18" ht="12.75">
      <c r="A97" s="1022" t="s">
        <v>363</v>
      </c>
      <c r="B97" s="1023"/>
      <c r="C97" s="1023"/>
      <c r="D97" s="192" t="s">
        <v>163</v>
      </c>
      <c r="E97" s="82">
        <f>SUM(E89+E92)</f>
        <v>8909</v>
      </c>
      <c r="F97" s="82">
        <f aca="true" t="shared" si="11" ref="F97:Q97">SUM(F89+F92)</f>
        <v>8909</v>
      </c>
      <c r="G97" s="82">
        <f t="shared" si="11"/>
        <v>5644</v>
      </c>
      <c r="H97" s="82">
        <f t="shared" si="11"/>
        <v>1517</v>
      </c>
      <c r="I97" s="82">
        <f t="shared" si="11"/>
        <v>1557</v>
      </c>
      <c r="J97" s="82">
        <f t="shared" si="11"/>
        <v>0</v>
      </c>
      <c r="K97" s="82">
        <f t="shared" si="11"/>
        <v>0</v>
      </c>
      <c r="L97" s="82">
        <f t="shared" si="11"/>
        <v>0</v>
      </c>
      <c r="M97" s="82">
        <f t="shared" si="11"/>
        <v>0</v>
      </c>
      <c r="N97" s="82">
        <f t="shared" si="11"/>
        <v>191</v>
      </c>
      <c r="O97" s="82">
        <f t="shared" si="11"/>
        <v>0</v>
      </c>
      <c r="P97" s="82">
        <f t="shared" si="11"/>
        <v>0</v>
      </c>
      <c r="Q97" s="82">
        <f t="shared" si="11"/>
        <v>0</v>
      </c>
      <c r="R97" s="205">
        <f>SUM(R89:R92)</f>
        <v>0</v>
      </c>
    </row>
    <row r="98" spans="1:18" ht="12.75">
      <c r="A98" s="267"/>
      <c r="B98" s="268"/>
      <c r="C98" s="268"/>
      <c r="D98" s="192" t="s">
        <v>765</v>
      </c>
      <c r="E98" s="82">
        <f>SUM(E90+E93+E95)</f>
        <v>9930</v>
      </c>
      <c r="F98" s="82">
        <f aca="true" t="shared" si="12" ref="F98:R98">SUM(F90+F93+F95)</f>
        <v>9930</v>
      </c>
      <c r="G98" s="82">
        <f t="shared" si="12"/>
        <v>6422</v>
      </c>
      <c r="H98" s="82">
        <f t="shared" si="12"/>
        <v>1733</v>
      </c>
      <c r="I98" s="82">
        <f t="shared" si="12"/>
        <v>1584</v>
      </c>
      <c r="J98" s="82">
        <f t="shared" si="12"/>
        <v>0</v>
      </c>
      <c r="K98" s="82">
        <f t="shared" si="12"/>
        <v>0</v>
      </c>
      <c r="L98" s="82">
        <f t="shared" si="12"/>
        <v>0</v>
      </c>
      <c r="M98" s="82">
        <f t="shared" si="12"/>
        <v>0</v>
      </c>
      <c r="N98" s="82">
        <f t="shared" si="12"/>
        <v>191</v>
      </c>
      <c r="O98" s="82">
        <f t="shared" si="12"/>
        <v>0</v>
      </c>
      <c r="P98" s="82">
        <f t="shared" si="12"/>
        <v>0</v>
      </c>
      <c r="Q98" s="82">
        <f t="shared" si="12"/>
        <v>0</v>
      </c>
      <c r="R98" s="206">
        <f t="shared" si="12"/>
        <v>0</v>
      </c>
    </row>
    <row r="99" spans="1:18" ht="12.75">
      <c r="A99" s="180"/>
      <c r="B99" s="181"/>
      <c r="C99" s="182"/>
      <c r="D99" s="192" t="s">
        <v>944</v>
      </c>
      <c r="E99" s="82">
        <f>SUM(E91+E94+E96)</f>
        <v>10256</v>
      </c>
      <c r="F99" s="82">
        <f>SUM(G99:R99)</f>
        <v>10256</v>
      </c>
      <c r="G99" s="82">
        <f aca="true" t="shared" si="13" ref="G99:R99">SUM(G91+G94+G96)</f>
        <v>6664</v>
      </c>
      <c r="H99" s="82">
        <f t="shared" si="13"/>
        <v>1799</v>
      </c>
      <c r="I99" s="82">
        <f t="shared" si="13"/>
        <v>1572</v>
      </c>
      <c r="J99" s="82">
        <f t="shared" si="13"/>
        <v>0</v>
      </c>
      <c r="K99" s="82">
        <f t="shared" si="13"/>
        <v>0</v>
      </c>
      <c r="L99" s="82">
        <f t="shared" si="13"/>
        <v>0</v>
      </c>
      <c r="M99" s="82">
        <f t="shared" si="13"/>
        <v>0</v>
      </c>
      <c r="N99" s="82">
        <f t="shared" si="13"/>
        <v>221</v>
      </c>
      <c r="O99" s="82">
        <f t="shared" si="13"/>
        <v>0</v>
      </c>
      <c r="P99" s="82">
        <f t="shared" si="13"/>
        <v>0</v>
      </c>
      <c r="Q99" s="82">
        <f t="shared" si="13"/>
        <v>0</v>
      </c>
      <c r="R99" s="82">
        <f t="shared" si="13"/>
        <v>0</v>
      </c>
    </row>
    <row r="100" spans="1:18" ht="12.75">
      <c r="A100" s="180"/>
      <c r="B100" s="181"/>
      <c r="C100" s="182"/>
      <c r="D100" s="183"/>
      <c r="E100" s="82"/>
      <c r="F100" s="82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184"/>
    </row>
    <row r="101" spans="1:18" ht="12.75">
      <c r="A101" s="1022" t="s">
        <v>364</v>
      </c>
      <c r="B101" s="1023"/>
      <c r="C101" s="1023"/>
      <c r="D101" s="192" t="s">
        <v>163</v>
      </c>
      <c r="E101" s="82">
        <f>SUM(E67+E85+E97)</f>
        <v>73030</v>
      </c>
      <c r="F101" s="82">
        <f aca="true" t="shared" si="14" ref="F101:R101">SUM(F67+F85+F97)</f>
        <v>73030</v>
      </c>
      <c r="G101" s="82">
        <f t="shared" si="14"/>
        <v>41458</v>
      </c>
      <c r="H101" s="82">
        <f t="shared" si="14"/>
        <v>11632</v>
      </c>
      <c r="I101" s="82">
        <f t="shared" si="14"/>
        <v>9048</v>
      </c>
      <c r="J101" s="82">
        <f t="shared" si="14"/>
        <v>0</v>
      </c>
      <c r="K101" s="82">
        <f t="shared" si="14"/>
        <v>10155</v>
      </c>
      <c r="L101" s="82">
        <f t="shared" si="14"/>
        <v>0</v>
      </c>
      <c r="M101" s="82">
        <f t="shared" si="14"/>
        <v>0</v>
      </c>
      <c r="N101" s="82">
        <f t="shared" si="14"/>
        <v>737</v>
      </c>
      <c r="O101" s="82">
        <f t="shared" si="14"/>
        <v>0</v>
      </c>
      <c r="P101" s="82">
        <f t="shared" si="14"/>
        <v>0</v>
      </c>
      <c r="Q101" s="82">
        <f t="shared" si="14"/>
        <v>0</v>
      </c>
      <c r="R101" s="206">
        <f t="shared" si="14"/>
        <v>0</v>
      </c>
    </row>
    <row r="102" spans="1:18" ht="12.75">
      <c r="A102" s="267"/>
      <c r="B102" s="268"/>
      <c r="C102" s="268"/>
      <c r="D102" s="192" t="s">
        <v>765</v>
      </c>
      <c r="E102" s="82">
        <f>SUM(E68+E86+E98)</f>
        <v>78457</v>
      </c>
      <c r="F102" s="82">
        <f aca="true" t="shared" si="15" ref="F102:R103">SUM(F68+F86+F98)</f>
        <v>78457</v>
      </c>
      <c r="G102" s="82">
        <f t="shared" si="15"/>
        <v>44975</v>
      </c>
      <c r="H102" s="82">
        <f t="shared" si="15"/>
        <v>12603</v>
      </c>
      <c r="I102" s="82">
        <f t="shared" si="15"/>
        <v>9987</v>
      </c>
      <c r="J102" s="82">
        <f t="shared" si="15"/>
        <v>0</v>
      </c>
      <c r="K102" s="82">
        <f t="shared" si="15"/>
        <v>10155</v>
      </c>
      <c r="L102" s="82">
        <f t="shared" si="15"/>
        <v>0</v>
      </c>
      <c r="M102" s="82">
        <f t="shared" si="15"/>
        <v>0</v>
      </c>
      <c r="N102" s="82">
        <f t="shared" si="15"/>
        <v>737</v>
      </c>
      <c r="O102" s="82">
        <f t="shared" si="15"/>
        <v>0</v>
      </c>
      <c r="P102" s="82">
        <f t="shared" si="15"/>
        <v>0</v>
      </c>
      <c r="Q102" s="82">
        <f t="shared" si="15"/>
        <v>0</v>
      </c>
      <c r="R102" s="206">
        <f t="shared" si="15"/>
        <v>0</v>
      </c>
    </row>
    <row r="103" spans="1:18" ht="12.75">
      <c r="A103" s="180"/>
      <c r="B103" s="181"/>
      <c r="C103" s="182"/>
      <c r="D103" s="192" t="s">
        <v>944</v>
      </c>
      <c r="E103" s="82">
        <f>SUM(E69+E87+E99)</f>
        <v>79451</v>
      </c>
      <c r="F103" s="82">
        <f t="shared" si="15"/>
        <v>79451</v>
      </c>
      <c r="G103" s="82">
        <f t="shared" si="15"/>
        <v>45674</v>
      </c>
      <c r="H103" s="82">
        <f t="shared" si="15"/>
        <v>12799</v>
      </c>
      <c r="I103" s="82">
        <f t="shared" si="15"/>
        <v>10056</v>
      </c>
      <c r="J103" s="82">
        <f t="shared" si="15"/>
        <v>0</v>
      </c>
      <c r="K103" s="82">
        <f t="shared" si="15"/>
        <v>10155</v>
      </c>
      <c r="L103" s="82">
        <f t="shared" si="15"/>
        <v>0</v>
      </c>
      <c r="M103" s="82">
        <f t="shared" si="15"/>
        <v>0</v>
      </c>
      <c r="N103" s="82">
        <f t="shared" si="15"/>
        <v>767</v>
      </c>
      <c r="O103" s="82">
        <f t="shared" si="15"/>
        <v>0</v>
      </c>
      <c r="P103" s="82">
        <f t="shared" si="15"/>
        <v>0</v>
      </c>
      <c r="Q103" s="82">
        <f t="shared" si="15"/>
        <v>0</v>
      </c>
      <c r="R103" s="206">
        <f t="shared" si="15"/>
        <v>0</v>
      </c>
    </row>
    <row r="104" spans="1:18" ht="12.75">
      <c r="A104" s="180"/>
      <c r="B104" s="181"/>
      <c r="C104" s="182"/>
      <c r="D104" s="183"/>
      <c r="E104" s="82"/>
      <c r="F104" s="82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184"/>
    </row>
    <row r="105" spans="1:18" ht="12.75">
      <c r="A105" s="1022" t="s">
        <v>365</v>
      </c>
      <c r="B105" s="1023"/>
      <c r="C105" s="1023"/>
      <c r="D105" s="192" t="s">
        <v>163</v>
      </c>
      <c r="E105" s="82">
        <f aca="true" t="shared" si="16" ref="E105:R105">E48+E101</f>
        <v>732559</v>
      </c>
      <c r="F105" s="82">
        <f t="shared" si="16"/>
        <v>732559</v>
      </c>
      <c r="G105" s="82">
        <f t="shared" si="16"/>
        <v>359636</v>
      </c>
      <c r="H105" s="82">
        <f t="shared" si="16"/>
        <v>101463</v>
      </c>
      <c r="I105" s="82">
        <f t="shared" si="16"/>
        <v>130447</v>
      </c>
      <c r="J105" s="82">
        <f t="shared" si="16"/>
        <v>0</v>
      </c>
      <c r="K105" s="82">
        <f t="shared" si="16"/>
        <v>119955</v>
      </c>
      <c r="L105" s="82">
        <f t="shared" si="16"/>
        <v>0</v>
      </c>
      <c r="M105" s="82">
        <f t="shared" si="16"/>
        <v>0</v>
      </c>
      <c r="N105" s="82">
        <f t="shared" si="16"/>
        <v>20058</v>
      </c>
      <c r="O105" s="82">
        <f t="shared" si="16"/>
        <v>1000</v>
      </c>
      <c r="P105" s="82">
        <f t="shared" si="16"/>
        <v>0</v>
      </c>
      <c r="Q105" s="82">
        <f t="shared" si="16"/>
        <v>0</v>
      </c>
      <c r="R105" s="206">
        <f t="shared" si="16"/>
        <v>0</v>
      </c>
    </row>
    <row r="106" spans="1:18" ht="12.75">
      <c r="A106" s="267"/>
      <c r="B106" s="268"/>
      <c r="C106" s="268"/>
      <c r="D106" s="192" t="s">
        <v>765</v>
      </c>
      <c r="E106" s="82">
        <f>SUM(E49+E102)</f>
        <v>754138</v>
      </c>
      <c r="F106" s="82">
        <f aca="true" t="shared" si="17" ref="F106:R107">SUM(F49+F102)</f>
        <v>754138</v>
      </c>
      <c r="G106" s="82">
        <f t="shared" si="17"/>
        <v>374529</v>
      </c>
      <c r="H106" s="82">
        <f t="shared" si="17"/>
        <v>105568</v>
      </c>
      <c r="I106" s="82">
        <f t="shared" si="17"/>
        <v>133028</v>
      </c>
      <c r="J106" s="82">
        <f t="shared" si="17"/>
        <v>0</v>
      </c>
      <c r="K106" s="82">
        <f t="shared" si="17"/>
        <v>119955</v>
      </c>
      <c r="L106" s="82">
        <f t="shared" si="17"/>
        <v>0</v>
      </c>
      <c r="M106" s="82">
        <f t="shared" si="17"/>
        <v>0</v>
      </c>
      <c r="N106" s="82">
        <f t="shared" si="17"/>
        <v>20058</v>
      </c>
      <c r="O106" s="82">
        <f t="shared" si="17"/>
        <v>1000</v>
      </c>
      <c r="P106" s="82">
        <f t="shared" si="17"/>
        <v>0</v>
      </c>
      <c r="Q106" s="82">
        <f t="shared" si="17"/>
        <v>0</v>
      </c>
      <c r="R106" s="206">
        <f t="shared" si="17"/>
        <v>0</v>
      </c>
    </row>
    <row r="107" spans="1:18" ht="12.75">
      <c r="A107" s="180"/>
      <c r="B107" s="181"/>
      <c r="C107" s="182"/>
      <c r="D107" s="192" t="s">
        <v>944</v>
      </c>
      <c r="E107" s="82">
        <f>SUM(E50+E103)</f>
        <v>762987</v>
      </c>
      <c r="F107" s="82">
        <f t="shared" si="17"/>
        <v>762987</v>
      </c>
      <c r="G107" s="82">
        <f t="shared" si="17"/>
        <v>378222</v>
      </c>
      <c r="H107" s="82">
        <f t="shared" si="17"/>
        <v>105663</v>
      </c>
      <c r="I107" s="82">
        <f t="shared" si="17"/>
        <v>136155</v>
      </c>
      <c r="J107" s="82">
        <f t="shared" si="17"/>
        <v>933</v>
      </c>
      <c r="K107" s="82">
        <f t="shared" si="17"/>
        <v>119955</v>
      </c>
      <c r="L107" s="82">
        <f t="shared" si="17"/>
        <v>0</v>
      </c>
      <c r="M107" s="82">
        <f t="shared" si="17"/>
        <v>971</v>
      </c>
      <c r="N107" s="82">
        <f t="shared" si="17"/>
        <v>20088</v>
      </c>
      <c r="O107" s="82">
        <f t="shared" si="17"/>
        <v>1000</v>
      </c>
      <c r="P107" s="82">
        <f t="shared" si="17"/>
        <v>0</v>
      </c>
      <c r="Q107" s="82">
        <f t="shared" si="17"/>
        <v>0</v>
      </c>
      <c r="R107" s="206">
        <f t="shared" si="17"/>
        <v>0</v>
      </c>
    </row>
    <row r="108" spans="1:18" ht="12.75">
      <c r="A108" s="180"/>
      <c r="B108" s="181"/>
      <c r="C108" s="182"/>
      <c r="D108" s="183"/>
      <c r="E108" s="82"/>
      <c r="F108" s="82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184"/>
    </row>
    <row r="109" spans="1:18" ht="12.75">
      <c r="A109" s="1029" t="s">
        <v>366</v>
      </c>
      <c r="B109" s="1030"/>
      <c r="C109" s="1030"/>
      <c r="D109" s="192" t="s">
        <v>163</v>
      </c>
      <c r="E109" s="167">
        <f>SUM(E16+E34+E37+E40+E56+E59+E62+E74+E77+E80+E92)</f>
        <v>713374</v>
      </c>
      <c r="F109" s="167">
        <f aca="true" t="shared" si="18" ref="F109:R109">SUM(F16+F34+F37+F40+F56+F59+F62+F74+F77+F80+F92)</f>
        <v>119955</v>
      </c>
      <c r="G109" s="167">
        <f t="shared" si="18"/>
        <v>0</v>
      </c>
      <c r="H109" s="167">
        <f t="shared" si="18"/>
        <v>0</v>
      </c>
      <c r="I109" s="167">
        <f t="shared" si="18"/>
        <v>0</v>
      </c>
      <c r="J109" s="167">
        <f t="shared" si="18"/>
        <v>0</v>
      </c>
      <c r="K109" s="167">
        <f t="shared" si="18"/>
        <v>119955</v>
      </c>
      <c r="L109" s="167">
        <f t="shared" si="18"/>
        <v>0</v>
      </c>
      <c r="M109" s="167">
        <f t="shared" si="18"/>
        <v>0</v>
      </c>
      <c r="N109" s="167">
        <f t="shared" si="18"/>
        <v>0</v>
      </c>
      <c r="O109" s="167">
        <f t="shared" si="18"/>
        <v>0</v>
      </c>
      <c r="P109" s="167">
        <f t="shared" si="18"/>
        <v>0</v>
      </c>
      <c r="Q109" s="167">
        <f t="shared" si="18"/>
        <v>0</v>
      </c>
      <c r="R109" s="168">
        <f t="shared" si="18"/>
        <v>0</v>
      </c>
    </row>
    <row r="110" spans="1:18" ht="12.75">
      <c r="A110" s="265"/>
      <c r="B110" s="266"/>
      <c r="C110" s="266"/>
      <c r="D110" s="192" t="s">
        <v>765</v>
      </c>
      <c r="E110" s="167">
        <f>SUM(E17+E35+E38+E41+E46+E57+E60+E63+E65+E75+E78+E81+E83+E93+E95)</f>
        <v>721508</v>
      </c>
      <c r="F110" s="167">
        <f aca="true" t="shared" si="19" ref="F110:R111">SUM(F17+F35+F38+F41+F46+F57+F60+F63+F65+F75+F78+F81+F83+F93+F95)</f>
        <v>124288</v>
      </c>
      <c r="G110" s="167">
        <f t="shared" si="19"/>
        <v>2660</v>
      </c>
      <c r="H110" s="167">
        <f t="shared" si="19"/>
        <v>835</v>
      </c>
      <c r="I110" s="167">
        <f t="shared" si="19"/>
        <v>838</v>
      </c>
      <c r="J110" s="167">
        <f t="shared" si="19"/>
        <v>0</v>
      </c>
      <c r="K110" s="167">
        <f t="shared" si="19"/>
        <v>119955</v>
      </c>
      <c r="L110" s="167">
        <f t="shared" si="19"/>
        <v>0</v>
      </c>
      <c r="M110" s="167">
        <f t="shared" si="19"/>
        <v>0</v>
      </c>
      <c r="N110" s="167">
        <f t="shared" si="19"/>
        <v>0</v>
      </c>
      <c r="O110" s="167">
        <f t="shared" si="19"/>
        <v>0</v>
      </c>
      <c r="P110" s="167">
        <f t="shared" si="19"/>
        <v>0</v>
      </c>
      <c r="Q110" s="167">
        <f t="shared" si="19"/>
        <v>0</v>
      </c>
      <c r="R110" s="168">
        <f t="shared" si="19"/>
        <v>0</v>
      </c>
    </row>
    <row r="111" spans="1:18" ht="12.75">
      <c r="A111" s="186"/>
      <c r="B111" s="177"/>
      <c r="C111" s="177"/>
      <c r="D111" s="192" t="s">
        <v>944</v>
      </c>
      <c r="E111" s="167">
        <f>SUM(E18+E36+E39+E42+E47+E58+E61+E64+E66+E76+E79+E82+E84+E94+E96)</f>
        <v>730347</v>
      </c>
      <c r="F111" s="167">
        <f t="shared" si="19"/>
        <v>128834</v>
      </c>
      <c r="G111" s="167">
        <f t="shared" si="19"/>
        <v>5727</v>
      </c>
      <c r="H111" s="167">
        <f t="shared" si="19"/>
        <v>1696</v>
      </c>
      <c r="I111" s="167">
        <f t="shared" si="19"/>
        <v>1456</v>
      </c>
      <c r="J111" s="167">
        <f t="shared" si="19"/>
        <v>0</v>
      </c>
      <c r="K111" s="167">
        <f t="shared" si="19"/>
        <v>119955</v>
      </c>
      <c r="L111" s="167">
        <f t="shared" si="19"/>
        <v>0</v>
      </c>
      <c r="M111" s="167">
        <f t="shared" si="19"/>
        <v>0</v>
      </c>
      <c r="N111" s="167">
        <f t="shared" si="19"/>
        <v>0</v>
      </c>
      <c r="O111" s="167">
        <f t="shared" si="19"/>
        <v>0</v>
      </c>
      <c r="P111" s="167">
        <f t="shared" si="19"/>
        <v>0</v>
      </c>
      <c r="Q111" s="167">
        <f t="shared" si="19"/>
        <v>0</v>
      </c>
      <c r="R111" s="168">
        <f t="shared" si="19"/>
        <v>0</v>
      </c>
    </row>
    <row r="112" spans="1:18" ht="12.75">
      <c r="A112" s="186"/>
      <c r="B112" s="177"/>
      <c r="C112" s="177"/>
      <c r="D112" s="192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8"/>
    </row>
    <row r="113" spans="1:18" ht="12.75">
      <c r="A113" s="1029" t="s">
        <v>763</v>
      </c>
      <c r="B113" s="1030"/>
      <c r="C113" s="1030"/>
      <c r="D113" s="192" t="s">
        <v>163</v>
      </c>
      <c r="E113" s="167">
        <f>SUM(E19+E22+E28+E43)</f>
        <v>4710</v>
      </c>
      <c r="F113" s="167">
        <f aca="true" t="shared" si="20" ref="F113:R113">SUM(F19+F22+F28+F43)</f>
        <v>25085</v>
      </c>
      <c r="G113" s="167">
        <f t="shared" si="20"/>
        <v>14004</v>
      </c>
      <c r="H113" s="167">
        <f t="shared" si="20"/>
        <v>3485</v>
      </c>
      <c r="I113" s="167">
        <f t="shared" si="20"/>
        <v>5880</v>
      </c>
      <c r="J113" s="167">
        <f t="shared" si="20"/>
        <v>0</v>
      </c>
      <c r="K113" s="167">
        <f t="shared" si="20"/>
        <v>0</v>
      </c>
      <c r="L113" s="167">
        <f t="shared" si="20"/>
        <v>0</v>
      </c>
      <c r="M113" s="167">
        <f t="shared" si="20"/>
        <v>0</v>
      </c>
      <c r="N113" s="167">
        <f t="shared" si="20"/>
        <v>716</v>
      </c>
      <c r="O113" s="167">
        <f t="shared" si="20"/>
        <v>1000</v>
      </c>
      <c r="P113" s="167">
        <f t="shared" si="20"/>
        <v>0</v>
      </c>
      <c r="Q113" s="167">
        <f t="shared" si="20"/>
        <v>0</v>
      </c>
      <c r="R113" s="168">
        <f t="shared" si="20"/>
        <v>0</v>
      </c>
    </row>
    <row r="114" spans="1:18" ht="12.75">
      <c r="A114" s="265"/>
      <c r="B114" s="266"/>
      <c r="C114" s="266"/>
      <c r="D114" s="192" t="s">
        <v>765</v>
      </c>
      <c r="E114" s="167">
        <f>SUM(E20+E23+E29+E44)</f>
        <v>5653</v>
      </c>
      <c r="F114" s="167">
        <f aca="true" t="shared" si="21" ref="F114:R115">SUM(F20+F23+F29+F44)</f>
        <v>26028</v>
      </c>
      <c r="G114" s="167">
        <f t="shared" si="21"/>
        <v>14004</v>
      </c>
      <c r="H114" s="167">
        <f t="shared" si="21"/>
        <v>3485</v>
      </c>
      <c r="I114" s="167">
        <f t="shared" si="21"/>
        <v>6823</v>
      </c>
      <c r="J114" s="167">
        <f t="shared" si="21"/>
        <v>0</v>
      </c>
      <c r="K114" s="167">
        <f t="shared" si="21"/>
        <v>0</v>
      </c>
      <c r="L114" s="167">
        <f t="shared" si="21"/>
        <v>0</v>
      </c>
      <c r="M114" s="167">
        <f t="shared" si="21"/>
        <v>0</v>
      </c>
      <c r="N114" s="167">
        <f t="shared" si="21"/>
        <v>716</v>
      </c>
      <c r="O114" s="167">
        <f t="shared" si="21"/>
        <v>1000</v>
      </c>
      <c r="P114" s="167">
        <f t="shared" si="21"/>
        <v>0</v>
      </c>
      <c r="Q114" s="167">
        <f t="shared" si="21"/>
        <v>0</v>
      </c>
      <c r="R114" s="168">
        <f t="shared" si="21"/>
        <v>0</v>
      </c>
    </row>
    <row r="115" spans="1:18" ht="12.75">
      <c r="A115" s="186"/>
      <c r="B115" s="177"/>
      <c r="C115" s="177"/>
      <c r="D115" s="192" t="s">
        <v>944</v>
      </c>
      <c r="E115" s="167">
        <f>SUM(E21+E24+E30+E45)</f>
        <v>5663</v>
      </c>
      <c r="F115" s="167">
        <f t="shared" si="21"/>
        <v>24538</v>
      </c>
      <c r="G115" s="167">
        <f t="shared" si="21"/>
        <v>14004</v>
      </c>
      <c r="H115" s="167">
        <f t="shared" si="21"/>
        <v>3485</v>
      </c>
      <c r="I115" s="167">
        <f t="shared" si="21"/>
        <v>5333</v>
      </c>
      <c r="J115" s="167">
        <f t="shared" si="21"/>
        <v>0</v>
      </c>
      <c r="K115" s="167">
        <f t="shared" si="21"/>
        <v>0</v>
      </c>
      <c r="L115" s="167">
        <f t="shared" si="21"/>
        <v>0</v>
      </c>
      <c r="M115" s="167">
        <f t="shared" si="21"/>
        <v>0</v>
      </c>
      <c r="N115" s="167">
        <f t="shared" si="21"/>
        <v>716</v>
      </c>
      <c r="O115" s="167">
        <f t="shared" si="21"/>
        <v>1000</v>
      </c>
      <c r="P115" s="167">
        <f t="shared" si="21"/>
        <v>0</v>
      </c>
      <c r="Q115" s="167">
        <f t="shared" si="21"/>
        <v>0</v>
      </c>
      <c r="R115" s="168">
        <f t="shared" si="21"/>
        <v>0</v>
      </c>
    </row>
    <row r="116" spans="1:18" ht="12.75">
      <c r="A116" s="186"/>
      <c r="B116" s="177"/>
      <c r="C116" s="177"/>
      <c r="D116" s="192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8"/>
    </row>
    <row r="117" spans="1:18" ht="12.75">
      <c r="A117" s="1029" t="s">
        <v>764</v>
      </c>
      <c r="B117" s="1030"/>
      <c r="C117" s="1030"/>
      <c r="D117" s="192" t="s">
        <v>163</v>
      </c>
      <c r="E117" s="167">
        <f>SUM(E10+E13+E25+E31+E53+E71+E89)</f>
        <v>14475</v>
      </c>
      <c r="F117" s="167">
        <f aca="true" t="shared" si="22" ref="F117:R117">SUM(F10+F13+F25+F31+F53+F71+F89)</f>
        <v>587519</v>
      </c>
      <c r="G117" s="167">
        <f t="shared" si="22"/>
        <v>345632</v>
      </c>
      <c r="H117" s="167">
        <f t="shared" si="22"/>
        <v>97978</v>
      </c>
      <c r="I117" s="167">
        <f t="shared" si="22"/>
        <v>124567</v>
      </c>
      <c r="J117" s="167">
        <f t="shared" si="22"/>
        <v>0</v>
      </c>
      <c r="K117" s="167">
        <f t="shared" si="22"/>
        <v>0</v>
      </c>
      <c r="L117" s="167">
        <f t="shared" si="22"/>
        <v>0</v>
      </c>
      <c r="M117" s="167">
        <f t="shared" si="22"/>
        <v>0</v>
      </c>
      <c r="N117" s="167">
        <f t="shared" si="22"/>
        <v>19342</v>
      </c>
      <c r="O117" s="167">
        <f t="shared" si="22"/>
        <v>0</v>
      </c>
      <c r="P117" s="167">
        <f t="shared" si="22"/>
        <v>0</v>
      </c>
      <c r="Q117" s="167">
        <f t="shared" si="22"/>
        <v>0</v>
      </c>
      <c r="R117" s="168">
        <f t="shared" si="22"/>
        <v>0</v>
      </c>
    </row>
    <row r="118" spans="1:18" ht="12.75">
      <c r="A118" s="277"/>
      <c r="B118" s="623"/>
      <c r="C118" s="624"/>
      <c r="D118" s="796" t="s">
        <v>765</v>
      </c>
      <c r="E118" s="633">
        <f>SUM(E11+E14+E26+E32+E54+E72+E90)</f>
        <v>26977</v>
      </c>
      <c r="F118" s="633">
        <f aca="true" t="shared" si="23" ref="F118:R119">SUM(F11+F14+F26+F32+F54+F72+F90)</f>
        <v>603822</v>
      </c>
      <c r="G118" s="633">
        <f t="shared" si="23"/>
        <v>357865</v>
      </c>
      <c r="H118" s="633">
        <f t="shared" si="23"/>
        <v>101248</v>
      </c>
      <c r="I118" s="633">
        <f t="shared" si="23"/>
        <v>125367</v>
      </c>
      <c r="J118" s="633">
        <f t="shared" si="23"/>
        <v>0</v>
      </c>
      <c r="K118" s="633">
        <f t="shared" si="23"/>
        <v>0</v>
      </c>
      <c r="L118" s="633">
        <f t="shared" si="23"/>
        <v>0</v>
      </c>
      <c r="M118" s="633">
        <f t="shared" si="23"/>
        <v>0</v>
      </c>
      <c r="N118" s="633">
        <f t="shared" si="23"/>
        <v>19342</v>
      </c>
      <c r="O118" s="633">
        <f t="shared" si="23"/>
        <v>0</v>
      </c>
      <c r="P118" s="633">
        <f t="shared" si="23"/>
        <v>0</v>
      </c>
      <c r="Q118" s="633">
        <f t="shared" si="23"/>
        <v>0</v>
      </c>
      <c r="R118" s="634">
        <f t="shared" si="23"/>
        <v>0</v>
      </c>
    </row>
    <row r="119" spans="1:18" ht="13.5" thickBot="1">
      <c r="A119" s="194"/>
      <c r="B119" s="278"/>
      <c r="C119" s="279"/>
      <c r="D119" s="795" t="s">
        <v>944</v>
      </c>
      <c r="E119" s="797">
        <f>SUM(E12+E15+E27+E33+E55+E73+E91)</f>
        <v>26977</v>
      </c>
      <c r="F119" s="797">
        <f t="shared" si="23"/>
        <v>609615</v>
      </c>
      <c r="G119" s="797">
        <f t="shared" si="23"/>
        <v>358491</v>
      </c>
      <c r="H119" s="797">
        <f t="shared" si="23"/>
        <v>100482</v>
      </c>
      <c r="I119" s="797">
        <f t="shared" si="23"/>
        <v>129366</v>
      </c>
      <c r="J119" s="797">
        <f t="shared" si="23"/>
        <v>933</v>
      </c>
      <c r="K119" s="797">
        <f t="shared" si="23"/>
        <v>0</v>
      </c>
      <c r="L119" s="797">
        <f t="shared" si="23"/>
        <v>0</v>
      </c>
      <c r="M119" s="797">
        <f t="shared" si="23"/>
        <v>971</v>
      </c>
      <c r="N119" s="797">
        <f t="shared" si="23"/>
        <v>19372</v>
      </c>
      <c r="O119" s="797">
        <f t="shared" si="23"/>
        <v>0</v>
      </c>
      <c r="P119" s="797">
        <f t="shared" si="23"/>
        <v>0</v>
      </c>
      <c r="Q119" s="797">
        <f t="shared" si="23"/>
        <v>0</v>
      </c>
      <c r="R119" s="798">
        <f t="shared" si="23"/>
        <v>0</v>
      </c>
    </row>
  </sheetData>
  <sheetProtection selectLockedCells="1" selectUnlockedCells="1"/>
  <mergeCells count="34">
    <mergeCell ref="A85:C85"/>
    <mergeCell ref="A109:C109"/>
    <mergeCell ref="A113:C113"/>
    <mergeCell ref="A117:C117"/>
    <mergeCell ref="A88:C88"/>
    <mergeCell ref="A97:C97"/>
    <mergeCell ref="A101:C101"/>
    <mergeCell ref="A105:C105"/>
    <mergeCell ref="A52:C52"/>
    <mergeCell ref="A9:C9"/>
    <mergeCell ref="A67:C67"/>
    <mergeCell ref="A70:C70"/>
    <mergeCell ref="Q7:Q8"/>
    <mergeCell ref="O7:O8"/>
    <mergeCell ref="A48:C48"/>
    <mergeCell ref="A6:D8"/>
    <mergeCell ref="Q6:R6"/>
    <mergeCell ref="N7:N8"/>
    <mergeCell ref="R7:R8"/>
    <mergeCell ref="B1:C1"/>
    <mergeCell ref="B4:P4"/>
    <mergeCell ref="E6:E8"/>
    <mergeCell ref="F6:F8"/>
    <mergeCell ref="G6:L6"/>
    <mergeCell ref="P7:P8"/>
    <mergeCell ref="B3:R3"/>
    <mergeCell ref="M6:P6"/>
    <mergeCell ref="K7:K8"/>
    <mergeCell ref="M7:M8"/>
    <mergeCell ref="L7:L8"/>
    <mergeCell ref="G7:G8"/>
    <mergeCell ref="H7:H8"/>
    <mergeCell ref="I7:I8"/>
    <mergeCell ref="J7:J8"/>
  </mergeCells>
  <printOptions horizontalCentered="1"/>
  <pageMargins left="0.2362204724409449" right="0.2362204724409449" top="0.6420833333333333" bottom="0.4504166666666667" header="0.31496062992125984" footer="0.31496062992125984"/>
  <pageSetup firstPageNumber="1" useFirstPageNumber="1" horizontalDpi="600" verticalDpi="600" orientation="landscape" paperSize="9" scale="46" r:id="rId1"/>
  <headerFooter alignWithMargins="0">
    <oddHeader>&amp;L 5. melléklet a 18/2014.(IX.1.) önkormányzati rendelethez
"5. melléklet az 1/2014.(I.31.) önkormányzati rendelethez"</oddHeader>
  </headerFooter>
  <rowBreaks count="1" manualBreakCount="1">
    <brk id="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E79"/>
  <sheetViews>
    <sheetView view="pageLayout" zoomScaleSheetLayoutView="100" workbookViewId="0" topLeftCell="A1">
      <selection activeCell="A1" sqref="A1:Q1"/>
    </sheetView>
  </sheetViews>
  <sheetFormatPr defaultColWidth="9.00390625" defaultRowHeight="12.75"/>
  <cols>
    <col min="1" max="1" width="30.75390625" style="859" customWidth="1"/>
    <col min="2" max="2" width="14.75390625" style="859" customWidth="1"/>
    <col min="3" max="3" width="11.75390625" style="859" customWidth="1"/>
    <col min="4" max="4" width="13.00390625" style="859" customWidth="1"/>
    <col min="5" max="6" width="9.125" style="859" customWidth="1"/>
    <col min="7" max="7" width="8.75390625" style="859" customWidth="1"/>
    <col min="8" max="8" width="9.375" style="859" customWidth="1"/>
    <col min="9" max="9" width="11.00390625" style="859" customWidth="1"/>
    <col min="10" max="10" width="14.25390625" style="859" customWidth="1"/>
    <col min="11" max="11" width="9.125" style="859" customWidth="1"/>
    <col min="12" max="12" width="11.625" style="859" customWidth="1"/>
    <col min="13" max="13" width="11.25390625" style="859" customWidth="1"/>
    <col min="14" max="14" width="8.125" style="859" customWidth="1"/>
    <col min="15" max="15" width="12.625" style="859" customWidth="1"/>
    <col min="16" max="16" width="9.125" style="859" customWidth="1"/>
    <col min="17" max="17" width="12.125" style="859" customWidth="1"/>
    <col min="18" max="18" width="30.75390625" style="859" customWidth="1"/>
    <col min="19" max="19" width="14.75390625" style="859" customWidth="1"/>
    <col min="20" max="20" width="11.75390625" style="859" customWidth="1"/>
    <col min="21" max="22" width="10.00390625" style="859" bestFit="1" customWidth="1"/>
    <col min="23" max="23" width="9.125" style="859" customWidth="1"/>
    <col min="24" max="24" width="10.875" style="859" customWidth="1"/>
    <col min="25" max="25" width="9.125" style="859" customWidth="1"/>
    <col min="26" max="26" width="13.125" style="859" customWidth="1"/>
    <col min="27" max="28" width="10.125" style="859" customWidth="1"/>
    <col min="29" max="29" width="11.00390625" style="859" bestFit="1" customWidth="1"/>
    <col min="30" max="31" width="9.125" style="859" hidden="1" customWidth="1"/>
    <col min="32" max="16384" width="9.125" style="859" customWidth="1"/>
  </cols>
  <sheetData>
    <row r="1" spans="1:29" ht="12.75">
      <c r="A1" s="1055" t="s">
        <v>708</v>
      </c>
      <c r="B1" s="1055"/>
      <c r="C1" s="1055"/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  <c r="P1" s="1055"/>
      <c r="Q1" s="1055"/>
      <c r="R1" s="919"/>
      <c r="S1" s="919"/>
      <c r="T1" s="919"/>
      <c r="U1" s="1055" t="s">
        <v>709</v>
      </c>
      <c r="V1" s="1055"/>
      <c r="W1" s="1055"/>
      <c r="X1" s="1055"/>
      <c r="Y1" s="1055"/>
      <c r="Z1" s="1055"/>
      <c r="AA1" s="1055"/>
      <c r="AB1" s="1055"/>
      <c r="AC1" s="1055"/>
    </row>
    <row r="2" spans="1:29" ht="13.5" thickBot="1">
      <c r="A2" s="919"/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919"/>
      <c r="R2" s="919"/>
      <c r="S2" s="919"/>
      <c r="T2" s="919"/>
      <c r="U2" s="919"/>
      <c r="V2" s="919"/>
      <c r="W2" s="919"/>
      <c r="X2" s="919"/>
      <c r="Y2" s="919"/>
      <c r="Z2" s="919"/>
      <c r="AA2" s="919"/>
      <c r="AB2" s="919"/>
      <c r="AC2" s="919"/>
    </row>
    <row r="3" spans="1:29" ht="12.75" customHeight="1">
      <c r="A3" s="1056" t="s">
        <v>710</v>
      </c>
      <c r="B3" s="1049" t="s">
        <v>711</v>
      </c>
      <c r="C3" s="1049"/>
      <c r="D3" s="1049" t="s">
        <v>102</v>
      </c>
      <c r="E3" s="1049"/>
      <c r="F3" s="1049"/>
      <c r="G3" s="1049" t="s">
        <v>83</v>
      </c>
      <c r="H3" s="1049"/>
      <c r="I3" s="1049"/>
      <c r="J3" s="1049"/>
      <c r="K3" s="1049"/>
      <c r="L3" s="1049" t="s">
        <v>712</v>
      </c>
      <c r="M3" s="1049" t="s">
        <v>506</v>
      </c>
      <c r="N3" s="1049"/>
      <c r="O3" s="920"/>
      <c r="P3" s="1049" t="s">
        <v>521</v>
      </c>
      <c r="Q3" s="1052" t="s">
        <v>522</v>
      </c>
      <c r="R3" s="1056" t="s">
        <v>710</v>
      </c>
      <c r="S3" s="1049" t="s">
        <v>711</v>
      </c>
      <c r="T3" s="1049"/>
      <c r="U3" s="1051" t="s">
        <v>582</v>
      </c>
      <c r="V3" s="1051"/>
      <c r="W3" s="1051"/>
      <c r="X3" s="1051"/>
      <c r="Y3" s="1051"/>
      <c r="Z3" s="922"/>
      <c r="AA3" s="1051" t="s">
        <v>583</v>
      </c>
      <c r="AB3" s="1051"/>
      <c r="AC3" s="1052" t="s">
        <v>714</v>
      </c>
    </row>
    <row r="4" spans="1:31" ht="73.5" customHeight="1">
      <c r="A4" s="1057"/>
      <c r="B4" s="1058"/>
      <c r="C4" s="1050"/>
      <c r="D4" s="921" t="s">
        <v>715</v>
      </c>
      <c r="E4" s="921" t="s">
        <v>105</v>
      </c>
      <c r="F4" s="921" t="s">
        <v>716</v>
      </c>
      <c r="G4" s="921" t="s">
        <v>954</v>
      </c>
      <c r="H4" s="921" t="s">
        <v>955</v>
      </c>
      <c r="I4" s="921" t="s">
        <v>956</v>
      </c>
      <c r="J4" s="921" t="s">
        <v>957</v>
      </c>
      <c r="K4" s="921" t="s">
        <v>777</v>
      </c>
      <c r="L4" s="1050"/>
      <c r="M4" s="921" t="s">
        <v>958</v>
      </c>
      <c r="N4" s="921" t="s">
        <v>717</v>
      </c>
      <c r="O4" s="921" t="s">
        <v>718</v>
      </c>
      <c r="P4" s="1050"/>
      <c r="Q4" s="1053"/>
      <c r="R4" s="1057"/>
      <c r="S4" s="1058"/>
      <c r="T4" s="1050"/>
      <c r="U4" s="921" t="s">
        <v>512</v>
      </c>
      <c r="V4" s="921" t="s">
        <v>719</v>
      </c>
      <c r="W4" s="921" t="s">
        <v>720</v>
      </c>
      <c r="X4" s="921" t="s">
        <v>721</v>
      </c>
      <c r="Y4" s="921" t="s">
        <v>722</v>
      </c>
      <c r="Z4" s="921" t="s">
        <v>778</v>
      </c>
      <c r="AA4" s="921" t="s">
        <v>526</v>
      </c>
      <c r="AB4" s="921" t="s">
        <v>527</v>
      </c>
      <c r="AC4" s="1053"/>
      <c r="AE4" s="860" t="s">
        <v>723</v>
      </c>
    </row>
    <row r="5" spans="1:31" ht="12.75">
      <c r="A5" s="1041" t="str">
        <f>'[10]Eredeti Ft'!A4</f>
        <v>Fürdő utcai Óvoda</v>
      </c>
      <c r="B5" s="861" t="s">
        <v>593</v>
      </c>
      <c r="C5" s="862" t="str">
        <f>'[10]Eredeti Ft'!B4</f>
        <v>Eredeti</v>
      </c>
      <c r="D5" s="863">
        <f>'[10]Eredeti EzerFt'!D4-'[10]Eredeti EzerFt'!E4</f>
        <v>2244</v>
      </c>
      <c r="E5" s="863">
        <f>ROUND('[10]Eredeti Ft'!D4,-3)/1000</f>
        <v>5729</v>
      </c>
      <c r="F5" s="863">
        <f>ROUND('[10]Eredeti Ft'!E4,-3)/1000</f>
        <v>2153</v>
      </c>
      <c r="G5" s="863">
        <f>ROUND('[10]Eredeti Ft'!F4,-3)/1000</f>
        <v>0</v>
      </c>
      <c r="H5" s="863">
        <f>'[10]Eredeti EzerFt'!I4</f>
        <v>0</v>
      </c>
      <c r="I5" s="863">
        <f>'[10]Eredeti EzerFt'!H4</f>
        <v>0</v>
      </c>
      <c r="J5" s="863">
        <f>'[10]Eredeti EzerFt'!J4</f>
        <v>0</v>
      </c>
      <c r="K5" s="863">
        <v>0</v>
      </c>
      <c r="L5" s="863">
        <f>ROUND('[10]Eredeti Ft'!J4,-3)/1000</f>
        <v>0</v>
      </c>
      <c r="M5" s="863">
        <f>ROUND('[10]Eredeti Ft'!K4,-3)/1000</f>
        <v>0</v>
      </c>
      <c r="N5" s="863">
        <f>ROUND('[10]Eredeti Ft'!L4,-3)/1000</f>
        <v>0</v>
      </c>
      <c r="O5" s="863">
        <f>AC5-P5</f>
        <v>77614</v>
      </c>
      <c r="P5" s="863">
        <f>SUM(D5:N5)</f>
        <v>10126</v>
      </c>
      <c r="Q5" s="864">
        <f>O5+P5</f>
        <v>87740</v>
      </c>
      <c r="R5" s="1042" t="s">
        <v>9</v>
      </c>
      <c r="S5" s="861" t="s">
        <v>593</v>
      </c>
      <c r="T5" s="862" t="s">
        <v>163</v>
      </c>
      <c r="U5" s="863">
        <f>ROUND('[10]Eredeti Ft'!N4,-3)/1000</f>
        <v>54556</v>
      </c>
      <c r="V5" s="863">
        <f>ROUND('[10]Eredeti Ft'!O4,-3)/1000</f>
        <v>14593</v>
      </c>
      <c r="W5" s="863">
        <f>ROUND('[10]Eredeti Ft'!P4,-3)/1000</f>
        <v>17071</v>
      </c>
      <c r="X5" s="863">
        <f>ROUND('[10]Eredeti Ft'!Q4,-3)/1000</f>
        <v>7238</v>
      </c>
      <c r="Y5" s="863">
        <f>ROUND('[10]Eredeti Ft'!R4,-3)/1000</f>
        <v>0</v>
      </c>
      <c r="Z5" s="863">
        <f>ROUND('[10]Eredeti Ft'!S4,-3)/1000</f>
        <v>0</v>
      </c>
      <c r="AA5" s="863">
        <f>ROUND('[10]Eredeti Ft'!T4,-3)/1000</f>
        <v>1520</v>
      </c>
      <c r="AB5" s="863">
        <f>ROUND('[10]Eredeti Ft'!U4,-3)/1000</f>
        <v>0</v>
      </c>
      <c r="AC5" s="864">
        <f>SUM(U5:AB5)-X5</f>
        <v>87740</v>
      </c>
      <c r="AE5" s="865">
        <f>SUM(U5:AB5)-X5</f>
        <v>87740</v>
      </c>
    </row>
    <row r="6" spans="1:31" ht="12.75">
      <c r="A6" s="1041"/>
      <c r="B6" s="861" t="s">
        <v>593</v>
      </c>
      <c r="C6" s="862" t="s">
        <v>826</v>
      </c>
      <c r="D6" s="863">
        <v>2244</v>
      </c>
      <c r="E6" s="863">
        <v>5729</v>
      </c>
      <c r="F6" s="863">
        <v>2153</v>
      </c>
      <c r="G6" s="863">
        <v>0</v>
      </c>
      <c r="H6" s="863">
        <v>0</v>
      </c>
      <c r="I6" s="863">
        <v>0</v>
      </c>
      <c r="J6" s="863">
        <v>0</v>
      </c>
      <c r="K6" s="863"/>
      <c r="L6" s="863">
        <v>0</v>
      </c>
      <c r="M6" s="863">
        <v>561</v>
      </c>
      <c r="N6" s="863">
        <v>0</v>
      </c>
      <c r="O6" s="863">
        <f aca="true" t="shared" si="0" ref="O6:O74">AC6-P6</f>
        <v>77931</v>
      </c>
      <c r="P6" s="863">
        <f aca="true" t="shared" si="1" ref="P6:P72">SUM(D6:N6)</f>
        <v>10687</v>
      </c>
      <c r="Q6" s="864">
        <f aca="true" t="shared" si="2" ref="Q6:Q76">O6+P6</f>
        <v>88618</v>
      </c>
      <c r="R6" s="1043"/>
      <c r="S6" s="861" t="s">
        <v>593</v>
      </c>
      <c r="T6" s="862" t="s">
        <v>826</v>
      </c>
      <c r="U6" s="866">
        <f>54556+251+223</f>
        <v>55030</v>
      </c>
      <c r="V6" s="866">
        <f>14593+66+60</f>
        <v>14719</v>
      </c>
      <c r="W6" s="863">
        <f>17071+278</f>
        <v>17349</v>
      </c>
      <c r="X6" s="863">
        <v>7238</v>
      </c>
      <c r="Y6" s="863">
        <v>0</v>
      </c>
      <c r="Z6" s="863"/>
      <c r="AA6" s="863">
        <v>1520</v>
      </c>
      <c r="AB6" s="863">
        <v>0</v>
      </c>
      <c r="AC6" s="864">
        <f aca="true" t="shared" si="3" ref="AC6:AC76">SUM(U6:AB6)-X6</f>
        <v>88618</v>
      </c>
      <c r="AE6" s="865"/>
    </row>
    <row r="7" spans="1:31" ht="15" customHeight="1">
      <c r="A7" s="1054"/>
      <c r="B7" s="861" t="s">
        <v>593</v>
      </c>
      <c r="C7" s="862" t="s">
        <v>827</v>
      </c>
      <c r="D7" s="863">
        <v>2244</v>
      </c>
      <c r="E7" s="863">
        <v>5729</v>
      </c>
      <c r="F7" s="863">
        <v>2834</v>
      </c>
      <c r="G7" s="863">
        <v>0</v>
      </c>
      <c r="H7" s="863">
        <v>0</v>
      </c>
      <c r="I7" s="863">
        <v>0</v>
      </c>
      <c r="J7" s="863">
        <v>0</v>
      </c>
      <c r="K7" s="863"/>
      <c r="L7" s="863">
        <v>0</v>
      </c>
      <c r="M7" s="863">
        <v>561</v>
      </c>
      <c r="N7" s="863">
        <v>0</v>
      </c>
      <c r="O7" s="863">
        <f>AC7-P7</f>
        <v>80522</v>
      </c>
      <c r="P7" s="863">
        <f>SUM(D7:N7)</f>
        <v>11368</v>
      </c>
      <c r="Q7" s="864">
        <f>O7+P7</f>
        <v>91890</v>
      </c>
      <c r="R7" s="1044"/>
      <c r="S7" s="861" t="s">
        <v>593</v>
      </c>
      <c r="T7" s="862" t="s">
        <v>827</v>
      </c>
      <c r="U7" s="866">
        <v>55741</v>
      </c>
      <c r="V7" s="866">
        <v>14910</v>
      </c>
      <c r="W7" s="863">
        <v>18049</v>
      </c>
      <c r="X7" s="863">
        <v>7238</v>
      </c>
      <c r="Y7" s="863">
        <v>0</v>
      </c>
      <c r="Z7" s="863"/>
      <c r="AA7" s="863">
        <v>3190</v>
      </c>
      <c r="AB7" s="863">
        <v>0</v>
      </c>
      <c r="AC7" s="864">
        <f>SUM(U7:AB7)-X7</f>
        <v>91890</v>
      </c>
      <c r="AE7" s="865"/>
    </row>
    <row r="8" spans="1:31" ht="12.75">
      <c r="A8" s="1041" t="str">
        <f>'[10]Eredeti Ft'!A6</f>
        <v>Szivárvány Óvoda</v>
      </c>
      <c r="B8" s="861" t="s">
        <v>593</v>
      </c>
      <c r="C8" s="862" t="str">
        <f>'[10]Eredeti Ft'!B6</f>
        <v>Eredeti</v>
      </c>
      <c r="D8" s="863">
        <f>'[10]Eredeti EzerFt'!D6-'[10]Eredeti EzerFt'!E6</f>
        <v>121</v>
      </c>
      <c r="E8" s="863">
        <f>ROUND('[10]Eredeti Ft'!D6,-3)/1000</f>
        <v>1527</v>
      </c>
      <c r="F8" s="863">
        <f>ROUND('[10]Eredeti Ft'!E6,-3)/1000</f>
        <v>445</v>
      </c>
      <c r="G8" s="863">
        <f>ROUND('[10]Eredeti Ft'!F6,-3)/1000</f>
        <v>0</v>
      </c>
      <c r="H8" s="863">
        <f>'[10]Eredeti EzerFt'!I6</f>
        <v>0</v>
      </c>
      <c r="I8" s="863">
        <f>'[10]Eredeti EzerFt'!H6</f>
        <v>0</v>
      </c>
      <c r="J8" s="863">
        <f>'[10]Eredeti EzerFt'!J6</f>
        <v>0</v>
      </c>
      <c r="K8" s="863"/>
      <c r="L8" s="863">
        <f>ROUND('[10]Eredeti Ft'!J6,-3)/1000</f>
        <v>0</v>
      </c>
      <c r="M8" s="863">
        <f>ROUND('[10]Eredeti Ft'!K6,-3)/1000</f>
        <v>0</v>
      </c>
      <c r="N8" s="863">
        <f>ROUND('[10]Eredeti Ft'!L6,-3)/1000</f>
        <v>0</v>
      </c>
      <c r="O8" s="863">
        <f t="shared" si="0"/>
        <v>29744</v>
      </c>
      <c r="P8" s="863">
        <f t="shared" si="1"/>
        <v>2093</v>
      </c>
      <c r="Q8" s="864">
        <f t="shared" si="2"/>
        <v>31837</v>
      </c>
      <c r="R8" s="1042" t="s">
        <v>10</v>
      </c>
      <c r="S8" s="861" t="s">
        <v>593</v>
      </c>
      <c r="T8" s="862" t="s">
        <v>163</v>
      </c>
      <c r="U8" s="863">
        <f>ROUND('[10]Eredeti Ft'!N6,-3)/1000</f>
        <v>19133</v>
      </c>
      <c r="V8" s="863">
        <f>ROUND('[10]Eredeti Ft'!O6,-3)/1000</f>
        <v>5092</v>
      </c>
      <c r="W8" s="863">
        <f>ROUND('[10]Eredeti Ft'!P6,-3)/1000</f>
        <v>7162</v>
      </c>
      <c r="X8" s="863">
        <f>ROUND('[10]Eredeti Ft'!Q6,-3)/1000</f>
        <v>3036</v>
      </c>
      <c r="Y8" s="863">
        <f>ROUND('[10]Eredeti Ft'!R6,-3)/1000</f>
        <v>0</v>
      </c>
      <c r="Z8" s="863">
        <f>ROUND('[10]Eredeti Ft'!S6,-3)/1000</f>
        <v>0</v>
      </c>
      <c r="AA8" s="863">
        <f>ROUND('[10]Eredeti Ft'!T6,-3)/1000</f>
        <v>0</v>
      </c>
      <c r="AB8" s="863">
        <f>ROUND('[10]Eredeti Ft'!U6,-3)/1000</f>
        <v>450</v>
      </c>
      <c r="AC8" s="864">
        <f t="shared" si="3"/>
        <v>31837</v>
      </c>
      <c r="AE8" s="865">
        <f>SUM(U8:AB8)-X8</f>
        <v>31837</v>
      </c>
    </row>
    <row r="9" spans="1:31" ht="12.75">
      <c r="A9" s="1041"/>
      <c r="B9" s="861" t="s">
        <v>593</v>
      </c>
      <c r="C9" s="862" t="s">
        <v>826</v>
      </c>
      <c r="D9" s="863">
        <v>121</v>
      </c>
      <c r="E9" s="863">
        <v>1527</v>
      </c>
      <c r="F9" s="863">
        <v>445</v>
      </c>
      <c r="G9" s="863">
        <v>0</v>
      </c>
      <c r="H9" s="863">
        <v>0</v>
      </c>
      <c r="I9" s="863">
        <v>0</v>
      </c>
      <c r="J9" s="863">
        <v>0</v>
      </c>
      <c r="K9" s="863">
        <v>65</v>
      </c>
      <c r="L9" s="863">
        <v>0</v>
      </c>
      <c r="M9" s="863">
        <v>66</v>
      </c>
      <c r="N9" s="863">
        <v>0</v>
      </c>
      <c r="O9" s="863">
        <f t="shared" si="0"/>
        <v>29749</v>
      </c>
      <c r="P9" s="863">
        <f t="shared" si="1"/>
        <v>2224</v>
      </c>
      <c r="Q9" s="864">
        <f t="shared" si="2"/>
        <v>31973</v>
      </c>
      <c r="R9" s="1043"/>
      <c r="S9" s="861" t="s">
        <v>593</v>
      </c>
      <c r="T9" s="862" t="s">
        <v>826</v>
      </c>
      <c r="U9" s="863">
        <f>19133+4</f>
        <v>19137</v>
      </c>
      <c r="V9" s="863">
        <f>5092+1</f>
        <v>5093</v>
      </c>
      <c r="W9" s="863">
        <f>7162+131</f>
        <v>7293</v>
      </c>
      <c r="X9" s="863">
        <v>3036</v>
      </c>
      <c r="Y9" s="863">
        <v>0</v>
      </c>
      <c r="Z9" s="863">
        <v>0</v>
      </c>
      <c r="AA9" s="863">
        <v>0</v>
      </c>
      <c r="AB9" s="863">
        <v>450</v>
      </c>
      <c r="AC9" s="864">
        <f t="shared" si="3"/>
        <v>31973</v>
      </c>
      <c r="AE9" s="865"/>
    </row>
    <row r="10" spans="1:31" ht="12.75">
      <c r="A10" s="1041"/>
      <c r="B10" s="861" t="s">
        <v>593</v>
      </c>
      <c r="C10" s="862" t="s">
        <v>827</v>
      </c>
      <c r="D10" s="863">
        <v>121</v>
      </c>
      <c r="E10" s="863">
        <v>1527</v>
      </c>
      <c r="F10" s="863">
        <v>445</v>
      </c>
      <c r="G10" s="863">
        <v>0</v>
      </c>
      <c r="H10" s="863">
        <v>0</v>
      </c>
      <c r="I10" s="863">
        <v>0</v>
      </c>
      <c r="J10" s="863">
        <v>0</v>
      </c>
      <c r="K10" s="863">
        <v>65</v>
      </c>
      <c r="L10" s="863">
        <v>0</v>
      </c>
      <c r="M10" s="863">
        <v>66</v>
      </c>
      <c r="N10" s="863">
        <v>0</v>
      </c>
      <c r="O10" s="863">
        <f>AC10-P10</f>
        <v>30520</v>
      </c>
      <c r="P10" s="863">
        <f>SUM(D10:N10)</f>
        <v>2224</v>
      </c>
      <c r="Q10" s="864">
        <f>O10+P10</f>
        <v>32744</v>
      </c>
      <c r="R10" s="1044"/>
      <c r="S10" s="861" t="s">
        <v>593</v>
      </c>
      <c r="T10" s="862" t="s">
        <v>827</v>
      </c>
      <c r="U10" s="863">
        <v>19281</v>
      </c>
      <c r="V10" s="863">
        <v>5132</v>
      </c>
      <c r="W10" s="863">
        <v>7467</v>
      </c>
      <c r="X10" s="863">
        <v>3036</v>
      </c>
      <c r="Y10" s="863">
        <v>0</v>
      </c>
      <c r="Z10" s="863">
        <v>0</v>
      </c>
      <c r="AA10" s="863">
        <v>414</v>
      </c>
      <c r="AB10" s="863">
        <v>450</v>
      </c>
      <c r="AC10" s="864">
        <f>SUM(U10:AB10)-X10</f>
        <v>32744</v>
      </c>
      <c r="AE10" s="865"/>
    </row>
    <row r="11" spans="1:31" ht="12.75">
      <c r="A11" s="1041" t="str">
        <f>'[10]Eredeti Ft'!A8</f>
        <v>Geszti Óvoda</v>
      </c>
      <c r="B11" s="861" t="s">
        <v>593</v>
      </c>
      <c r="C11" s="862" t="str">
        <f>'[10]Eredeti Ft'!B8</f>
        <v>Eredeti</v>
      </c>
      <c r="D11" s="863">
        <f>'[10]Eredeti EzerFt'!D8-'[10]Eredeti EzerFt'!E8</f>
        <v>348</v>
      </c>
      <c r="E11" s="863">
        <f>ROUND('[10]Eredeti Ft'!D8,-3)/1000</f>
        <v>4580</v>
      </c>
      <c r="F11" s="863">
        <f>ROUND('[10]Eredeti Ft'!E8,-3)/1000</f>
        <v>1330</v>
      </c>
      <c r="G11" s="863">
        <f>ROUND('[10]Eredeti Ft'!F8,-3)/1000</f>
        <v>0</v>
      </c>
      <c r="H11" s="863">
        <f>'[10]Eredeti EzerFt'!I8</f>
        <v>0</v>
      </c>
      <c r="I11" s="863">
        <f>'[10]Eredeti EzerFt'!H8</f>
        <v>0</v>
      </c>
      <c r="J11" s="863">
        <f>'[10]Eredeti EzerFt'!J8</f>
        <v>0</v>
      </c>
      <c r="K11" s="863"/>
      <c r="L11" s="863">
        <f>ROUND('[10]Eredeti Ft'!J8,-3)/1000</f>
        <v>0</v>
      </c>
      <c r="M11" s="863">
        <f>ROUND('[10]Eredeti Ft'!K8,-3)/1000</f>
        <v>0</v>
      </c>
      <c r="N11" s="863">
        <f>ROUND('[10]Eredeti Ft'!L8,-3)/1000</f>
        <v>0</v>
      </c>
      <c r="O11" s="863">
        <f t="shared" si="0"/>
        <v>62357</v>
      </c>
      <c r="P11" s="863">
        <f t="shared" si="1"/>
        <v>6258</v>
      </c>
      <c r="Q11" s="864">
        <f t="shared" si="2"/>
        <v>68615</v>
      </c>
      <c r="R11" s="1042" t="s">
        <v>11</v>
      </c>
      <c r="S11" s="861" t="s">
        <v>593</v>
      </c>
      <c r="T11" s="862" t="s">
        <v>163</v>
      </c>
      <c r="U11" s="863">
        <f>ROUND('[10]Eredeti Ft'!N8,-3)/1000</f>
        <v>43561</v>
      </c>
      <c r="V11" s="863">
        <f>ROUND('[10]Eredeti Ft'!O8,-3)/1000</f>
        <v>11650</v>
      </c>
      <c r="W11" s="863">
        <f>ROUND('[10]Eredeti Ft'!P8,-3)/1000</f>
        <v>12404</v>
      </c>
      <c r="X11" s="863">
        <f>ROUND('[10]Eredeti Ft'!Q8,-3)/1000</f>
        <v>5780</v>
      </c>
      <c r="Y11" s="863">
        <f>ROUND('[10]Eredeti Ft'!R8,-3)/1000</f>
        <v>0</v>
      </c>
      <c r="Z11" s="863">
        <f>ROUND('[10]Eredeti Ft'!S8,-3)/1000</f>
        <v>0</v>
      </c>
      <c r="AA11" s="863">
        <f>ROUND('[10]Eredeti Ft'!T8,-3)/1000</f>
        <v>500</v>
      </c>
      <c r="AB11" s="863">
        <f>ROUND('[10]Eredeti Ft'!U8,-3)/1000</f>
        <v>500</v>
      </c>
      <c r="AC11" s="864">
        <f t="shared" si="3"/>
        <v>68615</v>
      </c>
      <c r="AE11" s="865">
        <f>SUM(U11:AB11)-X11</f>
        <v>68615</v>
      </c>
    </row>
    <row r="12" spans="1:31" ht="12.75">
      <c r="A12" s="1041"/>
      <c r="B12" s="861" t="s">
        <v>593</v>
      </c>
      <c r="C12" s="862" t="s">
        <v>826</v>
      </c>
      <c r="D12" s="863">
        <v>348</v>
      </c>
      <c r="E12" s="863">
        <v>4580</v>
      </c>
      <c r="F12" s="863">
        <v>1330</v>
      </c>
      <c r="G12" s="863">
        <v>0</v>
      </c>
      <c r="H12" s="863">
        <v>0</v>
      </c>
      <c r="I12" s="863">
        <v>0</v>
      </c>
      <c r="J12" s="863">
        <v>0</v>
      </c>
      <c r="K12" s="863">
        <v>215</v>
      </c>
      <c r="L12" s="863">
        <v>0</v>
      </c>
      <c r="M12" s="863">
        <v>102</v>
      </c>
      <c r="N12" s="863">
        <v>0</v>
      </c>
      <c r="O12" s="863">
        <f t="shared" si="0"/>
        <v>62669</v>
      </c>
      <c r="P12" s="863">
        <f t="shared" si="1"/>
        <v>6575</v>
      </c>
      <c r="Q12" s="864">
        <f t="shared" si="2"/>
        <v>69244</v>
      </c>
      <c r="R12" s="1043"/>
      <c r="S12" s="861" t="s">
        <v>593</v>
      </c>
      <c r="T12" s="862" t="s">
        <v>826</v>
      </c>
      <c r="U12" s="863">
        <f>43561+246</f>
        <v>43807</v>
      </c>
      <c r="V12" s="863">
        <f>11650+66</f>
        <v>11716</v>
      </c>
      <c r="W12" s="863">
        <f>12404+317</f>
        <v>12721</v>
      </c>
      <c r="X12" s="863">
        <v>5780</v>
      </c>
      <c r="Y12" s="863">
        <v>0</v>
      </c>
      <c r="Z12" s="863">
        <v>0</v>
      </c>
      <c r="AA12" s="863">
        <v>500</v>
      </c>
      <c r="AB12" s="863">
        <v>500</v>
      </c>
      <c r="AC12" s="864">
        <f t="shared" si="3"/>
        <v>69244</v>
      </c>
      <c r="AE12" s="865"/>
    </row>
    <row r="13" spans="1:31" ht="12.75">
      <c r="A13" s="1041"/>
      <c r="B13" s="861" t="s">
        <v>593</v>
      </c>
      <c r="C13" s="862" t="s">
        <v>827</v>
      </c>
      <c r="D13" s="863">
        <v>348</v>
      </c>
      <c r="E13" s="863">
        <v>4580</v>
      </c>
      <c r="F13" s="863">
        <v>1330</v>
      </c>
      <c r="G13" s="863">
        <v>0</v>
      </c>
      <c r="H13" s="863">
        <v>0</v>
      </c>
      <c r="I13" s="863">
        <v>0</v>
      </c>
      <c r="J13" s="863">
        <v>0</v>
      </c>
      <c r="K13" s="863">
        <v>215</v>
      </c>
      <c r="L13" s="863">
        <v>0</v>
      </c>
      <c r="M13" s="863">
        <v>102</v>
      </c>
      <c r="N13" s="863">
        <v>0</v>
      </c>
      <c r="O13" s="863">
        <f>AC13-P13</f>
        <v>65155</v>
      </c>
      <c r="P13" s="863">
        <f>SUM(D13:N13)</f>
        <v>6575</v>
      </c>
      <c r="Q13" s="864">
        <f>O13+P13</f>
        <v>71730</v>
      </c>
      <c r="R13" s="1044"/>
      <c r="S13" s="861" t="s">
        <v>593</v>
      </c>
      <c r="T13" s="862" t="s">
        <v>827</v>
      </c>
      <c r="U13" s="863">
        <v>44449</v>
      </c>
      <c r="V13" s="863">
        <v>11890</v>
      </c>
      <c r="W13" s="863">
        <v>12442</v>
      </c>
      <c r="X13" s="863">
        <v>5780</v>
      </c>
      <c r="Y13" s="863">
        <v>0</v>
      </c>
      <c r="Z13" s="863">
        <v>0</v>
      </c>
      <c r="AA13" s="863">
        <v>2449</v>
      </c>
      <c r="AB13" s="863">
        <v>500</v>
      </c>
      <c r="AC13" s="864">
        <f>SUM(U13:AB13)-X13</f>
        <v>71730</v>
      </c>
      <c r="AE13" s="865"/>
    </row>
    <row r="14" spans="1:31" ht="12.75">
      <c r="A14" s="1041" t="str">
        <f>'[10]Eredeti Ft'!A9</f>
        <v>Bartók B. utcai Óvoda</v>
      </c>
      <c r="B14" s="861" t="s">
        <v>593</v>
      </c>
      <c r="C14" s="862" t="str">
        <f>'[10]Eredeti Ft'!B9</f>
        <v>Eredeti</v>
      </c>
      <c r="D14" s="863">
        <f>'[10]Eredeti EzerFt'!D9-'[10]Eredeti EzerFt'!E9</f>
        <v>6677</v>
      </c>
      <c r="E14" s="863">
        <f>ROUND('[10]Eredeti Ft'!D9,-3)/1000</f>
        <v>5171</v>
      </c>
      <c r="F14" s="863">
        <f>ROUND('[10]Eredeti Ft'!E9,-3)/1000</f>
        <v>3199</v>
      </c>
      <c r="G14" s="863">
        <f>ROUND('[10]Eredeti Ft'!F9,-3)/1000</f>
        <v>0</v>
      </c>
      <c r="H14" s="863">
        <f>'[10]Eredeti EzerFt'!I9</f>
        <v>0</v>
      </c>
      <c r="I14" s="863">
        <f>'[10]Eredeti EzerFt'!H9</f>
        <v>0</v>
      </c>
      <c r="J14" s="863">
        <f>'[10]Eredeti EzerFt'!J9</f>
        <v>0</v>
      </c>
      <c r="K14" s="863"/>
      <c r="L14" s="863">
        <f>ROUND('[10]Eredeti Ft'!J9,-3)/1000</f>
        <v>0</v>
      </c>
      <c r="M14" s="863">
        <f>ROUND('[10]Eredeti Ft'!K9,-3)/1000</f>
        <v>0</v>
      </c>
      <c r="N14" s="863">
        <f>ROUND('[10]Eredeti Ft'!L9,-3)/1000</f>
        <v>0</v>
      </c>
      <c r="O14" s="863">
        <f t="shared" si="0"/>
        <v>80648</v>
      </c>
      <c r="P14" s="863">
        <f t="shared" si="1"/>
        <v>15047</v>
      </c>
      <c r="Q14" s="864">
        <f t="shared" si="2"/>
        <v>95695</v>
      </c>
      <c r="R14" s="1042" t="s">
        <v>724</v>
      </c>
      <c r="S14" s="861" t="s">
        <v>593</v>
      </c>
      <c r="T14" s="862" t="s">
        <v>163</v>
      </c>
      <c r="U14" s="863">
        <f>ROUND('[10]Eredeti Ft'!N9,-3)/1000</f>
        <v>53948</v>
      </c>
      <c r="V14" s="863">
        <f>ROUND('[10]Eredeti Ft'!O9,-3)/1000</f>
        <v>14288</v>
      </c>
      <c r="W14" s="863">
        <f>ROUND('[10]Eredeti Ft'!P9,-3)/1000</f>
        <v>27459</v>
      </c>
      <c r="X14" s="863">
        <f>ROUND('[10]Eredeti Ft'!Q9,-3)/1000-1</f>
        <v>7392</v>
      </c>
      <c r="Y14" s="863">
        <f>ROUND('[10]Eredeti Ft'!R9,-3)/1000</f>
        <v>0</v>
      </c>
      <c r="Z14" s="863">
        <f>ROUND('[10]Eredeti Ft'!S9,-3)/1000</f>
        <v>0</v>
      </c>
      <c r="AA14" s="863">
        <f>ROUND('[10]Eredeti Ft'!T9,-3)/1000</f>
        <v>0</v>
      </c>
      <c r="AB14" s="863">
        <f>ROUND('[10]Eredeti Ft'!U9,-3)/1000</f>
        <v>0</v>
      </c>
      <c r="AC14" s="864">
        <f t="shared" si="3"/>
        <v>95695</v>
      </c>
      <c r="AE14" s="865">
        <f>SUM(U14:AB14)-X14</f>
        <v>95695</v>
      </c>
    </row>
    <row r="15" spans="1:31" ht="12.75">
      <c r="A15" s="1041"/>
      <c r="B15" s="861" t="s">
        <v>593</v>
      </c>
      <c r="C15" s="862" t="s">
        <v>826</v>
      </c>
      <c r="D15" s="863">
        <v>6677</v>
      </c>
      <c r="E15" s="863">
        <v>5171</v>
      </c>
      <c r="F15" s="863">
        <v>3199</v>
      </c>
      <c r="G15" s="863">
        <v>0</v>
      </c>
      <c r="H15" s="863">
        <v>0</v>
      </c>
      <c r="I15" s="863">
        <v>0</v>
      </c>
      <c r="J15" s="863">
        <v>0</v>
      </c>
      <c r="K15" s="863"/>
      <c r="L15" s="863">
        <v>0</v>
      </c>
      <c r="M15" s="863">
        <v>514</v>
      </c>
      <c r="N15" s="863">
        <v>0</v>
      </c>
      <c r="O15" s="863">
        <f t="shared" si="0"/>
        <v>80747</v>
      </c>
      <c r="P15" s="863">
        <f t="shared" si="1"/>
        <v>15561</v>
      </c>
      <c r="Q15" s="864">
        <f t="shared" si="2"/>
        <v>96308</v>
      </c>
      <c r="R15" s="1043"/>
      <c r="S15" s="861" t="s">
        <v>593</v>
      </c>
      <c r="T15" s="862" t="s">
        <v>826</v>
      </c>
      <c r="U15" s="863">
        <f>53948+79</f>
        <v>54027</v>
      </c>
      <c r="V15" s="863">
        <f>14288+20</f>
        <v>14308</v>
      </c>
      <c r="W15" s="863">
        <f>27459+305</f>
        <v>27764</v>
      </c>
      <c r="X15" s="863">
        <v>7392</v>
      </c>
      <c r="Y15" s="863">
        <v>0</v>
      </c>
      <c r="Z15" s="863">
        <f>107+102</f>
        <v>209</v>
      </c>
      <c r="AA15" s="863">
        <v>0</v>
      </c>
      <c r="AB15" s="863">
        <v>0</v>
      </c>
      <c r="AC15" s="864">
        <f t="shared" si="3"/>
        <v>96308</v>
      </c>
      <c r="AE15" s="865"/>
    </row>
    <row r="16" spans="1:31" ht="12.75">
      <c r="A16" s="1041"/>
      <c r="B16" s="861" t="s">
        <v>593</v>
      </c>
      <c r="C16" s="862" t="s">
        <v>827</v>
      </c>
      <c r="D16" s="863">
        <v>7110</v>
      </c>
      <c r="E16" s="863">
        <v>5171</v>
      </c>
      <c r="F16" s="863">
        <v>5451</v>
      </c>
      <c r="G16" s="863">
        <v>50</v>
      </c>
      <c r="H16" s="863">
        <v>0</v>
      </c>
      <c r="I16" s="863">
        <v>0</v>
      </c>
      <c r="J16" s="863">
        <v>0</v>
      </c>
      <c r="K16" s="863"/>
      <c r="L16" s="863">
        <v>0</v>
      </c>
      <c r="M16" s="863">
        <v>514</v>
      </c>
      <c r="N16" s="863">
        <v>0</v>
      </c>
      <c r="O16" s="863">
        <f>AC16-P16</f>
        <v>82413</v>
      </c>
      <c r="P16" s="863">
        <f>SUM(D16:N16)</f>
        <v>18296</v>
      </c>
      <c r="Q16" s="864">
        <f>O16+P16</f>
        <v>100709</v>
      </c>
      <c r="R16" s="1044"/>
      <c r="S16" s="861" t="s">
        <v>593</v>
      </c>
      <c r="T16" s="862" t="s">
        <v>827</v>
      </c>
      <c r="U16" s="863">
        <v>54650</v>
      </c>
      <c r="V16" s="863">
        <v>14477</v>
      </c>
      <c r="W16" s="863">
        <v>30441</v>
      </c>
      <c r="X16" s="863">
        <v>7392</v>
      </c>
      <c r="Y16" s="863">
        <v>0</v>
      </c>
      <c r="Z16" s="863">
        <f>107+102</f>
        <v>209</v>
      </c>
      <c r="AA16" s="863">
        <v>932</v>
      </c>
      <c r="AB16" s="863">
        <v>0</v>
      </c>
      <c r="AC16" s="864">
        <f>SUM(U16:AB16)-X16</f>
        <v>100709</v>
      </c>
      <c r="AE16" s="865"/>
    </row>
    <row r="17" spans="1:31" ht="12.75">
      <c r="A17" s="1041" t="str">
        <f>'[10]Eredeti Ft'!A10</f>
        <v>Kertvárosi Óvoda</v>
      </c>
      <c r="B17" s="861" t="s">
        <v>593</v>
      </c>
      <c r="C17" s="862" t="str">
        <f>'[10]Eredeti Ft'!B10</f>
        <v>Eredeti</v>
      </c>
      <c r="D17" s="863">
        <f>'[10]Eredeti EzerFt'!D10-'[10]Eredeti EzerFt'!E10</f>
        <v>16897</v>
      </c>
      <c r="E17" s="863">
        <f>ROUND('[10]Eredeti Ft'!D10,-3)/1000</f>
        <v>3396</v>
      </c>
      <c r="F17" s="863">
        <f>ROUND('[10]Eredeti Ft'!E10,-3)/1000</f>
        <v>5479</v>
      </c>
      <c r="G17" s="863">
        <f>ROUND('[10]Eredeti Ft'!F10,-3)/1000</f>
        <v>0</v>
      </c>
      <c r="H17" s="863">
        <f>'[10]Eredeti EzerFt'!I10</f>
        <v>0</v>
      </c>
      <c r="I17" s="863">
        <f>'[10]Eredeti EzerFt'!H10</f>
        <v>0</v>
      </c>
      <c r="J17" s="863">
        <f>'[10]Eredeti EzerFt'!J10</f>
        <v>0</v>
      </c>
      <c r="K17" s="863"/>
      <c r="L17" s="863">
        <f>ROUND('[10]Eredeti Ft'!J10,-3)/1000</f>
        <v>0</v>
      </c>
      <c r="M17" s="863">
        <f>ROUND('[10]Eredeti Ft'!K10,-3)/1000</f>
        <v>0</v>
      </c>
      <c r="N17" s="863">
        <f>ROUND('[10]Eredeti Ft'!L10,-3)/1000</f>
        <v>0</v>
      </c>
      <c r="O17" s="863">
        <f t="shared" si="0"/>
        <v>52845</v>
      </c>
      <c r="P17" s="863">
        <f t="shared" si="1"/>
        <v>25772</v>
      </c>
      <c r="Q17" s="864">
        <f t="shared" si="2"/>
        <v>78617</v>
      </c>
      <c r="R17" s="1042" t="s">
        <v>13</v>
      </c>
      <c r="S17" s="861" t="s">
        <v>593</v>
      </c>
      <c r="T17" s="862" t="s">
        <v>163</v>
      </c>
      <c r="U17" s="863">
        <f>ROUND('[10]Eredeti Ft'!N10,-3)/1000+1</f>
        <v>38606</v>
      </c>
      <c r="V17" s="863">
        <f>ROUND('[10]Eredeti Ft'!O10,-3)/1000</f>
        <v>10289</v>
      </c>
      <c r="W17" s="863">
        <f>ROUND('[10]Eredeti Ft'!P10,-3)/1000</f>
        <v>29422</v>
      </c>
      <c r="X17" s="863">
        <f>ROUND('[10]Eredeti Ft'!Q10,-3)/1000</f>
        <v>3754</v>
      </c>
      <c r="Y17" s="863">
        <f>ROUND('[10]Eredeti Ft'!R10,-3)/1000</f>
        <v>0</v>
      </c>
      <c r="Z17" s="863">
        <f>ROUND('[10]Eredeti Ft'!S10,-3)/1000</f>
        <v>0</v>
      </c>
      <c r="AA17" s="863">
        <f>ROUND('[10]Eredeti Ft'!T10,-3)/1000</f>
        <v>0</v>
      </c>
      <c r="AB17" s="863">
        <f>ROUND('[10]Eredeti Ft'!U10,-3)/1000</f>
        <v>300</v>
      </c>
      <c r="AC17" s="864">
        <f t="shared" si="3"/>
        <v>78617</v>
      </c>
      <c r="AE17" s="865">
        <f>SUM(U17:AB17)-X17</f>
        <v>78617</v>
      </c>
    </row>
    <row r="18" spans="1:31" ht="12.75">
      <c r="A18" s="1041"/>
      <c r="B18" s="861" t="s">
        <v>593</v>
      </c>
      <c r="C18" s="862" t="s">
        <v>826</v>
      </c>
      <c r="D18" s="863">
        <v>16897</v>
      </c>
      <c r="E18" s="863">
        <v>3396</v>
      </c>
      <c r="F18" s="863">
        <v>5479</v>
      </c>
      <c r="G18" s="863">
        <v>0</v>
      </c>
      <c r="H18" s="863">
        <v>0</v>
      </c>
      <c r="I18" s="863">
        <v>0</v>
      </c>
      <c r="J18" s="863">
        <v>0</v>
      </c>
      <c r="K18" s="863"/>
      <c r="L18" s="863">
        <v>0</v>
      </c>
      <c r="M18" s="863">
        <v>1915</v>
      </c>
      <c r="N18" s="863">
        <v>0</v>
      </c>
      <c r="O18" s="863">
        <f t="shared" si="0"/>
        <v>53146</v>
      </c>
      <c r="P18" s="863">
        <f t="shared" si="1"/>
        <v>27687</v>
      </c>
      <c r="Q18" s="864">
        <f t="shared" si="2"/>
        <v>80833</v>
      </c>
      <c r="R18" s="1043"/>
      <c r="S18" s="861" t="s">
        <v>593</v>
      </c>
      <c r="T18" s="862" t="s">
        <v>826</v>
      </c>
      <c r="U18" s="866">
        <f>38606+236+550</f>
        <v>39392</v>
      </c>
      <c r="V18" s="866">
        <f>10289+65+148</f>
        <v>10502</v>
      </c>
      <c r="W18" s="863">
        <f>29422+410</f>
        <v>29832</v>
      </c>
      <c r="X18" s="863">
        <v>3754</v>
      </c>
      <c r="Y18" s="863">
        <v>0</v>
      </c>
      <c r="Z18" s="863">
        <v>807</v>
      </c>
      <c r="AA18" s="863">
        <v>0</v>
      </c>
      <c r="AB18" s="863">
        <v>300</v>
      </c>
      <c r="AC18" s="864">
        <f t="shared" si="3"/>
        <v>80833</v>
      </c>
      <c r="AE18" s="865"/>
    </row>
    <row r="19" spans="1:31" ht="12.75">
      <c r="A19" s="1041"/>
      <c r="B19" s="861" t="s">
        <v>593</v>
      </c>
      <c r="C19" s="862" t="s">
        <v>827</v>
      </c>
      <c r="D19" s="863">
        <v>16897</v>
      </c>
      <c r="E19" s="863">
        <v>3396</v>
      </c>
      <c r="F19" s="863">
        <v>9829</v>
      </c>
      <c r="G19" s="863">
        <v>0</v>
      </c>
      <c r="H19" s="863">
        <v>0</v>
      </c>
      <c r="I19" s="863">
        <v>0</v>
      </c>
      <c r="J19" s="863">
        <v>0</v>
      </c>
      <c r="K19" s="863"/>
      <c r="L19" s="863">
        <v>0</v>
      </c>
      <c r="M19" s="863">
        <v>1915</v>
      </c>
      <c r="N19" s="863">
        <v>0</v>
      </c>
      <c r="O19" s="863">
        <f>AC19-P19</f>
        <v>56578</v>
      </c>
      <c r="P19" s="863">
        <f>SUM(D19:N19)</f>
        <v>32037</v>
      </c>
      <c r="Q19" s="864">
        <f>O19+P19</f>
        <v>88615</v>
      </c>
      <c r="R19" s="1044"/>
      <c r="S19" s="861" t="s">
        <v>593</v>
      </c>
      <c r="T19" s="862" t="s">
        <v>827</v>
      </c>
      <c r="U19" s="866">
        <v>40899</v>
      </c>
      <c r="V19" s="866">
        <v>10910</v>
      </c>
      <c r="W19" s="863">
        <v>34211</v>
      </c>
      <c r="X19" s="863">
        <v>3754</v>
      </c>
      <c r="Y19" s="863">
        <v>0</v>
      </c>
      <c r="Z19" s="863">
        <v>807</v>
      </c>
      <c r="AA19" s="863">
        <v>1488</v>
      </c>
      <c r="AB19" s="863">
        <v>300</v>
      </c>
      <c r="AC19" s="864">
        <f>SUM(U19:AB19)-X19</f>
        <v>88615</v>
      </c>
      <c r="AE19" s="865"/>
    </row>
    <row r="20" spans="1:31" ht="12.75">
      <c r="A20" s="1041" t="str">
        <f>'[10]Eredeti Ft'!A11</f>
        <v>Kincseskert Óvoda</v>
      </c>
      <c r="B20" s="861" t="s">
        <v>593</v>
      </c>
      <c r="C20" s="862" t="str">
        <f>'[10]Eredeti Ft'!B11</f>
        <v>Eredeti</v>
      </c>
      <c r="D20" s="863">
        <f>'[10]Eredeti EzerFt'!D11-'[10]Eredeti EzerFt'!E11</f>
        <v>366</v>
      </c>
      <c r="E20" s="863">
        <f>ROUND('[10]Eredeti Ft'!D11,-3)/1000</f>
        <v>4665</v>
      </c>
      <c r="F20" s="863">
        <f>ROUND('[10]Eredeti Ft'!E11,-3)/1000</f>
        <v>1358</v>
      </c>
      <c r="G20" s="863">
        <f>ROUND('[10]Eredeti Ft'!F11,-3)/1000</f>
        <v>0</v>
      </c>
      <c r="H20" s="863">
        <f>'[10]Eredeti EzerFt'!I11</f>
        <v>505</v>
      </c>
      <c r="I20" s="863">
        <f>'[10]Eredeti EzerFt'!H11</f>
        <v>0</v>
      </c>
      <c r="J20" s="863">
        <f>'[10]Eredeti EzerFt'!J11</f>
        <v>900</v>
      </c>
      <c r="K20" s="863"/>
      <c r="L20" s="863">
        <f>ROUND('[10]Eredeti Ft'!J11,-3)/1000</f>
        <v>0</v>
      </c>
      <c r="M20" s="863">
        <f>ROUND('[10]Eredeti Ft'!K11,-3)/1000</f>
        <v>0</v>
      </c>
      <c r="N20" s="863">
        <f>ROUND('[10]Eredeti Ft'!L11,-3)/1000</f>
        <v>0</v>
      </c>
      <c r="O20" s="863">
        <f t="shared" si="0"/>
        <v>59448</v>
      </c>
      <c r="P20" s="863">
        <f t="shared" si="1"/>
        <v>7794</v>
      </c>
      <c r="Q20" s="864">
        <f t="shared" si="2"/>
        <v>67242</v>
      </c>
      <c r="R20" s="1042" t="s">
        <v>14</v>
      </c>
      <c r="S20" s="861" t="s">
        <v>593</v>
      </c>
      <c r="T20" s="862" t="s">
        <v>163</v>
      </c>
      <c r="U20" s="866">
        <f>ROUND('[10]Eredeti Ft'!N11,-3)/1000</f>
        <v>42147</v>
      </c>
      <c r="V20" s="866">
        <f>ROUND('[10]Eredeti Ft'!O11,-3)/1000</f>
        <v>11175</v>
      </c>
      <c r="W20" s="863">
        <f>ROUND('[10]Eredeti Ft'!P11,-3)/1000</f>
        <v>13020</v>
      </c>
      <c r="X20" s="863">
        <f>ROUND('[10]Eredeti Ft'!Q11,-3)/1000</f>
        <v>6518</v>
      </c>
      <c r="Y20" s="863">
        <f>ROUND('[10]Eredeti Ft'!R11,-3)/1000</f>
        <v>0</v>
      </c>
      <c r="Z20" s="863">
        <f>ROUND('[10]Eredeti Ft'!S11,-3)/1000</f>
        <v>0</v>
      </c>
      <c r="AA20" s="863">
        <f>ROUND('[10]Eredeti Ft'!T11,-3)/1000</f>
        <v>900</v>
      </c>
      <c r="AB20" s="863">
        <f>ROUND('[10]Eredeti Ft'!U11,-3)/1000</f>
        <v>0</v>
      </c>
      <c r="AC20" s="864">
        <f t="shared" si="3"/>
        <v>67242</v>
      </c>
      <c r="AE20" s="865">
        <f>SUM(U20:AB20)-X20</f>
        <v>67242</v>
      </c>
    </row>
    <row r="21" spans="1:31" ht="12.75">
      <c r="A21" s="1041"/>
      <c r="B21" s="861" t="s">
        <v>593</v>
      </c>
      <c r="C21" s="862" t="s">
        <v>826</v>
      </c>
      <c r="D21" s="863">
        <v>366</v>
      </c>
      <c r="E21" s="863">
        <v>4665</v>
      </c>
      <c r="F21" s="863">
        <v>1358</v>
      </c>
      <c r="G21" s="863">
        <v>0</v>
      </c>
      <c r="H21" s="863">
        <v>505</v>
      </c>
      <c r="I21" s="863">
        <v>0</v>
      </c>
      <c r="J21" s="863">
        <v>900</v>
      </c>
      <c r="K21" s="863">
        <v>1539</v>
      </c>
      <c r="L21" s="863">
        <v>0</v>
      </c>
      <c r="M21" s="863">
        <v>88</v>
      </c>
      <c r="N21" s="863">
        <v>0</v>
      </c>
      <c r="O21" s="863">
        <f t="shared" si="0"/>
        <v>59692</v>
      </c>
      <c r="P21" s="863">
        <f t="shared" si="1"/>
        <v>9421</v>
      </c>
      <c r="Q21" s="864">
        <f t="shared" si="2"/>
        <v>69113</v>
      </c>
      <c r="R21" s="1043"/>
      <c r="S21" s="861" t="s">
        <v>593</v>
      </c>
      <c r="T21" s="862" t="s">
        <v>826</v>
      </c>
      <c r="U21" s="866">
        <f>42147+113+1125</f>
        <v>43385</v>
      </c>
      <c r="V21" s="866">
        <f>11175+31+304</f>
        <v>11510</v>
      </c>
      <c r="W21" s="863">
        <f>13020+198+100</f>
        <v>13318</v>
      </c>
      <c r="X21" s="863">
        <v>6518</v>
      </c>
      <c r="Y21" s="863">
        <v>0</v>
      </c>
      <c r="Z21" s="863">
        <v>0</v>
      </c>
      <c r="AA21" s="863">
        <v>900</v>
      </c>
      <c r="AB21" s="863">
        <v>0</v>
      </c>
      <c r="AC21" s="864">
        <f t="shared" si="3"/>
        <v>69113</v>
      </c>
      <c r="AE21" s="865"/>
    </row>
    <row r="22" spans="1:31" ht="12.75">
      <c r="A22" s="1041"/>
      <c r="B22" s="861" t="s">
        <v>593</v>
      </c>
      <c r="C22" s="862" t="s">
        <v>827</v>
      </c>
      <c r="D22" s="863">
        <v>366</v>
      </c>
      <c r="E22" s="863">
        <v>4665</v>
      </c>
      <c r="F22" s="863">
        <v>1358</v>
      </c>
      <c r="G22" s="863">
        <v>0</v>
      </c>
      <c r="H22" s="863">
        <v>505</v>
      </c>
      <c r="I22" s="863">
        <v>0</v>
      </c>
      <c r="J22" s="863">
        <v>900</v>
      </c>
      <c r="K22" s="863">
        <v>1539</v>
      </c>
      <c r="L22" s="863">
        <v>0</v>
      </c>
      <c r="M22" s="863">
        <v>88</v>
      </c>
      <c r="N22" s="863">
        <v>0</v>
      </c>
      <c r="O22" s="863">
        <f>AC22-P22</f>
        <v>62335</v>
      </c>
      <c r="P22" s="863">
        <f>SUM(D22:N22)</f>
        <v>9421</v>
      </c>
      <c r="Q22" s="864">
        <f>O22+P22</f>
        <v>71756</v>
      </c>
      <c r="R22" s="1044"/>
      <c r="S22" s="861" t="s">
        <v>593</v>
      </c>
      <c r="T22" s="862" t="s">
        <v>827</v>
      </c>
      <c r="U22" s="866">
        <f>44114+118</f>
        <v>44232</v>
      </c>
      <c r="V22" s="866">
        <f>11708+32</f>
        <v>11740</v>
      </c>
      <c r="W22" s="863">
        <v>12690</v>
      </c>
      <c r="X22" s="863">
        <v>6518</v>
      </c>
      <c r="Y22" s="863">
        <v>0</v>
      </c>
      <c r="Z22" s="863">
        <v>0</v>
      </c>
      <c r="AA22" s="863">
        <v>3094</v>
      </c>
      <c r="AB22" s="863">
        <v>0</v>
      </c>
      <c r="AC22" s="864">
        <f>SUM(U22:AB22)-X22</f>
        <v>71756</v>
      </c>
      <c r="AE22" s="865"/>
    </row>
    <row r="23" spans="1:31" ht="12.75">
      <c r="A23" s="1041" t="str">
        <f>'[10]Eredeti Ft'!A12</f>
        <v>Bergengócia Óvoda</v>
      </c>
      <c r="B23" s="861" t="s">
        <v>593</v>
      </c>
      <c r="C23" s="862" t="str">
        <f>'[10]Eredeti Ft'!B12</f>
        <v>Eredeti</v>
      </c>
      <c r="D23" s="863">
        <f>'[10]Eredeti EzerFt'!D12-'[10]Eredeti EzerFt'!E12</f>
        <v>0</v>
      </c>
      <c r="E23" s="863">
        <f>ROUND('[10]Eredeti Ft'!D12,-3)/1000</f>
        <v>1072</v>
      </c>
      <c r="F23" s="863">
        <f>ROUND('[10]Eredeti Ft'!E12,-3)/1000</f>
        <v>289</v>
      </c>
      <c r="G23" s="863">
        <f>ROUND('[10]Eredeti Ft'!F12,-3)/1000</f>
        <v>0</v>
      </c>
      <c r="H23" s="863">
        <f>'[10]Eredeti EzerFt'!I12</f>
        <v>0</v>
      </c>
      <c r="I23" s="863">
        <f>'[10]Eredeti EzerFt'!H12</f>
        <v>0</v>
      </c>
      <c r="J23" s="863">
        <f>'[10]Eredeti EzerFt'!J12</f>
        <v>0</v>
      </c>
      <c r="K23" s="863"/>
      <c r="L23" s="863">
        <f>ROUND('[10]Eredeti Ft'!J12,-3)/1000</f>
        <v>0</v>
      </c>
      <c r="M23" s="863">
        <f>ROUND('[10]Eredeti Ft'!K12,-3)/1000</f>
        <v>0</v>
      </c>
      <c r="N23" s="863">
        <f>ROUND('[10]Eredeti Ft'!L12,-3)/1000</f>
        <v>0</v>
      </c>
      <c r="O23" s="863">
        <f t="shared" si="0"/>
        <v>16253</v>
      </c>
      <c r="P23" s="863">
        <f t="shared" si="1"/>
        <v>1361</v>
      </c>
      <c r="Q23" s="864">
        <f t="shared" si="2"/>
        <v>17614</v>
      </c>
      <c r="R23" s="1042" t="s">
        <v>15</v>
      </c>
      <c r="S23" s="861" t="s">
        <v>593</v>
      </c>
      <c r="T23" s="862" t="s">
        <v>163</v>
      </c>
      <c r="U23" s="863">
        <f>ROUND('[10]Eredeti Ft'!N12,-3)/1000</f>
        <v>10537</v>
      </c>
      <c r="V23" s="863">
        <f>ROUND('[10]Eredeti Ft'!O12,-3)/1000</f>
        <v>2845</v>
      </c>
      <c r="W23" s="863">
        <f>ROUND('[10]Eredeti Ft'!P12,-3)/1000</f>
        <v>4232</v>
      </c>
      <c r="X23" s="863">
        <f>ROUND('[10]Eredeti Ft'!Q12,-3)/1000</f>
        <v>1355</v>
      </c>
      <c r="Y23" s="863">
        <f>ROUND('[10]Eredeti Ft'!R12,-3)/1000</f>
        <v>0</v>
      </c>
      <c r="Z23" s="863">
        <f>ROUND('[10]Eredeti Ft'!S12,-3)/1000</f>
        <v>0</v>
      </c>
      <c r="AA23" s="863">
        <f>ROUND('[10]Eredeti Ft'!T12,-3)/1000</f>
        <v>0</v>
      </c>
      <c r="AB23" s="863">
        <f>ROUND('[10]Eredeti Ft'!U12,-3)/1000</f>
        <v>0</v>
      </c>
      <c r="AC23" s="864">
        <f t="shared" si="3"/>
        <v>17614</v>
      </c>
      <c r="AE23" s="865">
        <f>SUM(U23:AB23)-X23</f>
        <v>17614</v>
      </c>
    </row>
    <row r="24" spans="1:31" ht="12.75">
      <c r="A24" s="1041"/>
      <c r="B24" s="861" t="s">
        <v>593</v>
      </c>
      <c r="C24" s="862" t="s">
        <v>826</v>
      </c>
      <c r="D24" s="863">
        <v>0</v>
      </c>
      <c r="E24" s="863">
        <v>1072</v>
      </c>
      <c r="F24" s="863">
        <v>289</v>
      </c>
      <c r="G24" s="863">
        <v>0</v>
      </c>
      <c r="H24" s="863">
        <v>0</v>
      </c>
      <c r="I24" s="863">
        <v>0</v>
      </c>
      <c r="J24" s="863">
        <v>0</v>
      </c>
      <c r="K24" s="863">
        <v>61</v>
      </c>
      <c r="L24" s="863">
        <v>0</v>
      </c>
      <c r="M24" s="863">
        <v>53</v>
      </c>
      <c r="N24" s="863">
        <v>0</v>
      </c>
      <c r="O24" s="863">
        <f t="shared" si="0"/>
        <v>16319</v>
      </c>
      <c r="P24" s="863">
        <f t="shared" si="1"/>
        <v>1475</v>
      </c>
      <c r="Q24" s="864">
        <f t="shared" si="2"/>
        <v>17794</v>
      </c>
      <c r="R24" s="1043"/>
      <c r="S24" s="861" t="s">
        <v>593</v>
      </c>
      <c r="T24" s="862" t="s">
        <v>826</v>
      </c>
      <c r="U24" s="863">
        <f>10537+51</f>
        <v>10588</v>
      </c>
      <c r="V24" s="863">
        <f>2845+15</f>
        <v>2860</v>
      </c>
      <c r="W24" s="863">
        <f>4232+114</f>
        <v>4346</v>
      </c>
      <c r="X24" s="863">
        <v>1355</v>
      </c>
      <c r="Y24" s="863">
        <v>0</v>
      </c>
      <c r="Z24" s="863">
        <v>0</v>
      </c>
      <c r="AA24" s="863">
        <v>0</v>
      </c>
      <c r="AB24" s="863">
        <v>0</v>
      </c>
      <c r="AC24" s="864">
        <f t="shared" si="3"/>
        <v>17794</v>
      </c>
      <c r="AE24" s="865"/>
    </row>
    <row r="25" spans="1:31" ht="12.75">
      <c r="A25" s="1041"/>
      <c r="B25" s="861" t="s">
        <v>593</v>
      </c>
      <c r="C25" s="862" t="s">
        <v>827</v>
      </c>
      <c r="D25" s="863">
        <v>0</v>
      </c>
      <c r="E25" s="863">
        <v>1072</v>
      </c>
      <c r="F25" s="863">
        <v>289</v>
      </c>
      <c r="G25" s="863">
        <v>0</v>
      </c>
      <c r="H25" s="863">
        <v>0</v>
      </c>
      <c r="I25" s="863">
        <v>0</v>
      </c>
      <c r="J25" s="863">
        <v>0</v>
      </c>
      <c r="K25" s="863">
        <v>61</v>
      </c>
      <c r="L25" s="863">
        <v>0</v>
      </c>
      <c r="M25" s="863">
        <v>53</v>
      </c>
      <c r="N25" s="863">
        <v>0</v>
      </c>
      <c r="O25" s="863">
        <f>AC25-P25</f>
        <v>17960</v>
      </c>
      <c r="P25" s="863">
        <f>SUM(D25:N25)</f>
        <v>1475</v>
      </c>
      <c r="Q25" s="864">
        <f>O25+P25</f>
        <v>19435</v>
      </c>
      <c r="R25" s="1044"/>
      <c r="S25" s="861" t="s">
        <v>593</v>
      </c>
      <c r="T25" s="862" t="s">
        <v>827</v>
      </c>
      <c r="U25" s="863">
        <v>10718</v>
      </c>
      <c r="V25" s="863">
        <v>2896</v>
      </c>
      <c r="W25" s="863">
        <v>4213</v>
      </c>
      <c r="X25" s="863">
        <v>1355</v>
      </c>
      <c r="Y25" s="863">
        <v>0</v>
      </c>
      <c r="Z25" s="863">
        <v>0</v>
      </c>
      <c r="AA25" s="863">
        <v>1608</v>
      </c>
      <c r="AB25" s="863">
        <v>0</v>
      </c>
      <c r="AC25" s="864">
        <f>SUM(U25:AB25)-X25</f>
        <v>19435</v>
      </c>
      <c r="AE25" s="865"/>
    </row>
    <row r="26" spans="1:31" ht="12.75">
      <c r="A26" s="1041" t="str">
        <f>'[10]Eredeti Ft'!A13</f>
        <v>Bölcsöde</v>
      </c>
      <c r="B26" s="861" t="s">
        <v>593</v>
      </c>
      <c r="C26" s="862" t="str">
        <f>'[10]Eredeti Ft'!B13</f>
        <v>Eredeti</v>
      </c>
      <c r="D26" s="863">
        <f>'[10]Eredeti EzerFt'!D13-'[10]Eredeti EzerFt'!E13</f>
        <v>3378</v>
      </c>
      <c r="E26" s="863">
        <f>ROUND('[10]Eredeti Ft'!D13,-3)/1000</f>
        <v>4258</v>
      </c>
      <c r="F26" s="863">
        <f>ROUND('[10]Eredeti Ft'!E13,-3)/1000</f>
        <v>1252</v>
      </c>
      <c r="G26" s="863">
        <f>ROUND('[10]Eredeti Ft'!F13,-3)/1000</f>
        <v>0</v>
      </c>
      <c r="H26" s="863">
        <f>'[10]Eredeti EzerFt'!I13</f>
        <v>0</v>
      </c>
      <c r="I26" s="863">
        <f>'[10]Eredeti EzerFt'!H13</f>
        <v>0</v>
      </c>
      <c r="J26" s="863">
        <f>'[10]Eredeti EzerFt'!J13</f>
        <v>0</v>
      </c>
      <c r="K26" s="863"/>
      <c r="L26" s="863">
        <f>ROUND('[10]Eredeti Ft'!J13,-3)/1000</f>
        <v>0</v>
      </c>
      <c r="M26" s="863">
        <f>ROUND('[10]Eredeti Ft'!K13,-3)/1000</f>
        <v>0</v>
      </c>
      <c r="N26" s="863">
        <f>ROUND('[10]Eredeti Ft'!L13,-3)/1000</f>
        <v>0</v>
      </c>
      <c r="O26" s="863">
        <f t="shared" si="0"/>
        <v>78632</v>
      </c>
      <c r="P26" s="863">
        <f t="shared" si="1"/>
        <v>8888</v>
      </c>
      <c r="Q26" s="864">
        <f t="shared" si="2"/>
        <v>87520</v>
      </c>
      <c r="R26" s="1042" t="s">
        <v>828</v>
      </c>
      <c r="S26" s="861" t="s">
        <v>593</v>
      </c>
      <c r="T26" s="862" t="s">
        <v>163</v>
      </c>
      <c r="U26" s="863">
        <f>ROUND('[10]Eredeti Ft'!N13,-3)/1000</f>
        <v>53032</v>
      </c>
      <c r="V26" s="863">
        <f>ROUND('[10]Eredeti Ft'!O13,-3)/1000</f>
        <v>13725</v>
      </c>
      <c r="W26" s="863">
        <f>ROUND('[10]Eredeti Ft'!P13,-3)/1000</f>
        <v>20063</v>
      </c>
      <c r="X26" s="863">
        <f>ROUND('[10]Eredeti Ft'!Q13,-3)/1000</f>
        <v>5788</v>
      </c>
      <c r="Y26" s="863">
        <f>ROUND('[10]Eredeti Ft'!R13,-3)/1000</f>
        <v>0</v>
      </c>
      <c r="Z26" s="863">
        <f>ROUND('[10]Eredeti Ft'!S13,-3)/1000</f>
        <v>0</v>
      </c>
      <c r="AA26" s="863">
        <f>ROUND('[10]Eredeti Ft'!T13,-3)/1000</f>
        <v>700</v>
      </c>
      <c r="AB26" s="863">
        <f>ROUND('[10]Eredeti Ft'!U13,-3)/1000</f>
        <v>0</v>
      </c>
      <c r="AC26" s="864">
        <f t="shared" si="3"/>
        <v>87520</v>
      </c>
      <c r="AE26" s="865">
        <f>SUM(U26:AB26)-X26</f>
        <v>87520</v>
      </c>
    </row>
    <row r="27" spans="1:31" ht="12.75">
      <c r="A27" s="1041"/>
      <c r="B27" s="861" t="s">
        <v>593</v>
      </c>
      <c r="C27" s="862" t="s">
        <v>826</v>
      </c>
      <c r="D27" s="863">
        <f>3378+600</f>
        <v>3978</v>
      </c>
      <c r="E27" s="863">
        <v>4258</v>
      </c>
      <c r="F27" s="863">
        <v>1252</v>
      </c>
      <c r="G27" s="863">
        <v>0</v>
      </c>
      <c r="H27" s="863">
        <v>0</v>
      </c>
      <c r="I27" s="863">
        <v>0</v>
      </c>
      <c r="J27" s="863">
        <v>0</v>
      </c>
      <c r="K27" s="863">
        <f>102+1241</f>
        <v>1343</v>
      </c>
      <c r="L27" s="863">
        <v>0</v>
      </c>
      <c r="M27" s="863">
        <v>265</v>
      </c>
      <c r="N27" s="863">
        <v>0</v>
      </c>
      <c r="O27" s="863">
        <f>AC27-P27</f>
        <v>81649</v>
      </c>
      <c r="P27" s="863">
        <f>SUM(D27:N27)</f>
        <v>11096</v>
      </c>
      <c r="Q27" s="864">
        <f>O27+P27</f>
        <v>92745</v>
      </c>
      <c r="R27" s="1043"/>
      <c r="S27" s="861" t="s">
        <v>593</v>
      </c>
      <c r="T27" s="862" t="s">
        <v>826</v>
      </c>
      <c r="U27" s="863">
        <f>53032+941+1434</f>
        <v>55407</v>
      </c>
      <c r="V27" s="863">
        <f>13725+255+387</f>
        <v>14367</v>
      </c>
      <c r="W27" s="863">
        <f>20063+600+1608</f>
        <v>22271</v>
      </c>
      <c r="X27" s="863">
        <v>5788</v>
      </c>
      <c r="Y27" s="863">
        <v>0</v>
      </c>
      <c r="Z27" s="863">
        <v>0</v>
      </c>
      <c r="AA27" s="863">
        <v>700</v>
      </c>
      <c r="AB27" s="863">
        <v>0</v>
      </c>
      <c r="AC27" s="864">
        <f t="shared" si="3"/>
        <v>92745</v>
      </c>
      <c r="AE27" s="865"/>
    </row>
    <row r="28" spans="1:31" ht="12.75">
      <c r="A28" s="1041"/>
      <c r="B28" s="861" t="s">
        <v>593</v>
      </c>
      <c r="C28" s="862" t="s">
        <v>827</v>
      </c>
      <c r="D28" s="863">
        <v>15912</v>
      </c>
      <c r="E28" s="863">
        <v>4258</v>
      </c>
      <c r="F28" s="863">
        <v>8004</v>
      </c>
      <c r="G28" s="863">
        <v>102</v>
      </c>
      <c r="H28" s="863">
        <v>0</v>
      </c>
      <c r="I28" s="863">
        <v>0</v>
      </c>
      <c r="J28" s="863">
        <v>0</v>
      </c>
      <c r="K28" s="863">
        <f>102+1241</f>
        <v>1343</v>
      </c>
      <c r="L28" s="863">
        <v>0</v>
      </c>
      <c r="M28" s="863">
        <v>265</v>
      </c>
      <c r="N28" s="863">
        <v>0</v>
      </c>
      <c r="O28" s="863">
        <f>AC28-P28</f>
        <v>83420</v>
      </c>
      <c r="P28" s="863">
        <f>SUM(D28:N28)</f>
        <v>29884</v>
      </c>
      <c r="Q28" s="864">
        <f>O28+P28</f>
        <v>113304</v>
      </c>
      <c r="R28" s="1044"/>
      <c r="S28" s="861" t="s">
        <v>593</v>
      </c>
      <c r="T28" s="862" t="s">
        <v>827</v>
      </c>
      <c r="U28" s="863">
        <v>59335</v>
      </c>
      <c r="V28" s="863">
        <v>15400</v>
      </c>
      <c r="W28" s="863">
        <v>37376</v>
      </c>
      <c r="X28" s="863">
        <v>5788</v>
      </c>
      <c r="Y28" s="863">
        <v>0</v>
      </c>
      <c r="Z28" s="863">
        <v>0</v>
      </c>
      <c r="AA28" s="863">
        <v>1193</v>
      </c>
      <c r="AB28" s="863">
        <v>0</v>
      </c>
      <c r="AC28" s="864">
        <f>SUM(U28:AB28)-X28</f>
        <v>113304</v>
      </c>
      <c r="AE28" s="865"/>
    </row>
    <row r="29" spans="1:31" ht="12.75" customHeight="1">
      <c r="A29" s="1041" t="str">
        <f>'[10]Eredeti Ft'!A14</f>
        <v>Vaszary J. Általános Iskola</v>
      </c>
      <c r="B29" s="861" t="s">
        <v>593</v>
      </c>
      <c r="C29" s="862" t="str">
        <f>'[10]Eredeti Ft'!B14</f>
        <v>Eredeti</v>
      </c>
      <c r="D29" s="863">
        <f>'[10]Eredeti EzerFt'!D14-'[10]Eredeti EzerFt'!E14</f>
        <v>3027</v>
      </c>
      <c r="E29" s="863">
        <f>ROUND('[10]Eredeti Ft'!D14,-3)/1000</f>
        <v>14011</v>
      </c>
      <c r="F29" s="863">
        <f>ROUND('[10]Eredeti Ft'!E14,-3)/1000</f>
        <v>4600</v>
      </c>
      <c r="G29" s="863">
        <f>ROUND('[10]Eredeti Ft'!F14,-3)/1000</f>
        <v>0</v>
      </c>
      <c r="H29" s="863">
        <f>'[10]Eredeti EzerFt'!I14</f>
        <v>0</v>
      </c>
      <c r="I29" s="863">
        <f>'[10]Eredeti EzerFt'!H14</f>
        <v>0</v>
      </c>
      <c r="J29" s="863">
        <f>'[10]Eredeti EzerFt'!J14</f>
        <v>0</v>
      </c>
      <c r="K29" s="863"/>
      <c r="L29" s="863">
        <f>ROUND('[10]Eredeti Ft'!J14,-3)/1000</f>
        <v>0</v>
      </c>
      <c r="M29" s="863">
        <f>ROUND('[10]Eredeti Ft'!K14,-3)/1000</f>
        <v>0</v>
      </c>
      <c r="N29" s="863">
        <f>ROUND('[10]Eredeti Ft'!L14,-3)/1000</f>
        <v>0</v>
      </c>
      <c r="O29" s="863">
        <f t="shared" si="0"/>
        <v>86738</v>
      </c>
      <c r="P29" s="863">
        <f t="shared" si="1"/>
        <v>21638</v>
      </c>
      <c r="Q29" s="864">
        <f t="shared" si="2"/>
        <v>108376</v>
      </c>
      <c r="R29" s="1042" t="s">
        <v>725</v>
      </c>
      <c r="S29" s="861" t="s">
        <v>593</v>
      </c>
      <c r="T29" s="862" t="s">
        <v>163</v>
      </c>
      <c r="U29" s="863">
        <f>ROUND('[10]Eredeti Ft'!N14,-3)/1000</f>
        <v>0</v>
      </c>
      <c r="V29" s="863">
        <f>ROUND('[10]Eredeti Ft'!O14,-3)/1000</f>
        <v>0</v>
      </c>
      <c r="W29" s="863">
        <f>ROUND('[10]Eredeti Ft'!P14,-3)/1000</f>
        <v>83376</v>
      </c>
      <c r="X29" s="863">
        <f>ROUND('[10]Eredeti Ft'!Q14,-3)/1000</f>
        <v>43224</v>
      </c>
      <c r="Y29" s="863">
        <f>ROUND('[10]Eredeti Ft'!R14,-3)/1000</f>
        <v>0</v>
      </c>
      <c r="Z29" s="863">
        <f>ROUND('[10]Eredeti Ft'!S14,-3)/1000</f>
        <v>0</v>
      </c>
      <c r="AA29" s="863">
        <f>ROUND('[10]Eredeti Ft'!T14,-3)/1000</f>
        <v>0</v>
      </c>
      <c r="AB29" s="863">
        <f>ROUND('[10]Eredeti Ft'!U14,-3)/1000</f>
        <v>25000</v>
      </c>
      <c r="AC29" s="864">
        <f t="shared" si="3"/>
        <v>108376</v>
      </c>
      <c r="AE29" s="865">
        <f>SUM(U29:AB29)-X29</f>
        <v>108376</v>
      </c>
    </row>
    <row r="30" spans="1:31" ht="12.75">
      <c r="A30" s="1041"/>
      <c r="B30" s="861" t="s">
        <v>593</v>
      </c>
      <c r="C30" s="862" t="s">
        <v>826</v>
      </c>
      <c r="D30" s="863">
        <v>3027</v>
      </c>
      <c r="E30" s="863">
        <v>14011</v>
      </c>
      <c r="F30" s="863">
        <v>4600</v>
      </c>
      <c r="G30" s="863">
        <v>0</v>
      </c>
      <c r="H30" s="863">
        <v>0</v>
      </c>
      <c r="I30" s="863">
        <v>0</v>
      </c>
      <c r="J30" s="863">
        <v>0</v>
      </c>
      <c r="K30" s="863"/>
      <c r="L30" s="863">
        <v>0</v>
      </c>
      <c r="M30" s="863">
        <v>0</v>
      </c>
      <c r="N30" s="863">
        <v>0</v>
      </c>
      <c r="O30" s="863">
        <f t="shared" si="0"/>
        <v>86738</v>
      </c>
      <c r="P30" s="863">
        <f t="shared" si="1"/>
        <v>21638</v>
      </c>
      <c r="Q30" s="864">
        <f t="shared" si="2"/>
        <v>108376</v>
      </c>
      <c r="R30" s="1043"/>
      <c r="S30" s="861" t="s">
        <v>593</v>
      </c>
      <c r="T30" s="862" t="s">
        <v>826</v>
      </c>
      <c r="U30" s="863">
        <v>0</v>
      </c>
      <c r="V30" s="863">
        <v>0</v>
      </c>
      <c r="W30" s="863">
        <v>83376</v>
      </c>
      <c r="X30" s="863">
        <v>43224</v>
      </c>
      <c r="Y30" s="863">
        <v>0</v>
      </c>
      <c r="Z30" s="863">
        <v>0</v>
      </c>
      <c r="AA30" s="863">
        <v>0</v>
      </c>
      <c r="AB30" s="863">
        <v>25000</v>
      </c>
      <c r="AC30" s="864">
        <f t="shared" si="3"/>
        <v>108376</v>
      </c>
      <c r="AE30" s="865"/>
    </row>
    <row r="31" spans="1:31" ht="12.75">
      <c r="A31" s="1041"/>
      <c r="B31" s="861" t="s">
        <v>593</v>
      </c>
      <c r="C31" s="862" t="s">
        <v>827</v>
      </c>
      <c r="D31" s="863">
        <v>3027</v>
      </c>
      <c r="E31" s="863">
        <v>14011</v>
      </c>
      <c r="F31" s="863">
        <v>4600</v>
      </c>
      <c r="G31" s="863">
        <v>0</v>
      </c>
      <c r="H31" s="863">
        <v>0</v>
      </c>
      <c r="I31" s="863">
        <v>0</v>
      </c>
      <c r="J31" s="863">
        <v>0</v>
      </c>
      <c r="K31" s="863"/>
      <c r="L31" s="863">
        <v>0</v>
      </c>
      <c r="M31" s="863">
        <v>0</v>
      </c>
      <c r="N31" s="863">
        <v>0</v>
      </c>
      <c r="O31" s="863">
        <f>AC31-P31</f>
        <v>94475</v>
      </c>
      <c r="P31" s="863">
        <f>SUM(D31:N31)</f>
        <v>21638</v>
      </c>
      <c r="Q31" s="864">
        <f>O31+P31</f>
        <v>116113</v>
      </c>
      <c r="R31" s="1044"/>
      <c r="S31" s="861" t="s">
        <v>593</v>
      </c>
      <c r="T31" s="862" t="s">
        <v>827</v>
      </c>
      <c r="U31" s="863">
        <v>0</v>
      </c>
      <c r="V31" s="863">
        <v>0</v>
      </c>
      <c r="W31" s="863">
        <v>82558</v>
      </c>
      <c r="X31" s="863">
        <v>43224</v>
      </c>
      <c r="Y31" s="863">
        <v>0</v>
      </c>
      <c r="Z31" s="863">
        <v>0</v>
      </c>
      <c r="AA31" s="863">
        <v>55</v>
      </c>
      <c r="AB31" s="863">
        <v>33500</v>
      </c>
      <c r="AC31" s="864">
        <f>SUM(U31:AB31)-X31</f>
        <v>116113</v>
      </c>
      <c r="AE31" s="865"/>
    </row>
    <row r="32" spans="1:31" ht="12.75" customHeight="1">
      <c r="A32" s="1041" t="str">
        <f>'[10]Eredeti Ft'!A15</f>
        <v>Vaszary - Logopédiai Intézet</v>
      </c>
      <c r="B32" s="861" t="s">
        <v>593</v>
      </c>
      <c r="C32" s="862" t="str">
        <f>'[10]Eredeti Ft'!B15</f>
        <v>Eredeti</v>
      </c>
      <c r="D32" s="863">
        <f>'[10]Eredeti EzerFt'!D15-'[10]Eredeti EzerFt'!E15</f>
        <v>0</v>
      </c>
      <c r="E32" s="863">
        <f>ROUND('[10]Eredeti Ft'!D15,-3)/1000</f>
        <v>0</v>
      </c>
      <c r="F32" s="863">
        <f>ROUND('[10]Eredeti Ft'!E15,-3)/1000</f>
        <v>0</v>
      </c>
      <c r="G32" s="863">
        <f>ROUND('[10]Eredeti Ft'!F15,-3)/1000</f>
        <v>0</v>
      </c>
      <c r="H32" s="863">
        <f>'[10]Eredeti EzerFt'!I15</f>
        <v>0</v>
      </c>
      <c r="I32" s="863">
        <f>'[10]Eredeti EzerFt'!H15</f>
        <v>0</v>
      </c>
      <c r="J32" s="863">
        <f>'[10]Eredeti EzerFt'!J15</f>
        <v>0</v>
      </c>
      <c r="K32" s="863"/>
      <c r="L32" s="863">
        <f>ROUND('[10]Eredeti Ft'!J15,-3)/1000</f>
        <v>0</v>
      </c>
      <c r="M32" s="863">
        <f>ROUND('[10]Eredeti Ft'!K15,-3)/1000</f>
        <v>0</v>
      </c>
      <c r="N32" s="863">
        <f>ROUND('[10]Eredeti Ft'!L15,-3)/1000</f>
        <v>0</v>
      </c>
      <c r="O32" s="863">
        <f t="shared" si="0"/>
        <v>1763</v>
      </c>
      <c r="P32" s="863">
        <f t="shared" si="1"/>
        <v>0</v>
      </c>
      <c r="Q32" s="864">
        <f t="shared" si="2"/>
        <v>1763</v>
      </c>
      <c r="R32" s="1042" t="s">
        <v>726</v>
      </c>
      <c r="S32" s="861" t="s">
        <v>593</v>
      </c>
      <c r="T32" s="862" t="s">
        <v>163</v>
      </c>
      <c r="U32" s="863">
        <f>ROUND('[10]Eredeti Ft'!N15,-3)/1000</f>
        <v>0</v>
      </c>
      <c r="V32" s="863">
        <f>ROUND('[10]Eredeti Ft'!O15,-3)/1000</f>
        <v>0</v>
      </c>
      <c r="W32" s="863">
        <f>ROUND('[10]Eredeti Ft'!P15,-3)/1000</f>
        <v>1763</v>
      </c>
      <c r="X32" s="863">
        <f>ROUND('[10]Eredeti Ft'!Q15,-3)/1000</f>
        <v>0</v>
      </c>
      <c r="Y32" s="863">
        <f>ROUND('[10]Eredeti Ft'!R15,-3)/1000</f>
        <v>0</v>
      </c>
      <c r="Z32" s="863">
        <f>ROUND('[10]Eredeti Ft'!S15,-3)/1000</f>
        <v>0</v>
      </c>
      <c r="AA32" s="863">
        <f>ROUND('[10]Eredeti Ft'!T15,-3)/1000</f>
        <v>0</v>
      </c>
      <c r="AB32" s="863">
        <f>ROUND('[10]Eredeti Ft'!U15,-3)/1000</f>
        <v>0</v>
      </c>
      <c r="AC32" s="864">
        <f t="shared" si="3"/>
        <v>1763</v>
      </c>
      <c r="AE32" s="865">
        <f>SUM(U32:AB32)-X32</f>
        <v>1763</v>
      </c>
    </row>
    <row r="33" spans="1:31" ht="12.75">
      <c r="A33" s="1041"/>
      <c r="B33" s="861" t="s">
        <v>593</v>
      </c>
      <c r="C33" s="862" t="s">
        <v>826</v>
      </c>
      <c r="D33" s="863">
        <v>0</v>
      </c>
      <c r="E33" s="863">
        <v>0</v>
      </c>
      <c r="F33" s="863">
        <v>0</v>
      </c>
      <c r="G33" s="863">
        <v>0</v>
      </c>
      <c r="H33" s="863">
        <v>0</v>
      </c>
      <c r="I33" s="863">
        <v>0</v>
      </c>
      <c r="J33" s="863">
        <v>0</v>
      </c>
      <c r="K33" s="863"/>
      <c r="L33" s="863">
        <v>0</v>
      </c>
      <c r="M33" s="863">
        <v>0</v>
      </c>
      <c r="N33" s="863">
        <v>0</v>
      </c>
      <c r="O33" s="863">
        <f t="shared" si="0"/>
        <v>1763</v>
      </c>
      <c r="P33" s="863">
        <f t="shared" si="1"/>
        <v>0</v>
      </c>
      <c r="Q33" s="864">
        <f t="shared" si="2"/>
        <v>1763</v>
      </c>
      <c r="R33" s="1043"/>
      <c r="S33" s="861" t="s">
        <v>593</v>
      </c>
      <c r="T33" s="862" t="s">
        <v>826</v>
      </c>
      <c r="U33" s="863">
        <v>0</v>
      </c>
      <c r="V33" s="863">
        <v>0</v>
      </c>
      <c r="W33" s="863">
        <v>1763</v>
      </c>
      <c r="X33" s="863">
        <v>0</v>
      </c>
      <c r="Y33" s="863">
        <v>0</v>
      </c>
      <c r="Z33" s="863">
        <v>0</v>
      </c>
      <c r="AA33" s="863">
        <v>0</v>
      </c>
      <c r="AB33" s="863">
        <v>0</v>
      </c>
      <c r="AC33" s="864">
        <f t="shared" si="3"/>
        <v>1763</v>
      </c>
      <c r="AE33" s="865"/>
    </row>
    <row r="34" spans="1:31" ht="12.75">
      <c r="A34" s="1041"/>
      <c r="B34" s="861" t="s">
        <v>593</v>
      </c>
      <c r="C34" s="862" t="s">
        <v>827</v>
      </c>
      <c r="D34" s="863">
        <v>0</v>
      </c>
      <c r="E34" s="863">
        <v>0</v>
      </c>
      <c r="F34" s="863">
        <v>0</v>
      </c>
      <c r="G34" s="863">
        <v>0</v>
      </c>
      <c r="H34" s="863">
        <v>0</v>
      </c>
      <c r="I34" s="863">
        <v>0</v>
      </c>
      <c r="J34" s="863">
        <v>0</v>
      </c>
      <c r="K34" s="863"/>
      <c r="L34" s="863">
        <v>0</v>
      </c>
      <c r="M34" s="863">
        <v>0</v>
      </c>
      <c r="N34" s="863">
        <v>0</v>
      </c>
      <c r="O34" s="863">
        <f>AC34-P34</f>
        <v>1763</v>
      </c>
      <c r="P34" s="863">
        <f>SUM(D34:N34)</f>
        <v>0</v>
      </c>
      <c r="Q34" s="864">
        <f>O34+P34</f>
        <v>1763</v>
      </c>
      <c r="R34" s="1044"/>
      <c r="S34" s="861" t="s">
        <v>593</v>
      </c>
      <c r="T34" s="862" t="s">
        <v>827</v>
      </c>
      <c r="U34" s="863">
        <v>0</v>
      </c>
      <c r="V34" s="863">
        <v>0</v>
      </c>
      <c r="W34" s="863">
        <v>1763</v>
      </c>
      <c r="X34" s="863">
        <v>0</v>
      </c>
      <c r="Y34" s="863">
        <v>0</v>
      </c>
      <c r="Z34" s="863">
        <v>0</v>
      </c>
      <c r="AA34" s="863">
        <v>0</v>
      </c>
      <c r="AB34" s="863">
        <v>0</v>
      </c>
      <c r="AC34" s="864">
        <f>SUM(U34:AB34)-X34</f>
        <v>1763</v>
      </c>
      <c r="AE34" s="865"/>
    </row>
    <row r="35" spans="1:31" ht="12.75" customHeight="1">
      <c r="A35" s="1041" t="str">
        <f>'[10]Eredeti Ft'!A16</f>
        <v>Vaszary-Jázmin Tagint.</v>
      </c>
      <c r="B35" s="861" t="s">
        <v>593</v>
      </c>
      <c r="C35" s="862" t="str">
        <f>'[10]Eredeti Ft'!B16</f>
        <v>Eredeti</v>
      </c>
      <c r="D35" s="863">
        <f>'[10]Eredeti EzerFt'!D16-'[10]Eredeti EzerFt'!E16</f>
        <v>220</v>
      </c>
      <c r="E35" s="863">
        <f>ROUND('[10]Eredeti Ft'!D16,-3)/1000</f>
        <v>8284</v>
      </c>
      <c r="F35" s="863">
        <f>ROUND('[10]Eredeti Ft'!E16,-3)/1000</f>
        <v>2242</v>
      </c>
      <c r="G35" s="863">
        <f>ROUND('[10]Eredeti Ft'!F16,-3)/1000</f>
        <v>0</v>
      </c>
      <c r="H35" s="863">
        <f>'[10]Eredeti EzerFt'!I16</f>
        <v>0</v>
      </c>
      <c r="I35" s="863">
        <f>'[10]Eredeti EzerFt'!H16</f>
        <v>0</v>
      </c>
      <c r="J35" s="863">
        <f>'[10]Eredeti EzerFt'!J16</f>
        <v>0</v>
      </c>
      <c r="K35" s="863"/>
      <c r="L35" s="863">
        <f>ROUND('[10]Eredeti Ft'!J16,-3)/1000</f>
        <v>0</v>
      </c>
      <c r="M35" s="863">
        <f>ROUND('[10]Eredeti Ft'!K16,-3)/1000</f>
        <v>0</v>
      </c>
      <c r="N35" s="863">
        <f>ROUND('[10]Eredeti Ft'!L16,-3)/1000</f>
        <v>0</v>
      </c>
      <c r="O35" s="863">
        <f t="shared" si="0"/>
        <v>21372</v>
      </c>
      <c r="P35" s="863">
        <f t="shared" si="1"/>
        <v>10746</v>
      </c>
      <c r="Q35" s="864">
        <f t="shared" si="2"/>
        <v>32118</v>
      </c>
      <c r="R35" s="1042" t="s">
        <v>829</v>
      </c>
      <c r="S35" s="861" t="s">
        <v>593</v>
      </c>
      <c r="T35" s="862" t="s">
        <v>163</v>
      </c>
      <c r="U35" s="863">
        <f>ROUND('[10]Eredeti Ft'!N16,-3)/1000</f>
        <v>0</v>
      </c>
      <c r="V35" s="863">
        <f>ROUND('[10]Eredeti Ft'!O16,-3)/1000</f>
        <v>0</v>
      </c>
      <c r="W35" s="863">
        <f>ROUND('[10]Eredeti Ft'!P16,-3)/1000</f>
        <v>31468</v>
      </c>
      <c r="X35" s="863">
        <f>ROUND('[10]Eredeti Ft'!Q16,-3)/1000</f>
        <v>20841</v>
      </c>
      <c r="Y35" s="863">
        <f>ROUND('[10]Eredeti Ft'!R16,-3)/1000</f>
        <v>0</v>
      </c>
      <c r="Z35" s="863">
        <f>ROUND('[10]Eredeti Ft'!S16,-3)/1000</f>
        <v>0</v>
      </c>
      <c r="AA35" s="863">
        <f>ROUND('[10]Eredeti Ft'!T16,-3)/1000</f>
        <v>0</v>
      </c>
      <c r="AB35" s="863">
        <f>ROUND('[10]Eredeti Ft'!U16,-3)/1000</f>
        <v>650</v>
      </c>
      <c r="AC35" s="864">
        <f t="shared" si="3"/>
        <v>32118</v>
      </c>
      <c r="AE35" s="865">
        <f>SUM(U35:AB35)-X35</f>
        <v>32118</v>
      </c>
    </row>
    <row r="36" spans="1:31" ht="12.75">
      <c r="A36" s="1041"/>
      <c r="B36" s="861" t="s">
        <v>593</v>
      </c>
      <c r="C36" s="862" t="s">
        <v>826</v>
      </c>
      <c r="D36" s="863">
        <v>220</v>
      </c>
      <c r="E36" s="863">
        <v>8284</v>
      </c>
      <c r="F36" s="863">
        <v>2242</v>
      </c>
      <c r="G36" s="863">
        <v>0</v>
      </c>
      <c r="H36" s="863">
        <v>0</v>
      </c>
      <c r="I36" s="863">
        <v>0</v>
      </c>
      <c r="J36" s="863">
        <v>0</v>
      </c>
      <c r="K36" s="863"/>
      <c r="L36" s="863">
        <v>0</v>
      </c>
      <c r="M36" s="863">
        <v>0</v>
      </c>
      <c r="N36" s="863">
        <v>0</v>
      </c>
      <c r="O36" s="863">
        <f t="shared" si="0"/>
        <v>21372</v>
      </c>
      <c r="P36" s="863">
        <f t="shared" si="1"/>
        <v>10746</v>
      </c>
      <c r="Q36" s="864">
        <f t="shared" si="2"/>
        <v>32118</v>
      </c>
      <c r="R36" s="1043"/>
      <c r="S36" s="861" t="s">
        <v>593</v>
      </c>
      <c r="T36" s="862" t="s">
        <v>826</v>
      </c>
      <c r="U36" s="863">
        <v>0</v>
      </c>
      <c r="V36" s="863">
        <v>0</v>
      </c>
      <c r="W36" s="863">
        <v>31468</v>
      </c>
      <c r="X36" s="863">
        <v>20841</v>
      </c>
      <c r="Y36" s="863">
        <v>0</v>
      </c>
      <c r="Z36" s="863">
        <v>0</v>
      </c>
      <c r="AA36" s="863">
        <v>0</v>
      </c>
      <c r="AB36" s="863">
        <v>650</v>
      </c>
      <c r="AC36" s="864">
        <f t="shared" si="3"/>
        <v>32118</v>
      </c>
      <c r="AE36" s="865"/>
    </row>
    <row r="37" spans="1:31" ht="12.75">
      <c r="A37" s="1041"/>
      <c r="B37" s="861" t="s">
        <v>593</v>
      </c>
      <c r="C37" s="862" t="s">
        <v>827</v>
      </c>
      <c r="D37" s="863">
        <v>220</v>
      </c>
      <c r="E37" s="863">
        <v>8284</v>
      </c>
      <c r="F37" s="863">
        <v>2242</v>
      </c>
      <c r="G37" s="863">
        <v>0</v>
      </c>
      <c r="H37" s="863">
        <v>0</v>
      </c>
      <c r="I37" s="863">
        <v>0</v>
      </c>
      <c r="J37" s="863">
        <v>0</v>
      </c>
      <c r="K37" s="863"/>
      <c r="L37" s="863">
        <v>0</v>
      </c>
      <c r="M37" s="863">
        <v>0</v>
      </c>
      <c r="N37" s="863">
        <v>0</v>
      </c>
      <c r="O37" s="863">
        <f>AC37-P37</f>
        <v>22135</v>
      </c>
      <c r="P37" s="863">
        <f>SUM(D37:N37)</f>
        <v>10746</v>
      </c>
      <c r="Q37" s="864">
        <f>O37+P37</f>
        <v>32881</v>
      </c>
      <c r="R37" s="1044"/>
      <c r="S37" s="861" t="s">
        <v>593</v>
      </c>
      <c r="T37" s="862" t="s">
        <v>827</v>
      </c>
      <c r="U37" s="863">
        <v>0</v>
      </c>
      <c r="V37" s="863">
        <v>0</v>
      </c>
      <c r="W37" s="863">
        <v>32231</v>
      </c>
      <c r="X37" s="863">
        <v>20841</v>
      </c>
      <c r="Y37" s="863">
        <v>0</v>
      </c>
      <c r="Z37" s="863">
        <v>0</v>
      </c>
      <c r="AA37" s="863">
        <v>0</v>
      </c>
      <c r="AB37" s="863">
        <v>650</v>
      </c>
      <c r="AC37" s="864">
        <f>SUM(U37:AB37)-X37</f>
        <v>32881</v>
      </c>
      <c r="AE37" s="865"/>
    </row>
    <row r="38" spans="1:31" s="870" customFormat="1" ht="12.75">
      <c r="A38" s="1033" t="str">
        <f>'[10]Eredeti Ft'!A17</f>
        <v>Vaszary összesen</v>
      </c>
      <c r="B38" s="923" t="s">
        <v>593</v>
      </c>
      <c r="C38" s="867" t="str">
        <f>'[10]Eredeti Ft'!B17</f>
        <v>Eredeti</v>
      </c>
      <c r="D38" s="868">
        <f>D29+D32+D35</f>
        <v>3247</v>
      </c>
      <c r="E38" s="868">
        <f aca="true" t="shared" si="4" ref="E38:AB40">E29+E32+E35</f>
        <v>22295</v>
      </c>
      <c r="F38" s="868">
        <f t="shared" si="4"/>
        <v>6842</v>
      </c>
      <c r="G38" s="868">
        <f t="shared" si="4"/>
        <v>0</v>
      </c>
      <c r="H38" s="868">
        <f t="shared" si="4"/>
        <v>0</v>
      </c>
      <c r="I38" s="868">
        <f t="shared" si="4"/>
        <v>0</v>
      </c>
      <c r="J38" s="868">
        <f t="shared" si="4"/>
        <v>0</v>
      </c>
      <c r="K38" s="868"/>
      <c r="L38" s="868">
        <f t="shared" si="4"/>
        <v>0</v>
      </c>
      <c r="M38" s="868">
        <f t="shared" si="4"/>
        <v>0</v>
      </c>
      <c r="N38" s="868">
        <f t="shared" si="4"/>
        <v>0</v>
      </c>
      <c r="O38" s="868">
        <f t="shared" si="0"/>
        <v>109873</v>
      </c>
      <c r="P38" s="868">
        <f t="shared" si="1"/>
        <v>32384</v>
      </c>
      <c r="Q38" s="869">
        <f t="shared" si="2"/>
        <v>142257</v>
      </c>
      <c r="R38" s="1037" t="s">
        <v>727</v>
      </c>
      <c r="S38" s="923" t="s">
        <v>593</v>
      </c>
      <c r="T38" s="867" t="s">
        <v>163</v>
      </c>
      <c r="U38" s="868">
        <f t="shared" si="4"/>
        <v>0</v>
      </c>
      <c r="V38" s="868">
        <f t="shared" si="4"/>
        <v>0</v>
      </c>
      <c r="W38" s="868">
        <f t="shared" si="4"/>
        <v>116607</v>
      </c>
      <c r="X38" s="868">
        <f t="shared" si="4"/>
        <v>64065</v>
      </c>
      <c r="Y38" s="868">
        <f t="shared" si="4"/>
        <v>0</v>
      </c>
      <c r="Z38" s="868">
        <f t="shared" si="4"/>
        <v>0</v>
      </c>
      <c r="AA38" s="868">
        <f t="shared" si="4"/>
        <v>0</v>
      </c>
      <c r="AB38" s="868">
        <f t="shared" si="4"/>
        <v>25650</v>
      </c>
      <c r="AC38" s="869">
        <f t="shared" si="3"/>
        <v>142257</v>
      </c>
      <c r="AD38" s="870">
        <f>SUM(AD29:AD35)</f>
        <v>0</v>
      </c>
      <c r="AE38" s="871"/>
    </row>
    <row r="39" spans="1:31" s="870" customFormat="1" ht="12.75">
      <c r="A39" s="1033"/>
      <c r="B39" s="923" t="s">
        <v>593</v>
      </c>
      <c r="C39" s="867" t="s">
        <v>826</v>
      </c>
      <c r="D39" s="868">
        <f>D30+D33+D36</f>
        <v>3247</v>
      </c>
      <c r="E39" s="868">
        <f t="shared" si="4"/>
        <v>22295</v>
      </c>
      <c r="F39" s="868">
        <f t="shared" si="4"/>
        <v>6842</v>
      </c>
      <c r="G39" s="868">
        <f t="shared" si="4"/>
        <v>0</v>
      </c>
      <c r="H39" s="868">
        <f t="shared" si="4"/>
        <v>0</v>
      </c>
      <c r="I39" s="868">
        <f t="shared" si="4"/>
        <v>0</v>
      </c>
      <c r="J39" s="868">
        <f t="shared" si="4"/>
        <v>0</v>
      </c>
      <c r="K39" s="868">
        <f t="shared" si="4"/>
        <v>0</v>
      </c>
      <c r="L39" s="868">
        <f t="shared" si="4"/>
        <v>0</v>
      </c>
      <c r="M39" s="868">
        <f t="shared" si="4"/>
        <v>0</v>
      </c>
      <c r="N39" s="868">
        <f t="shared" si="4"/>
        <v>0</v>
      </c>
      <c r="O39" s="868">
        <f t="shared" si="0"/>
        <v>109873</v>
      </c>
      <c r="P39" s="868">
        <f t="shared" si="1"/>
        <v>32384</v>
      </c>
      <c r="Q39" s="869">
        <f t="shared" si="2"/>
        <v>142257</v>
      </c>
      <c r="R39" s="1046"/>
      <c r="S39" s="923" t="s">
        <v>593</v>
      </c>
      <c r="T39" s="867" t="s">
        <v>826</v>
      </c>
      <c r="U39" s="868">
        <f t="shared" si="4"/>
        <v>0</v>
      </c>
      <c r="V39" s="868">
        <f t="shared" si="4"/>
        <v>0</v>
      </c>
      <c r="W39" s="868">
        <f t="shared" si="4"/>
        <v>116607</v>
      </c>
      <c r="X39" s="868">
        <f t="shared" si="4"/>
        <v>64065</v>
      </c>
      <c r="Y39" s="868">
        <f t="shared" si="4"/>
        <v>0</v>
      </c>
      <c r="Z39" s="868">
        <f t="shared" si="4"/>
        <v>0</v>
      </c>
      <c r="AA39" s="868">
        <f t="shared" si="4"/>
        <v>0</v>
      </c>
      <c r="AB39" s="868">
        <f t="shared" si="4"/>
        <v>25650</v>
      </c>
      <c r="AC39" s="869">
        <f t="shared" si="3"/>
        <v>142257</v>
      </c>
      <c r="AE39" s="871"/>
    </row>
    <row r="40" spans="1:31" s="870" customFormat="1" ht="12.75">
      <c r="A40" s="1033"/>
      <c r="B40" s="923" t="s">
        <v>593</v>
      </c>
      <c r="C40" s="867" t="s">
        <v>827</v>
      </c>
      <c r="D40" s="868">
        <f>D31+D34+D37</f>
        <v>3247</v>
      </c>
      <c r="E40" s="868">
        <f t="shared" si="4"/>
        <v>22295</v>
      </c>
      <c r="F40" s="868">
        <f t="shared" si="4"/>
        <v>6842</v>
      </c>
      <c r="G40" s="868">
        <f t="shared" si="4"/>
        <v>0</v>
      </c>
      <c r="H40" s="868">
        <f t="shared" si="4"/>
        <v>0</v>
      </c>
      <c r="I40" s="868">
        <f t="shared" si="4"/>
        <v>0</v>
      </c>
      <c r="J40" s="868">
        <f t="shared" si="4"/>
        <v>0</v>
      </c>
      <c r="K40" s="868">
        <f t="shared" si="4"/>
        <v>0</v>
      </c>
      <c r="L40" s="868">
        <f t="shared" si="4"/>
        <v>0</v>
      </c>
      <c r="M40" s="868">
        <f t="shared" si="4"/>
        <v>0</v>
      </c>
      <c r="N40" s="868">
        <f t="shared" si="4"/>
        <v>0</v>
      </c>
      <c r="O40" s="868">
        <f>AC40-P40</f>
        <v>118373</v>
      </c>
      <c r="P40" s="868">
        <f>SUM(D40:N40)</f>
        <v>32384</v>
      </c>
      <c r="Q40" s="869">
        <f>O40+P40</f>
        <v>150757</v>
      </c>
      <c r="R40" s="1038"/>
      <c r="S40" s="923" t="s">
        <v>593</v>
      </c>
      <c r="T40" s="867" t="s">
        <v>827</v>
      </c>
      <c r="U40" s="868">
        <f t="shared" si="4"/>
        <v>0</v>
      </c>
      <c r="V40" s="868">
        <f t="shared" si="4"/>
        <v>0</v>
      </c>
      <c r="W40" s="868">
        <f t="shared" si="4"/>
        <v>116552</v>
      </c>
      <c r="X40" s="868">
        <f t="shared" si="4"/>
        <v>64065</v>
      </c>
      <c r="Y40" s="868">
        <f t="shared" si="4"/>
        <v>0</v>
      </c>
      <c r="Z40" s="868">
        <f t="shared" si="4"/>
        <v>0</v>
      </c>
      <c r="AA40" s="868">
        <f t="shared" si="4"/>
        <v>55</v>
      </c>
      <c r="AB40" s="868">
        <f t="shared" si="4"/>
        <v>34150</v>
      </c>
      <c r="AC40" s="869">
        <f>SUM(U40:AB40)-X40</f>
        <v>150757</v>
      </c>
      <c r="AE40" s="871"/>
    </row>
    <row r="41" spans="1:31" ht="12.75">
      <c r="A41" s="1041" t="str">
        <f>'[10]Eredeti Ft'!A18</f>
        <v>Kőkúti Általános Iskola</v>
      </c>
      <c r="B41" s="861" t="s">
        <v>593</v>
      </c>
      <c r="C41" s="862" t="str">
        <f>'[10]Eredeti Ft'!B18</f>
        <v>Eredeti</v>
      </c>
      <c r="D41" s="863">
        <f>'[10]Eredeti EzerFt'!D18-'[10]Eredeti EzerFt'!E18</f>
        <v>5148</v>
      </c>
      <c r="E41" s="863">
        <f>ROUND('[10]Eredeti Ft'!D18,-3)/1000</f>
        <v>18374</v>
      </c>
      <c r="F41" s="863">
        <f>ROUND('[10]Eredeti Ft'!E18,-3)/1000</f>
        <v>5993</v>
      </c>
      <c r="G41" s="863">
        <f>ROUND('[10]Eredeti Ft'!F18,-3)/1000</f>
        <v>0</v>
      </c>
      <c r="H41" s="863">
        <f>'[10]Eredeti EzerFt'!I18</f>
        <v>0</v>
      </c>
      <c r="I41" s="863">
        <f>'[10]Eredeti EzerFt'!H18</f>
        <v>0</v>
      </c>
      <c r="J41" s="863">
        <f>'[10]Eredeti EzerFt'!J18</f>
        <v>0</v>
      </c>
      <c r="K41" s="863"/>
      <c r="L41" s="863">
        <f>ROUND('[10]Eredeti Ft'!J18,-3)/1000</f>
        <v>0</v>
      </c>
      <c r="M41" s="863">
        <f>ROUND('[10]Eredeti Ft'!K18,-3)/1000</f>
        <v>0</v>
      </c>
      <c r="N41" s="863">
        <f>ROUND('[10]Eredeti Ft'!L18,-3)/1000</f>
        <v>0</v>
      </c>
      <c r="O41" s="863">
        <f t="shared" si="0"/>
        <v>94900</v>
      </c>
      <c r="P41" s="863">
        <f t="shared" si="1"/>
        <v>29515</v>
      </c>
      <c r="Q41" s="864">
        <f t="shared" si="2"/>
        <v>124415</v>
      </c>
      <c r="R41" s="1042" t="s">
        <v>728</v>
      </c>
      <c r="S41" s="861" t="s">
        <v>593</v>
      </c>
      <c r="T41" s="862" t="s">
        <v>163</v>
      </c>
      <c r="U41" s="863">
        <f>ROUND('[10]Eredeti Ft'!N18,-3)/1000</f>
        <v>0</v>
      </c>
      <c r="V41" s="863">
        <f>ROUND('[10]Eredeti Ft'!O18,-3)/1000</f>
        <v>0</v>
      </c>
      <c r="W41" s="863">
        <f>ROUND('[10]Eredeti Ft'!P18,-3)/1000</f>
        <v>122415</v>
      </c>
      <c r="X41" s="863">
        <f>ROUND('[10]Eredeti Ft'!Q18,-3)/1000</f>
        <v>47459</v>
      </c>
      <c r="Y41" s="863">
        <f>ROUND('[10]Eredeti Ft'!R18,-3)/1000</f>
        <v>0</v>
      </c>
      <c r="Z41" s="863">
        <f>ROUND('[10]Eredeti Ft'!S18,-3)/1000</f>
        <v>0</v>
      </c>
      <c r="AA41" s="863">
        <f>ROUND('[10]Eredeti Ft'!T18,-3)/1000</f>
        <v>0</v>
      </c>
      <c r="AB41" s="863">
        <f>ROUND('[10]Eredeti Ft'!U18,-3)/1000</f>
        <v>2000</v>
      </c>
      <c r="AC41" s="864">
        <f t="shared" si="3"/>
        <v>124415</v>
      </c>
      <c r="AE41" s="865">
        <f>SUM(U41:AB41)-X41</f>
        <v>124415</v>
      </c>
    </row>
    <row r="42" spans="1:31" ht="12.75">
      <c r="A42" s="1041"/>
      <c r="B42" s="861" t="s">
        <v>593</v>
      </c>
      <c r="C42" s="862" t="s">
        <v>826</v>
      </c>
      <c r="D42" s="863">
        <v>5148</v>
      </c>
      <c r="E42" s="863">
        <v>18374</v>
      </c>
      <c r="F42" s="863">
        <v>5993</v>
      </c>
      <c r="G42" s="863">
        <v>0</v>
      </c>
      <c r="H42" s="863">
        <v>0</v>
      </c>
      <c r="I42" s="863">
        <v>0</v>
      </c>
      <c r="J42" s="863">
        <v>0</v>
      </c>
      <c r="K42" s="863"/>
      <c r="L42" s="863">
        <v>0</v>
      </c>
      <c r="M42" s="863">
        <v>0</v>
      </c>
      <c r="N42" s="863">
        <v>0</v>
      </c>
      <c r="O42" s="863">
        <f t="shared" si="0"/>
        <v>94900</v>
      </c>
      <c r="P42" s="863">
        <f t="shared" si="1"/>
        <v>29515</v>
      </c>
      <c r="Q42" s="864">
        <f t="shared" si="2"/>
        <v>124415</v>
      </c>
      <c r="R42" s="1043"/>
      <c r="S42" s="861" t="s">
        <v>593</v>
      </c>
      <c r="T42" s="862" t="s">
        <v>826</v>
      </c>
      <c r="U42" s="863">
        <v>0</v>
      </c>
      <c r="V42" s="863">
        <v>0</v>
      </c>
      <c r="W42" s="863">
        <v>122415</v>
      </c>
      <c r="X42" s="863">
        <v>47459</v>
      </c>
      <c r="Y42" s="863">
        <v>0</v>
      </c>
      <c r="Z42" s="863">
        <v>0</v>
      </c>
      <c r="AA42" s="863">
        <v>0</v>
      </c>
      <c r="AB42" s="863">
        <v>2000</v>
      </c>
      <c r="AC42" s="864">
        <f t="shared" si="3"/>
        <v>124415</v>
      </c>
      <c r="AE42" s="865"/>
    </row>
    <row r="43" spans="1:31" ht="12.75">
      <c r="A43" s="1041"/>
      <c r="B43" s="861" t="s">
        <v>593</v>
      </c>
      <c r="C43" s="862" t="s">
        <v>827</v>
      </c>
      <c r="D43" s="863">
        <v>5148</v>
      </c>
      <c r="E43" s="863">
        <v>18374</v>
      </c>
      <c r="F43" s="863">
        <v>5993</v>
      </c>
      <c r="G43" s="863">
        <v>0</v>
      </c>
      <c r="H43" s="863">
        <v>0</v>
      </c>
      <c r="I43" s="863">
        <v>0</v>
      </c>
      <c r="J43" s="863">
        <v>0</v>
      </c>
      <c r="K43" s="863"/>
      <c r="L43" s="863">
        <v>0</v>
      </c>
      <c r="M43" s="863">
        <v>0</v>
      </c>
      <c r="N43" s="863">
        <v>0</v>
      </c>
      <c r="O43" s="863">
        <f>AC43-P43</f>
        <v>94900</v>
      </c>
      <c r="P43" s="863">
        <f>SUM(D43:N43)</f>
        <v>29515</v>
      </c>
      <c r="Q43" s="864">
        <f>O43+P43</f>
        <v>124415</v>
      </c>
      <c r="R43" s="1044"/>
      <c r="S43" s="861" t="s">
        <v>593</v>
      </c>
      <c r="T43" s="862" t="s">
        <v>827</v>
      </c>
      <c r="U43" s="863">
        <v>0</v>
      </c>
      <c r="V43" s="863">
        <v>0</v>
      </c>
      <c r="W43" s="863">
        <v>122395</v>
      </c>
      <c r="X43" s="863">
        <v>47459</v>
      </c>
      <c r="Y43" s="863">
        <v>0</v>
      </c>
      <c r="Z43" s="863">
        <v>0</v>
      </c>
      <c r="AA43" s="863">
        <v>20</v>
      </c>
      <c r="AB43" s="863">
        <v>2000</v>
      </c>
      <c r="AC43" s="864">
        <f>SUM(U43:AB43)-X43</f>
        <v>124415</v>
      </c>
      <c r="AE43" s="865"/>
    </row>
    <row r="44" spans="1:31" ht="12.75" customHeight="1">
      <c r="A44" s="1041" t="str">
        <f>'[10]Eredeti Ft'!A19</f>
        <v>Kőkúti Általános Iskola - Fazekas U. Tagintézmény</v>
      </c>
      <c r="B44" s="861" t="s">
        <v>593</v>
      </c>
      <c r="C44" s="862" t="str">
        <f>'[10]Eredeti Ft'!B19</f>
        <v>Eredeti</v>
      </c>
      <c r="D44" s="863">
        <f>'[10]Eredeti EzerFt'!D19-'[10]Eredeti EzerFt'!E19</f>
        <v>400</v>
      </c>
      <c r="E44" s="863">
        <f>ROUND('[10]Eredeti Ft'!D19,-3)/1000</f>
        <v>6492</v>
      </c>
      <c r="F44" s="863">
        <f>ROUND('[10]Eredeti Ft'!E19,-3)/1000</f>
        <v>1798</v>
      </c>
      <c r="G44" s="863">
        <f>ROUND('[10]Eredeti Ft'!F19,-3)/1000</f>
        <v>0</v>
      </c>
      <c r="H44" s="863">
        <f>'[10]Eredeti EzerFt'!I19</f>
        <v>0</v>
      </c>
      <c r="I44" s="863">
        <f>'[10]Eredeti EzerFt'!H19</f>
        <v>0</v>
      </c>
      <c r="J44" s="863">
        <f>'[10]Eredeti EzerFt'!J19</f>
        <v>0</v>
      </c>
      <c r="K44" s="863"/>
      <c r="L44" s="863">
        <f>ROUND('[10]Eredeti Ft'!J19,-3)/1000</f>
        <v>0</v>
      </c>
      <c r="M44" s="863">
        <f>ROUND('[10]Eredeti Ft'!K19,-3)/1000</f>
        <v>0</v>
      </c>
      <c r="N44" s="863">
        <f>ROUND('[10]Eredeti Ft'!L19,-3)/1000</f>
        <v>0</v>
      </c>
      <c r="O44" s="863">
        <f t="shared" si="0"/>
        <v>29160</v>
      </c>
      <c r="P44" s="863">
        <f t="shared" si="1"/>
        <v>8690</v>
      </c>
      <c r="Q44" s="864">
        <f t="shared" si="2"/>
        <v>37850</v>
      </c>
      <c r="R44" s="1042" t="s">
        <v>830</v>
      </c>
      <c r="S44" s="861" t="s">
        <v>593</v>
      </c>
      <c r="T44" s="862" t="s">
        <v>163</v>
      </c>
      <c r="U44" s="863">
        <f>ROUND('[10]Eredeti Ft'!N19,-3)/1000</f>
        <v>0</v>
      </c>
      <c r="V44" s="863">
        <f>ROUND('[10]Eredeti Ft'!O19,-3)/1000</f>
        <v>0</v>
      </c>
      <c r="W44" s="863">
        <f>ROUND('[10]Eredeti Ft'!P19,-3)/1000</f>
        <v>35269</v>
      </c>
      <c r="X44" s="863">
        <f>ROUND('[10]Eredeti Ft'!Q19,-3)/1000</f>
        <v>17490</v>
      </c>
      <c r="Y44" s="863">
        <f>ROUND('[10]Eredeti Ft'!R19,-3)/1000</f>
        <v>0</v>
      </c>
      <c r="Z44" s="863">
        <f>ROUND('[10]Eredeti Ft'!S19,-3)/1000</f>
        <v>0</v>
      </c>
      <c r="AA44" s="863">
        <f>ROUND('[10]Eredeti Ft'!T19,-3)/1000</f>
        <v>0</v>
      </c>
      <c r="AB44" s="863">
        <f>ROUND('[10]Eredeti Ft'!U19,-3)/1000</f>
        <v>2581</v>
      </c>
      <c r="AC44" s="864">
        <f t="shared" si="3"/>
        <v>37850</v>
      </c>
      <c r="AE44" s="865">
        <f>SUM(U44:AB44)-X44</f>
        <v>37850</v>
      </c>
    </row>
    <row r="45" spans="1:31" ht="12.75">
      <c r="A45" s="1041"/>
      <c r="B45" s="861" t="s">
        <v>593</v>
      </c>
      <c r="C45" s="862" t="s">
        <v>826</v>
      </c>
      <c r="D45" s="863">
        <v>400</v>
      </c>
      <c r="E45" s="863">
        <v>6492</v>
      </c>
      <c r="F45" s="863">
        <v>1798</v>
      </c>
      <c r="G45" s="863">
        <v>0</v>
      </c>
      <c r="H45" s="863">
        <v>0</v>
      </c>
      <c r="I45" s="863">
        <v>0</v>
      </c>
      <c r="J45" s="863">
        <v>0</v>
      </c>
      <c r="K45" s="863"/>
      <c r="L45" s="863">
        <v>0</v>
      </c>
      <c r="M45" s="863">
        <v>0</v>
      </c>
      <c r="N45" s="863">
        <v>0</v>
      </c>
      <c r="O45" s="863">
        <f t="shared" si="0"/>
        <v>29160</v>
      </c>
      <c r="P45" s="863">
        <f t="shared" si="1"/>
        <v>8690</v>
      </c>
      <c r="Q45" s="864">
        <f t="shared" si="2"/>
        <v>37850</v>
      </c>
      <c r="R45" s="1043"/>
      <c r="S45" s="861" t="s">
        <v>593</v>
      </c>
      <c r="T45" s="862" t="s">
        <v>826</v>
      </c>
      <c r="U45" s="863">
        <v>0</v>
      </c>
      <c r="V45" s="863">
        <v>0</v>
      </c>
      <c r="W45" s="863">
        <v>35269</v>
      </c>
      <c r="X45" s="863">
        <v>17490</v>
      </c>
      <c r="Y45" s="863">
        <v>0</v>
      </c>
      <c r="Z45" s="863">
        <v>0</v>
      </c>
      <c r="AA45" s="863">
        <v>0</v>
      </c>
      <c r="AB45" s="863">
        <v>2581</v>
      </c>
      <c r="AC45" s="864">
        <f t="shared" si="3"/>
        <v>37850</v>
      </c>
      <c r="AE45" s="865"/>
    </row>
    <row r="46" spans="1:31" ht="12.75">
      <c r="A46" s="1041"/>
      <c r="B46" s="861" t="s">
        <v>593</v>
      </c>
      <c r="C46" s="862" t="s">
        <v>827</v>
      </c>
      <c r="D46" s="863">
        <v>400</v>
      </c>
      <c r="E46" s="863">
        <v>6492</v>
      </c>
      <c r="F46" s="863">
        <v>1798</v>
      </c>
      <c r="G46" s="863">
        <v>0</v>
      </c>
      <c r="H46" s="863">
        <v>0</v>
      </c>
      <c r="I46" s="863">
        <v>0</v>
      </c>
      <c r="J46" s="863">
        <v>0</v>
      </c>
      <c r="K46" s="863"/>
      <c r="L46" s="863">
        <v>0</v>
      </c>
      <c r="M46" s="863">
        <v>0</v>
      </c>
      <c r="N46" s="863">
        <v>0</v>
      </c>
      <c r="O46" s="863">
        <f>AC46-P46</f>
        <v>29445</v>
      </c>
      <c r="P46" s="863">
        <f>SUM(D46:N46)</f>
        <v>8690</v>
      </c>
      <c r="Q46" s="864">
        <f>O46+P46</f>
        <v>38135</v>
      </c>
      <c r="R46" s="1044"/>
      <c r="S46" s="861" t="s">
        <v>593</v>
      </c>
      <c r="T46" s="862" t="s">
        <v>827</v>
      </c>
      <c r="U46" s="863">
        <v>0</v>
      </c>
      <c r="V46" s="863">
        <v>0</v>
      </c>
      <c r="W46" s="863">
        <v>35554</v>
      </c>
      <c r="X46" s="863">
        <v>17490</v>
      </c>
      <c r="Y46" s="863">
        <v>0</v>
      </c>
      <c r="Z46" s="863">
        <v>0</v>
      </c>
      <c r="AA46" s="863">
        <v>0</v>
      </c>
      <c r="AB46" s="863">
        <v>2581</v>
      </c>
      <c r="AC46" s="864">
        <f>SUM(U46:AB46)-X46</f>
        <v>38135</v>
      </c>
      <c r="AE46" s="865"/>
    </row>
    <row r="47" spans="1:31" s="870" customFormat="1" ht="12.75">
      <c r="A47" s="1033" t="str">
        <f>'[10]Eredeti Ft'!A20</f>
        <v>Kőkúti összesen</v>
      </c>
      <c r="B47" s="923" t="s">
        <v>593</v>
      </c>
      <c r="C47" s="867" t="str">
        <f>'[10]Eredeti Ft'!B20</f>
        <v>Eredeti</v>
      </c>
      <c r="D47" s="868">
        <f>D44+D41</f>
        <v>5548</v>
      </c>
      <c r="E47" s="868">
        <f aca="true" t="shared" si="5" ref="E47:AB49">E44+E41</f>
        <v>24866</v>
      </c>
      <c r="F47" s="868">
        <f t="shared" si="5"/>
        <v>7791</v>
      </c>
      <c r="G47" s="868">
        <f t="shared" si="5"/>
        <v>0</v>
      </c>
      <c r="H47" s="868">
        <f t="shared" si="5"/>
        <v>0</v>
      </c>
      <c r="I47" s="868">
        <f t="shared" si="5"/>
        <v>0</v>
      </c>
      <c r="J47" s="868">
        <f t="shared" si="5"/>
        <v>0</v>
      </c>
      <c r="K47" s="868"/>
      <c r="L47" s="868">
        <f t="shared" si="5"/>
        <v>0</v>
      </c>
      <c r="M47" s="868">
        <f t="shared" si="5"/>
        <v>0</v>
      </c>
      <c r="N47" s="868">
        <f t="shared" si="5"/>
        <v>0</v>
      </c>
      <c r="O47" s="868">
        <f t="shared" si="0"/>
        <v>124060</v>
      </c>
      <c r="P47" s="868">
        <f t="shared" si="1"/>
        <v>38205</v>
      </c>
      <c r="Q47" s="869">
        <f t="shared" si="2"/>
        <v>162265</v>
      </c>
      <c r="R47" s="1037" t="s">
        <v>729</v>
      </c>
      <c r="S47" s="923" t="s">
        <v>593</v>
      </c>
      <c r="T47" s="867" t="s">
        <v>163</v>
      </c>
      <c r="U47" s="868">
        <f t="shared" si="5"/>
        <v>0</v>
      </c>
      <c r="V47" s="868">
        <f t="shared" si="5"/>
        <v>0</v>
      </c>
      <c r="W47" s="868">
        <f t="shared" si="5"/>
        <v>157684</v>
      </c>
      <c r="X47" s="868">
        <f t="shared" si="5"/>
        <v>64949</v>
      </c>
      <c r="Y47" s="868">
        <f t="shared" si="5"/>
        <v>0</v>
      </c>
      <c r="Z47" s="868">
        <f t="shared" si="5"/>
        <v>0</v>
      </c>
      <c r="AA47" s="868">
        <f t="shared" si="5"/>
        <v>0</v>
      </c>
      <c r="AB47" s="868">
        <f t="shared" si="5"/>
        <v>4581</v>
      </c>
      <c r="AC47" s="869">
        <f t="shared" si="3"/>
        <v>162265</v>
      </c>
      <c r="AE47" s="871">
        <f>SUM(U47:AB47)-X47</f>
        <v>162265</v>
      </c>
    </row>
    <row r="48" spans="1:31" s="870" customFormat="1" ht="12.75">
      <c r="A48" s="1033"/>
      <c r="B48" s="923" t="s">
        <v>593</v>
      </c>
      <c r="C48" s="867" t="s">
        <v>826</v>
      </c>
      <c r="D48" s="868">
        <f>D45+D42</f>
        <v>5548</v>
      </c>
      <c r="E48" s="868">
        <f t="shared" si="5"/>
        <v>24866</v>
      </c>
      <c r="F48" s="868">
        <f t="shared" si="5"/>
        <v>7791</v>
      </c>
      <c r="G48" s="868">
        <f t="shared" si="5"/>
        <v>0</v>
      </c>
      <c r="H48" s="868">
        <f t="shared" si="5"/>
        <v>0</v>
      </c>
      <c r="I48" s="868">
        <f t="shared" si="5"/>
        <v>0</v>
      </c>
      <c r="J48" s="868">
        <f t="shared" si="5"/>
        <v>0</v>
      </c>
      <c r="K48" s="868">
        <f t="shared" si="5"/>
        <v>0</v>
      </c>
      <c r="L48" s="868">
        <f t="shared" si="5"/>
        <v>0</v>
      </c>
      <c r="M48" s="868">
        <f t="shared" si="5"/>
        <v>0</v>
      </c>
      <c r="N48" s="868">
        <f t="shared" si="5"/>
        <v>0</v>
      </c>
      <c r="O48" s="868">
        <f t="shared" si="0"/>
        <v>124060</v>
      </c>
      <c r="P48" s="868">
        <f t="shared" si="1"/>
        <v>38205</v>
      </c>
      <c r="Q48" s="869">
        <f t="shared" si="2"/>
        <v>162265</v>
      </c>
      <c r="R48" s="1046"/>
      <c r="S48" s="923" t="s">
        <v>593</v>
      </c>
      <c r="T48" s="867" t="s">
        <v>826</v>
      </c>
      <c r="U48" s="868">
        <f t="shared" si="5"/>
        <v>0</v>
      </c>
      <c r="V48" s="868">
        <f t="shared" si="5"/>
        <v>0</v>
      </c>
      <c r="W48" s="868">
        <f t="shared" si="5"/>
        <v>157684</v>
      </c>
      <c r="X48" s="868">
        <f t="shared" si="5"/>
        <v>64949</v>
      </c>
      <c r="Y48" s="868">
        <f t="shared" si="5"/>
        <v>0</v>
      </c>
      <c r="Z48" s="868">
        <f t="shared" si="5"/>
        <v>0</v>
      </c>
      <c r="AA48" s="868">
        <f t="shared" si="5"/>
        <v>0</v>
      </c>
      <c r="AB48" s="868">
        <f t="shared" si="5"/>
        <v>4581</v>
      </c>
      <c r="AC48" s="869">
        <f t="shared" si="3"/>
        <v>162265</v>
      </c>
      <c r="AE48" s="871"/>
    </row>
    <row r="49" spans="1:31" s="870" customFormat="1" ht="13.5" thickBot="1">
      <c r="A49" s="1039"/>
      <c r="B49" s="924" t="s">
        <v>593</v>
      </c>
      <c r="C49" s="874" t="s">
        <v>827</v>
      </c>
      <c r="D49" s="880">
        <f>D46+D43</f>
        <v>5548</v>
      </c>
      <c r="E49" s="880">
        <f t="shared" si="5"/>
        <v>24866</v>
      </c>
      <c r="F49" s="880">
        <f t="shared" si="5"/>
        <v>7791</v>
      </c>
      <c r="G49" s="880">
        <f t="shared" si="5"/>
        <v>0</v>
      </c>
      <c r="H49" s="880">
        <f t="shared" si="5"/>
        <v>0</v>
      </c>
      <c r="I49" s="880">
        <f t="shared" si="5"/>
        <v>0</v>
      </c>
      <c r="J49" s="880">
        <f t="shared" si="5"/>
        <v>0</v>
      </c>
      <c r="K49" s="880">
        <f t="shared" si="5"/>
        <v>0</v>
      </c>
      <c r="L49" s="880">
        <f t="shared" si="5"/>
        <v>0</v>
      </c>
      <c r="M49" s="880">
        <f t="shared" si="5"/>
        <v>0</v>
      </c>
      <c r="N49" s="880">
        <f t="shared" si="5"/>
        <v>0</v>
      </c>
      <c r="O49" s="880">
        <f>AC49-P49</f>
        <v>124345</v>
      </c>
      <c r="P49" s="880">
        <f>SUM(D49:N49)</f>
        <v>38205</v>
      </c>
      <c r="Q49" s="881">
        <f>O49+P49</f>
        <v>162550</v>
      </c>
      <c r="R49" s="1040"/>
      <c r="S49" s="924" t="s">
        <v>593</v>
      </c>
      <c r="T49" s="874" t="s">
        <v>827</v>
      </c>
      <c r="U49" s="880">
        <f t="shared" si="5"/>
        <v>0</v>
      </c>
      <c r="V49" s="880">
        <f t="shared" si="5"/>
        <v>0</v>
      </c>
      <c r="W49" s="880">
        <f t="shared" si="5"/>
        <v>157949</v>
      </c>
      <c r="X49" s="880">
        <f t="shared" si="5"/>
        <v>64949</v>
      </c>
      <c r="Y49" s="880">
        <f t="shared" si="5"/>
        <v>0</v>
      </c>
      <c r="Z49" s="880">
        <f t="shared" si="5"/>
        <v>0</v>
      </c>
      <c r="AA49" s="880">
        <f t="shared" si="5"/>
        <v>20</v>
      </c>
      <c r="AB49" s="880">
        <f t="shared" si="5"/>
        <v>4581</v>
      </c>
      <c r="AC49" s="881">
        <f>SUM(U49:AB49)-X49</f>
        <v>162550</v>
      </c>
      <c r="AE49" s="871"/>
    </row>
    <row r="50" spans="1:31" ht="12.75">
      <c r="A50" s="1047" t="str">
        <f>'[10]Eredeti Ft'!A21</f>
        <v>Zeneiskola</v>
      </c>
      <c r="B50" s="876" t="s">
        <v>593</v>
      </c>
      <c r="C50" s="877" t="str">
        <f>'[10]Eredeti Ft'!B21</f>
        <v>Eredeti</v>
      </c>
      <c r="D50" s="878">
        <f>'[10]Eredeti EzerFt'!D21-'[10]Eredeti EzerFt'!E21</f>
        <v>2231</v>
      </c>
      <c r="E50" s="878">
        <f>ROUND('[10]Eredeti Ft'!D21,-3)/1000</f>
        <v>0</v>
      </c>
      <c r="F50" s="878">
        <f>ROUND('[10]Eredeti Ft'!E21,-3)/1000</f>
        <v>0</v>
      </c>
      <c r="G50" s="878">
        <f>ROUND('[10]Eredeti Ft'!F21,-3)/1000</f>
        <v>0</v>
      </c>
      <c r="H50" s="878">
        <f>'[10]Eredeti EzerFt'!I21</f>
        <v>0</v>
      </c>
      <c r="I50" s="878">
        <f>'[10]Eredeti EzerFt'!H21</f>
        <v>0</v>
      </c>
      <c r="J50" s="878">
        <f>'[10]Eredeti EzerFt'!J21</f>
        <v>0</v>
      </c>
      <c r="K50" s="878"/>
      <c r="L50" s="878">
        <f>ROUND('[10]Eredeti Ft'!J21,-3)/1000</f>
        <v>0</v>
      </c>
      <c r="M50" s="878">
        <f>ROUND('[10]Eredeti Ft'!K21,-3)/1000</f>
        <v>0</v>
      </c>
      <c r="N50" s="878">
        <f>ROUND('[10]Eredeti Ft'!L21,-3)/1000</f>
        <v>0</v>
      </c>
      <c r="O50" s="878">
        <f t="shared" si="0"/>
        <v>1410</v>
      </c>
      <c r="P50" s="878">
        <f t="shared" si="1"/>
        <v>2231</v>
      </c>
      <c r="Q50" s="879">
        <f t="shared" si="2"/>
        <v>3641</v>
      </c>
      <c r="R50" s="1048" t="s">
        <v>730</v>
      </c>
      <c r="S50" s="876" t="s">
        <v>593</v>
      </c>
      <c r="T50" s="877" t="s">
        <v>163</v>
      </c>
      <c r="U50" s="878">
        <f>ROUND('[10]Eredeti Ft'!N21,-3)/1000</f>
        <v>0</v>
      </c>
      <c r="V50" s="878">
        <f>ROUND('[10]Eredeti Ft'!O21,-3)/1000</f>
        <v>0</v>
      </c>
      <c r="W50" s="878">
        <f>ROUND('[10]Eredeti Ft'!P21,-3)/1000</f>
        <v>3641</v>
      </c>
      <c r="X50" s="878">
        <f>ROUND('[10]Eredeti Ft'!Q21,-3)/1000</f>
        <v>0</v>
      </c>
      <c r="Y50" s="878">
        <f>ROUND('[10]Eredeti Ft'!R21,-3)/1000</f>
        <v>0</v>
      </c>
      <c r="Z50" s="878">
        <f>ROUND('[10]Eredeti Ft'!S21,-3)/1000</f>
        <v>0</v>
      </c>
      <c r="AA50" s="878">
        <f>ROUND('[10]Eredeti Ft'!T21,-3)/1000</f>
        <v>0</v>
      </c>
      <c r="AB50" s="878">
        <f>ROUND('[10]Eredeti Ft'!U21,-3)/1000</f>
        <v>0</v>
      </c>
      <c r="AC50" s="879">
        <f t="shared" si="3"/>
        <v>3641</v>
      </c>
      <c r="AE50" s="865">
        <f>SUM(U50:AB50)-X50</f>
        <v>3641</v>
      </c>
    </row>
    <row r="51" spans="1:31" ht="12.75">
      <c r="A51" s="1041"/>
      <c r="B51" s="861" t="s">
        <v>593</v>
      </c>
      <c r="C51" s="862" t="s">
        <v>826</v>
      </c>
      <c r="D51" s="863">
        <v>2231</v>
      </c>
      <c r="E51" s="863">
        <v>0</v>
      </c>
      <c r="F51" s="863">
        <v>0</v>
      </c>
      <c r="G51" s="863">
        <v>0</v>
      </c>
      <c r="H51" s="863">
        <v>0</v>
      </c>
      <c r="I51" s="863">
        <v>0</v>
      </c>
      <c r="J51" s="863">
        <v>0</v>
      </c>
      <c r="K51" s="863"/>
      <c r="L51" s="863">
        <v>0</v>
      </c>
      <c r="M51" s="863">
        <v>0</v>
      </c>
      <c r="N51" s="863">
        <v>0</v>
      </c>
      <c r="O51" s="863">
        <f t="shared" si="0"/>
        <v>1410</v>
      </c>
      <c r="P51" s="863">
        <f t="shared" si="1"/>
        <v>2231</v>
      </c>
      <c r="Q51" s="864">
        <f t="shared" si="2"/>
        <v>3641</v>
      </c>
      <c r="R51" s="1043"/>
      <c r="S51" s="861" t="s">
        <v>593</v>
      </c>
      <c r="T51" s="862" t="s">
        <v>826</v>
      </c>
      <c r="U51" s="863">
        <v>0</v>
      </c>
      <c r="V51" s="863">
        <v>0</v>
      </c>
      <c r="W51" s="863">
        <v>3641</v>
      </c>
      <c r="X51" s="863">
        <v>0</v>
      </c>
      <c r="Y51" s="863">
        <v>0</v>
      </c>
      <c r="Z51" s="863">
        <v>0</v>
      </c>
      <c r="AA51" s="863">
        <v>0</v>
      </c>
      <c r="AB51" s="863">
        <v>0</v>
      </c>
      <c r="AC51" s="864">
        <f t="shared" si="3"/>
        <v>3641</v>
      </c>
      <c r="AE51" s="865"/>
    </row>
    <row r="52" spans="1:31" ht="12.75">
      <c r="A52" s="1041"/>
      <c r="B52" s="861" t="s">
        <v>593</v>
      </c>
      <c r="C52" s="862" t="s">
        <v>827</v>
      </c>
      <c r="D52" s="863">
        <v>2231</v>
      </c>
      <c r="E52" s="863">
        <v>0</v>
      </c>
      <c r="F52" s="863">
        <v>0</v>
      </c>
      <c r="G52" s="863">
        <v>0</v>
      </c>
      <c r="H52" s="863">
        <v>0</v>
      </c>
      <c r="I52" s="863">
        <v>0</v>
      </c>
      <c r="J52" s="863">
        <v>0</v>
      </c>
      <c r="K52" s="863"/>
      <c r="L52" s="863">
        <v>0</v>
      </c>
      <c r="M52" s="863">
        <v>0</v>
      </c>
      <c r="N52" s="863">
        <v>0</v>
      </c>
      <c r="O52" s="863">
        <f>AC52-P52</f>
        <v>1410</v>
      </c>
      <c r="P52" s="863">
        <f>SUM(D52:N52)</f>
        <v>2231</v>
      </c>
      <c r="Q52" s="864">
        <f>O52+P52</f>
        <v>3641</v>
      </c>
      <c r="R52" s="1044"/>
      <c r="S52" s="861" t="s">
        <v>593</v>
      </c>
      <c r="T52" s="862" t="s">
        <v>827</v>
      </c>
      <c r="U52" s="863">
        <v>0</v>
      </c>
      <c r="V52" s="863">
        <v>0</v>
      </c>
      <c r="W52" s="863">
        <v>3641</v>
      </c>
      <c r="X52" s="863">
        <v>0</v>
      </c>
      <c r="Y52" s="863">
        <v>0</v>
      </c>
      <c r="Z52" s="863">
        <v>0</v>
      </c>
      <c r="AA52" s="863">
        <v>0</v>
      </c>
      <c r="AB52" s="863">
        <v>0</v>
      </c>
      <c r="AC52" s="864">
        <f>SUM(U52:AB52)-X52</f>
        <v>3641</v>
      </c>
      <c r="AE52" s="865"/>
    </row>
    <row r="53" spans="1:31" ht="12.75" customHeight="1">
      <c r="A53" s="1041" t="s">
        <v>731</v>
      </c>
      <c r="B53" s="861" t="s">
        <v>593</v>
      </c>
      <c r="C53" s="862" t="str">
        <f>'[10]Eredeti Ft'!B22</f>
        <v>Eredeti</v>
      </c>
      <c r="D53" s="863">
        <f>'[10]Eredeti EzerFt'!D22-'[10]Eredeti EzerFt'!E22</f>
        <v>0</v>
      </c>
      <c r="E53" s="863">
        <f>ROUND('[10]Eredeti Ft'!D22,-3)/1000</f>
        <v>4452</v>
      </c>
      <c r="F53" s="863">
        <f>ROUND('[10]Eredeti Ft'!E22,-3)/1000</f>
        <v>1202</v>
      </c>
      <c r="G53" s="863">
        <f>ROUND('[10]Eredeti Ft'!F22,-3)/1000</f>
        <v>0</v>
      </c>
      <c r="H53" s="863">
        <f>'[10]Eredeti EzerFt'!I22</f>
        <v>0</v>
      </c>
      <c r="I53" s="863">
        <f>'[10]Eredeti EzerFt'!H22</f>
        <v>0</v>
      </c>
      <c r="J53" s="863">
        <f>'[10]Eredeti EzerFt'!J22</f>
        <v>0</v>
      </c>
      <c r="K53" s="863"/>
      <c r="L53" s="863">
        <f>ROUND('[10]Eredeti Ft'!J22,-3)/1000</f>
        <v>0</v>
      </c>
      <c r="M53" s="863">
        <f>ROUND('[10]Eredeti Ft'!K22,-3)/1000</f>
        <v>0</v>
      </c>
      <c r="N53" s="863">
        <f>ROUND('[10]Eredeti Ft'!L22,-3)/1000</f>
        <v>0</v>
      </c>
      <c r="O53" s="863">
        <f t="shared" si="0"/>
        <v>14467</v>
      </c>
      <c r="P53" s="863">
        <f t="shared" si="1"/>
        <v>5654</v>
      </c>
      <c r="Q53" s="864">
        <f t="shared" si="2"/>
        <v>20121</v>
      </c>
      <c r="R53" s="1042" t="s">
        <v>731</v>
      </c>
      <c r="S53" s="861" t="s">
        <v>593</v>
      </c>
      <c r="T53" s="862" t="s">
        <v>163</v>
      </c>
      <c r="U53" s="863">
        <v>0</v>
      </c>
      <c r="V53" s="863">
        <f>ROUND('[10]Eredeti Ft'!O22,-3)/1000</f>
        <v>0</v>
      </c>
      <c r="W53" s="863">
        <f>ROUND('[10]Eredeti Ft'!P22,-3)/1000</f>
        <v>20121</v>
      </c>
      <c r="X53" s="863">
        <f>ROUND('[10]Eredeti Ft'!Q22,-3)/1000</f>
        <v>20121</v>
      </c>
      <c r="Y53" s="863">
        <f>ROUND('[10]Eredeti Ft'!R22,-3)/1000</f>
        <v>0</v>
      </c>
      <c r="Z53" s="863">
        <v>0</v>
      </c>
      <c r="AA53" s="863">
        <f>ROUND('[10]Eredeti Ft'!T22,-3)/1000</f>
        <v>0</v>
      </c>
      <c r="AB53" s="863">
        <f>ROUND('[10]Eredeti Ft'!U22,-3)/1000</f>
        <v>0</v>
      </c>
      <c r="AC53" s="864">
        <f t="shared" si="3"/>
        <v>20121</v>
      </c>
      <c r="AE53" s="865"/>
    </row>
    <row r="54" spans="1:31" ht="12.75">
      <c r="A54" s="1041"/>
      <c r="B54" s="861" t="s">
        <v>593</v>
      </c>
      <c r="C54" s="862" t="s">
        <v>826</v>
      </c>
      <c r="D54" s="863">
        <v>0</v>
      </c>
      <c r="E54" s="863">
        <v>4452</v>
      </c>
      <c r="F54" s="863">
        <v>1202</v>
      </c>
      <c r="G54" s="863">
        <v>0</v>
      </c>
      <c r="H54" s="863">
        <v>0</v>
      </c>
      <c r="I54" s="863">
        <v>0</v>
      </c>
      <c r="J54" s="863">
        <v>0</v>
      </c>
      <c r="K54" s="863"/>
      <c r="L54" s="863">
        <v>0</v>
      </c>
      <c r="M54" s="863">
        <v>0</v>
      </c>
      <c r="N54" s="863">
        <v>0</v>
      </c>
      <c r="O54" s="863">
        <f t="shared" si="0"/>
        <v>14467</v>
      </c>
      <c r="P54" s="863">
        <f t="shared" si="1"/>
        <v>5654</v>
      </c>
      <c r="Q54" s="864">
        <f t="shared" si="2"/>
        <v>20121</v>
      </c>
      <c r="R54" s="1043"/>
      <c r="S54" s="861" t="s">
        <v>593</v>
      </c>
      <c r="T54" s="862" t="s">
        <v>826</v>
      </c>
      <c r="U54" s="863">
        <v>0</v>
      </c>
      <c r="V54" s="863">
        <v>0</v>
      </c>
      <c r="W54" s="863">
        <v>20121</v>
      </c>
      <c r="X54" s="863">
        <v>20121</v>
      </c>
      <c r="Y54" s="863">
        <v>0</v>
      </c>
      <c r="Z54" s="863">
        <v>0</v>
      </c>
      <c r="AA54" s="863">
        <v>0</v>
      </c>
      <c r="AB54" s="863">
        <v>0</v>
      </c>
      <c r="AC54" s="864">
        <f t="shared" si="3"/>
        <v>20121</v>
      </c>
      <c r="AE54" s="865"/>
    </row>
    <row r="55" spans="1:31" ht="12.75">
      <c r="A55" s="1041"/>
      <c r="B55" s="861" t="s">
        <v>593</v>
      </c>
      <c r="C55" s="862" t="s">
        <v>827</v>
      </c>
      <c r="D55" s="863">
        <v>0</v>
      </c>
      <c r="E55" s="863">
        <v>4452</v>
      </c>
      <c r="F55" s="863">
        <v>1202</v>
      </c>
      <c r="G55" s="863">
        <v>0</v>
      </c>
      <c r="H55" s="863">
        <v>0</v>
      </c>
      <c r="I55" s="863">
        <v>0</v>
      </c>
      <c r="J55" s="863">
        <v>0</v>
      </c>
      <c r="K55" s="863"/>
      <c r="L55" s="863">
        <v>0</v>
      </c>
      <c r="M55" s="863">
        <v>0</v>
      </c>
      <c r="N55" s="863">
        <v>0</v>
      </c>
      <c r="O55" s="863">
        <f>AC55-P55</f>
        <v>14467</v>
      </c>
      <c r="P55" s="863">
        <f>SUM(D55:N55)</f>
        <v>5654</v>
      </c>
      <c r="Q55" s="864">
        <f>O55+P55</f>
        <v>20121</v>
      </c>
      <c r="R55" s="1044"/>
      <c r="S55" s="861" t="s">
        <v>593</v>
      </c>
      <c r="T55" s="862" t="s">
        <v>827</v>
      </c>
      <c r="U55" s="863">
        <v>0</v>
      </c>
      <c r="V55" s="863">
        <v>0</v>
      </c>
      <c r="W55" s="863">
        <v>20121</v>
      </c>
      <c r="X55" s="863">
        <v>20121</v>
      </c>
      <c r="Y55" s="863">
        <v>0</v>
      </c>
      <c r="Z55" s="863">
        <v>0</v>
      </c>
      <c r="AA55" s="863">
        <v>0</v>
      </c>
      <c r="AB55" s="863">
        <v>0</v>
      </c>
      <c r="AC55" s="864">
        <f>SUM(U55:AB55)-X55</f>
        <v>20121</v>
      </c>
      <c r="AE55" s="865"/>
    </row>
    <row r="56" spans="1:31" ht="12.75" customHeight="1">
      <c r="A56" s="1041" t="s">
        <v>732</v>
      </c>
      <c r="B56" s="861" t="s">
        <v>779</v>
      </c>
      <c r="C56" s="862" t="s">
        <v>163</v>
      </c>
      <c r="D56" s="863">
        <f>'[10]Eredeti EzerFt'!D23-'[10]Eredeti EzerFt'!E23</f>
        <v>666</v>
      </c>
      <c r="E56" s="863">
        <f>ROUND('[10]Eredeti Ft'!D23,-3)/1000</f>
        <v>0</v>
      </c>
      <c r="F56" s="863">
        <f>ROUND('[10]Eredeti Ft'!E23,-3)/1000+1</f>
        <v>8181</v>
      </c>
      <c r="G56" s="863">
        <f>ROUND('[10]Eredeti Ft'!F23,-3)/1000</f>
        <v>0</v>
      </c>
      <c r="H56" s="863">
        <f>'[10]Eredeti EzerFt'!I23</f>
        <v>0</v>
      </c>
      <c r="I56" s="863">
        <f>'[10]Eredeti EzerFt'!H23</f>
        <v>0</v>
      </c>
      <c r="J56" s="863">
        <f>'[10]Eredeti EzerFt'!J23</f>
        <v>0</v>
      </c>
      <c r="K56" s="863"/>
      <c r="L56" s="863">
        <f>ROUND('[10]Eredeti Ft'!J23,-3)/1000</f>
        <v>0</v>
      </c>
      <c r="M56" s="863">
        <f>ROUND('[10]Eredeti Ft'!K23,-3)/1000</f>
        <v>0</v>
      </c>
      <c r="N56" s="863">
        <f>ROUND('[10]Eredeti Ft'!L23,-3)/1000</f>
        <v>0</v>
      </c>
      <c r="O56" s="863">
        <f t="shared" si="0"/>
        <v>31452</v>
      </c>
      <c r="P56" s="863">
        <f t="shared" si="1"/>
        <v>8847</v>
      </c>
      <c r="Q56" s="864">
        <f t="shared" si="2"/>
        <v>40299</v>
      </c>
      <c r="R56" s="1042" t="s">
        <v>732</v>
      </c>
      <c r="S56" s="861" t="s">
        <v>779</v>
      </c>
      <c r="T56" s="862" t="s">
        <v>163</v>
      </c>
      <c r="U56" s="863">
        <f>ROUND('[10]Eredeti Ft'!N23,-3)/1000</f>
        <v>18295</v>
      </c>
      <c r="V56" s="863">
        <f>ROUND('[10]Eredeti Ft'!O23,-3)/1000</f>
        <v>4906</v>
      </c>
      <c r="W56" s="863">
        <f>ROUND('[10]Eredeti Ft'!P23,-3)/1000</f>
        <v>13923</v>
      </c>
      <c r="X56" s="863">
        <f>ROUND('[10]Eredeti Ft'!Q23,-3)/1000</f>
        <v>0</v>
      </c>
      <c r="Y56" s="863">
        <f>ROUND('[10]Eredeti Ft'!R23,-3)/1000</f>
        <v>0</v>
      </c>
      <c r="Z56" s="863">
        <f>ROUND('[10]Eredeti Ft'!S23,-3)/1000</f>
        <v>0</v>
      </c>
      <c r="AA56" s="863">
        <f>ROUND('[10]Eredeti Ft'!T23,-3)/1000</f>
        <v>3175</v>
      </c>
      <c r="AB56" s="863">
        <f>ROUND('[10]Eredeti Ft'!U23,-3)/1000</f>
        <v>0</v>
      </c>
      <c r="AC56" s="864">
        <f t="shared" si="3"/>
        <v>40299</v>
      </c>
      <c r="AE56" s="865"/>
    </row>
    <row r="57" spans="1:31" ht="12.75">
      <c r="A57" s="1041"/>
      <c r="B57" s="861" t="s">
        <v>780</v>
      </c>
      <c r="C57" s="862" t="s">
        <v>826</v>
      </c>
      <c r="D57" s="863">
        <v>666</v>
      </c>
      <c r="E57" s="863">
        <v>0</v>
      </c>
      <c r="F57" s="863">
        <v>8181</v>
      </c>
      <c r="G57" s="863">
        <v>0</v>
      </c>
      <c r="H57" s="863">
        <v>0</v>
      </c>
      <c r="I57" s="863">
        <v>0</v>
      </c>
      <c r="J57" s="863">
        <v>0</v>
      </c>
      <c r="K57" s="863"/>
      <c r="L57" s="863">
        <v>0</v>
      </c>
      <c r="M57" s="863">
        <v>30989</v>
      </c>
      <c r="N57" s="863">
        <v>0</v>
      </c>
      <c r="O57" s="863">
        <f>AC57-P57</f>
        <v>32058</v>
      </c>
      <c r="P57" s="863">
        <f t="shared" si="1"/>
        <v>39836</v>
      </c>
      <c r="Q57" s="864">
        <f t="shared" si="2"/>
        <v>71894</v>
      </c>
      <c r="R57" s="1043"/>
      <c r="S57" s="861" t="s">
        <v>780</v>
      </c>
      <c r="T57" s="862" t="s">
        <v>826</v>
      </c>
      <c r="U57" s="866">
        <f>18295+543+7000</f>
        <v>25838</v>
      </c>
      <c r="V57" s="866">
        <f>4906+63+2195</f>
        <v>7164</v>
      </c>
      <c r="W57" s="863">
        <f>13923+18422</f>
        <v>32345</v>
      </c>
      <c r="X57" s="863">
        <v>0</v>
      </c>
      <c r="Y57" s="863">
        <v>0</v>
      </c>
      <c r="Z57" s="863">
        <f>65+215+1539+61+1343+149</f>
        <v>3372</v>
      </c>
      <c r="AA57" s="863">
        <v>3175</v>
      </c>
      <c r="AB57" s="863">
        <v>0</v>
      </c>
      <c r="AC57" s="864">
        <f t="shared" si="3"/>
        <v>71894</v>
      </c>
      <c r="AE57" s="865"/>
    </row>
    <row r="58" spans="1:31" ht="12.75" customHeight="1">
      <c r="A58" s="1041"/>
      <c r="B58" s="861" t="s">
        <v>780</v>
      </c>
      <c r="C58" s="862" t="s">
        <v>831</v>
      </c>
      <c r="D58" s="863">
        <v>666</v>
      </c>
      <c r="E58" s="863">
        <v>0</v>
      </c>
      <c r="F58" s="863">
        <v>26494</v>
      </c>
      <c r="G58" s="863">
        <v>0</v>
      </c>
      <c r="H58" s="863">
        <v>0</v>
      </c>
      <c r="I58" s="863">
        <v>0</v>
      </c>
      <c r="J58" s="863">
        <v>0</v>
      </c>
      <c r="K58" s="863"/>
      <c r="L58" s="863">
        <v>0</v>
      </c>
      <c r="M58" s="863">
        <v>30989</v>
      </c>
      <c r="N58" s="863">
        <v>0</v>
      </c>
      <c r="O58" s="863">
        <f>AC58-P58</f>
        <v>8906</v>
      </c>
      <c r="P58" s="863">
        <f>SUM(D58:N58)</f>
        <v>58149</v>
      </c>
      <c r="Q58" s="864">
        <f>O58+P58</f>
        <v>67055</v>
      </c>
      <c r="R58" s="1044"/>
      <c r="S58" s="861" t="s">
        <v>780</v>
      </c>
      <c r="T58" s="862" t="s">
        <v>827</v>
      </c>
      <c r="U58" s="866">
        <v>24030</v>
      </c>
      <c r="V58" s="866">
        <v>6674</v>
      </c>
      <c r="W58" s="863">
        <v>28223</v>
      </c>
      <c r="X58" s="863">
        <v>0</v>
      </c>
      <c r="Y58" s="863">
        <v>67</v>
      </c>
      <c r="Z58" s="863">
        <f>65+215+1539+61+1343+149</f>
        <v>3372</v>
      </c>
      <c r="AA58" s="863">
        <v>4689</v>
      </c>
      <c r="AB58" s="863">
        <v>0</v>
      </c>
      <c r="AC58" s="864">
        <f>SUM(U58:AB58)-X58</f>
        <v>67055</v>
      </c>
      <c r="AE58" s="865"/>
    </row>
    <row r="59" spans="1:31" s="870" customFormat="1" ht="12.75" customHeight="1">
      <c r="A59" s="1033" t="s">
        <v>733</v>
      </c>
      <c r="B59" s="923"/>
      <c r="C59" s="867" t="s">
        <v>163</v>
      </c>
      <c r="D59" s="868">
        <f>D38+D47+D50+D53+D56</f>
        <v>11692</v>
      </c>
      <c r="E59" s="868">
        <f aca="true" t="shared" si="6" ref="E59:AB61">E38+E47+E50+E53+E56</f>
        <v>51613</v>
      </c>
      <c r="F59" s="868">
        <f t="shared" si="6"/>
        <v>24016</v>
      </c>
      <c r="G59" s="868">
        <f t="shared" si="6"/>
        <v>0</v>
      </c>
      <c r="H59" s="868">
        <f t="shared" si="6"/>
        <v>0</v>
      </c>
      <c r="I59" s="868">
        <f t="shared" si="6"/>
        <v>0</v>
      </c>
      <c r="J59" s="868">
        <f t="shared" si="6"/>
        <v>0</v>
      </c>
      <c r="K59" s="868"/>
      <c r="L59" s="868">
        <f t="shared" si="6"/>
        <v>0</v>
      </c>
      <c r="M59" s="868">
        <f t="shared" si="6"/>
        <v>0</v>
      </c>
      <c r="N59" s="868">
        <f t="shared" si="6"/>
        <v>0</v>
      </c>
      <c r="O59" s="868">
        <f t="shared" si="0"/>
        <v>281262</v>
      </c>
      <c r="P59" s="868">
        <f t="shared" si="1"/>
        <v>87321</v>
      </c>
      <c r="Q59" s="869">
        <f t="shared" si="2"/>
        <v>368583</v>
      </c>
      <c r="R59" s="1037" t="s">
        <v>733</v>
      </c>
      <c r="S59" s="923"/>
      <c r="T59" s="867" t="s">
        <v>163</v>
      </c>
      <c r="U59" s="872">
        <f t="shared" si="6"/>
        <v>18295</v>
      </c>
      <c r="V59" s="872">
        <f t="shared" si="6"/>
        <v>4906</v>
      </c>
      <c r="W59" s="868">
        <f t="shared" si="6"/>
        <v>311976</v>
      </c>
      <c r="X59" s="868">
        <f t="shared" si="6"/>
        <v>149135</v>
      </c>
      <c r="Y59" s="868">
        <f t="shared" si="6"/>
        <v>0</v>
      </c>
      <c r="Z59" s="868">
        <f t="shared" si="6"/>
        <v>0</v>
      </c>
      <c r="AA59" s="868">
        <f t="shared" si="6"/>
        <v>3175</v>
      </c>
      <c r="AB59" s="868">
        <f t="shared" si="6"/>
        <v>30231</v>
      </c>
      <c r="AC59" s="869">
        <f t="shared" si="3"/>
        <v>368583</v>
      </c>
      <c r="AE59" s="871"/>
    </row>
    <row r="60" spans="1:31" s="870" customFormat="1" ht="12.75" customHeight="1">
      <c r="A60" s="1033"/>
      <c r="B60" s="923"/>
      <c r="C60" s="867" t="s">
        <v>826</v>
      </c>
      <c r="D60" s="868">
        <f>D39+D48+D51+D54+D57</f>
        <v>11692</v>
      </c>
      <c r="E60" s="868">
        <f t="shared" si="6"/>
        <v>51613</v>
      </c>
      <c r="F60" s="868">
        <f t="shared" si="6"/>
        <v>24016</v>
      </c>
      <c r="G60" s="868">
        <f t="shared" si="6"/>
        <v>0</v>
      </c>
      <c r="H60" s="868">
        <f t="shared" si="6"/>
        <v>0</v>
      </c>
      <c r="I60" s="868">
        <f t="shared" si="6"/>
        <v>0</v>
      </c>
      <c r="J60" s="868">
        <f t="shared" si="6"/>
        <v>0</v>
      </c>
      <c r="K60" s="868">
        <f t="shared" si="6"/>
        <v>0</v>
      </c>
      <c r="L60" s="868">
        <f t="shared" si="6"/>
        <v>0</v>
      </c>
      <c r="M60" s="868">
        <f t="shared" si="6"/>
        <v>30989</v>
      </c>
      <c r="N60" s="868">
        <f t="shared" si="6"/>
        <v>0</v>
      </c>
      <c r="O60" s="868">
        <f t="shared" si="0"/>
        <v>281868</v>
      </c>
      <c r="P60" s="868">
        <f t="shared" si="1"/>
        <v>118310</v>
      </c>
      <c r="Q60" s="869">
        <f t="shared" si="2"/>
        <v>400178</v>
      </c>
      <c r="R60" s="1046"/>
      <c r="S60" s="923"/>
      <c r="T60" s="867" t="s">
        <v>826</v>
      </c>
      <c r="U60" s="872">
        <f t="shared" si="6"/>
        <v>25838</v>
      </c>
      <c r="V60" s="872">
        <f t="shared" si="6"/>
        <v>7164</v>
      </c>
      <c r="W60" s="868">
        <f t="shared" si="6"/>
        <v>330398</v>
      </c>
      <c r="X60" s="868">
        <f t="shared" si="6"/>
        <v>149135</v>
      </c>
      <c r="Y60" s="868">
        <f t="shared" si="6"/>
        <v>0</v>
      </c>
      <c r="Z60" s="868">
        <f t="shared" si="6"/>
        <v>3372</v>
      </c>
      <c r="AA60" s="868">
        <f t="shared" si="6"/>
        <v>3175</v>
      </c>
      <c r="AB60" s="868">
        <f t="shared" si="6"/>
        <v>30231</v>
      </c>
      <c r="AC60" s="869">
        <f t="shared" si="3"/>
        <v>400178</v>
      </c>
      <c r="AE60" s="871"/>
    </row>
    <row r="61" spans="1:31" s="870" customFormat="1" ht="12.75" customHeight="1">
      <c r="A61" s="1033"/>
      <c r="B61" s="923"/>
      <c r="C61" s="867" t="s">
        <v>831</v>
      </c>
      <c r="D61" s="868">
        <f>D40+D49+D52+D55+D58</f>
        <v>11692</v>
      </c>
      <c r="E61" s="868">
        <f t="shared" si="6"/>
        <v>51613</v>
      </c>
      <c r="F61" s="868">
        <f t="shared" si="6"/>
        <v>42329</v>
      </c>
      <c r="G61" s="868">
        <f t="shared" si="6"/>
        <v>0</v>
      </c>
      <c r="H61" s="868">
        <f t="shared" si="6"/>
        <v>0</v>
      </c>
      <c r="I61" s="868">
        <f t="shared" si="6"/>
        <v>0</v>
      </c>
      <c r="J61" s="868">
        <f t="shared" si="6"/>
        <v>0</v>
      </c>
      <c r="K61" s="868">
        <f t="shared" si="6"/>
        <v>0</v>
      </c>
      <c r="L61" s="868">
        <f t="shared" si="6"/>
        <v>0</v>
      </c>
      <c r="M61" s="868">
        <f t="shared" si="6"/>
        <v>30989</v>
      </c>
      <c r="N61" s="868">
        <f t="shared" si="6"/>
        <v>0</v>
      </c>
      <c r="O61" s="868">
        <f>AC61-P61</f>
        <v>267501</v>
      </c>
      <c r="P61" s="868">
        <f>SUM(D61:N61)</f>
        <v>136623</v>
      </c>
      <c r="Q61" s="869">
        <f>O61+P61</f>
        <v>404124</v>
      </c>
      <c r="R61" s="1038"/>
      <c r="S61" s="923"/>
      <c r="T61" s="867" t="s">
        <v>827</v>
      </c>
      <c r="U61" s="872">
        <f t="shared" si="6"/>
        <v>24030</v>
      </c>
      <c r="V61" s="872">
        <f t="shared" si="6"/>
        <v>6674</v>
      </c>
      <c r="W61" s="868">
        <f t="shared" si="6"/>
        <v>326486</v>
      </c>
      <c r="X61" s="868">
        <f t="shared" si="6"/>
        <v>149135</v>
      </c>
      <c r="Y61" s="868">
        <f t="shared" si="6"/>
        <v>67</v>
      </c>
      <c r="Z61" s="868">
        <f t="shared" si="6"/>
        <v>3372</v>
      </c>
      <c r="AA61" s="868">
        <f t="shared" si="6"/>
        <v>4764</v>
      </c>
      <c r="AB61" s="868">
        <f t="shared" si="6"/>
        <v>38731</v>
      </c>
      <c r="AC61" s="869">
        <f>SUM(U61:AB61)-X61</f>
        <v>404124</v>
      </c>
      <c r="AE61" s="871"/>
    </row>
    <row r="62" spans="1:31" ht="12.75" customHeight="1">
      <c r="A62" s="1041" t="str">
        <f>'[10]Eredeti Ft'!A25</f>
        <v>Könyvtár</v>
      </c>
      <c r="B62" s="861" t="s">
        <v>593</v>
      </c>
      <c r="C62" s="862" t="str">
        <f>'[10]Eredeti Ft'!B25</f>
        <v>Eredeti</v>
      </c>
      <c r="D62" s="863">
        <f>'[10]Eredeti EzerFt'!D25-'[10]Eredeti EzerFt'!E25</f>
        <v>1230</v>
      </c>
      <c r="E62" s="863">
        <f>ROUND('[10]Eredeti Ft'!D25,-3)/1000</f>
        <v>0</v>
      </c>
      <c r="F62" s="863">
        <f>ROUND('[10]Eredeti Ft'!E25,-3)/1000</f>
        <v>332</v>
      </c>
      <c r="G62" s="863">
        <f>ROUND('[10]Eredeti Ft'!F25,-3)/1000</f>
        <v>0</v>
      </c>
      <c r="H62" s="863">
        <f>'[10]Eredeti EzerFt'!I25</f>
        <v>11868</v>
      </c>
      <c r="I62" s="863">
        <f>'[10]Eredeti EzerFt'!H25</f>
        <v>0</v>
      </c>
      <c r="J62" s="863">
        <f>'[10]Eredeti EzerFt'!J25</f>
        <v>0</v>
      </c>
      <c r="K62" s="863"/>
      <c r="L62" s="863">
        <f>ROUND('[10]Eredeti Ft'!J25,-3)/1000</f>
        <v>0</v>
      </c>
      <c r="M62" s="863">
        <f>ROUND('[10]Eredeti Ft'!K25,-3)/1000</f>
        <v>0</v>
      </c>
      <c r="N62" s="863">
        <f>ROUND('[10]Eredeti Ft'!L25,-3)/1000</f>
        <v>0</v>
      </c>
      <c r="O62" s="863">
        <f t="shared" si="0"/>
        <v>39982</v>
      </c>
      <c r="P62" s="863">
        <f t="shared" si="1"/>
        <v>13430</v>
      </c>
      <c r="Q62" s="864">
        <f t="shared" si="2"/>
        <v>53412</v>
      </c>
      <c r="R62" s="1042" t="s">
        <v>734</v>
      </c>
      <c r="S62" s="861" t="s">
        <v>593</v>
      </c>
      <c r="T62" s="862" t="s">
        <v>163</v>
      </c>
      <c r="U62" s="866">
        <f>ROUND('[10]Eredeti Ft'!N25,-3)/1000</f>
        <v>21427</v>
      </c>
      <c r="V62" s="866">
        <f>ROUND('[10]Eredeti Ft'!O25,-3)/1000</f>
        <v>5688</v>
      </c>
      <c r="W62" s="863">
        <f>ROUND('[10]Eredeti Ft'!P25,-3)/1000</f>
        <v>26297</v>
      </c>
      <c r="X62" s="863">
        <f>ROUND('[10]Eredeti Ft'!Q25,-3)/1000</f>
        <v>0</v>
      </c>
      <c r="Y62" s="863">
        <f>ROUND('[10]Eredeti Ft'!R25,-3)/1000</f>
        <v>0</v>
      </c>
      <c r="Z62" s="863">
        <f>ROUND('[10]Eredeti Ft'!S25,-3)/1000</f>
        <v>0</v>
      </c>
      <c r="AA62" s="863">
        <f>ROUND('[10]Eredeti Ft'!T25,-3)/1000</f>
        <v>0</v>
      </c>
      <c r="AB62" s="863">
        <f>ROUND('[10]Eredeti Ft'!U25,-3)/1000</f>
        <v>0</v>
      </c>
      <c r="AC62" s="864">
        <f t="shared" si="3"/>
        <v>53412</v>
      </c>
      <c r="AE62" s="865">
        <f>SUM(U62:AB62)-X62</f>
        <v>53412</v>
      </c>
    </row>
    <row r="63" spans="1:31" ht="12.75" customHeight="1">
      <c r="A63" s="1041"/>
      <c r="B63" s="861" t="s">
        <v>593</v>
      </c>
      <c r="C63" s="862" t="s">
        <v>826</v>
      </c>
      <c r="D63" s="863">
        <v>1230</v>
      </c>
      <c r="E63" s="863">
        <v>0</v>
      </c>
      <c r="F63" s="863">
        <v>332</v>
      </c>
      <c r="G63" s="863">
        <v>0</v>
      </c>
      <c r="H63" s="863">
        <v>11868</v>
      </c>
      <c r="I63" s="863">
        <v>0</v>
      </c>
      <c r="J63" s="863">
        <v>0</v>
      </c>
      <c r="K63" s="863">
        <f>264+901</f>
        <v>1165</v>
      </c>
      <c r="L63" s="863">
        <v>0</v>
      </c>
      <c r="M63" s="863">
        <v>873</v>
      </c>
      <c r="N63" s="863">
        <v>0</v>
      </c>
      <c r="O63" s="863">
        <f t="shared" si="0"/>
        <v>40496</v>
      </c>
      <c r="P63" s="863">
        <f t="shared" si="1"/>
        <v>15468</v>
      </c>
      <c r="Q63" s="864">
        <f t="shared" si="2"/>
        <v>55964</v>
      </c>
      <c r="R63" s="1043"/>
      <c r="S63" s="861" t="s">
        <v>593</v>
      </c>
      <c r="T63" s="862" t="s">
        <v>826</v>
      </c>
      <c r="U63" s="866">
        <f>21427+326+643</f>
        <v>22396</v>
      </c>
      <c r="V63" s="866">
        <f>5688+88+247</f>
        <v>6023</v>
      </c>
      <c r="W63" s="863">
        <f>26297+100+1148</f>
        <v>27545</v>
      </c>
      <c r="X63" s="863">
        <v>0</v>
      </c>
      <c r="Y63" s="863">
        <v>0</v>
      </c>
      <c r="Z63" s="863">
        <v>0</v>
      </c>
      <c r="AA63" s="863">
        <v>0</v>
      </c>
      <c r="AB63" s="863">
        <v>0</v>
      </c>
      <c r="AC63" s="864">
        <f t="shared" si="3"/>
        <v>55964</v>
      </c>
      <c r="AE63" s="865"/>
    </row>
    <row r="64" spans="1:31" ht="12.75" customHeight="1">
      <c r="A64" s="1041"/>
      <c r="B64" s="861" t="s">
        <v>593</v>
      </c>
      <c r="C64" s="862" t="s">
        <v>831</v>
      </c>
      <c r="D64" s="863">
        <v>1230</v>
      </c>
      <c r="E64" s="863">
        <v>0</v>
      </c>
      <c r="F64" s="863">
        <v>332</v>
      </c>
      <c r="G64" s="863">
        <v>160</v>
      </c>
      <c r="H64" s="863">
        <v>11868</v>
      </c>
      <c r="I64" s="863">
        <v>0</v>
      </c>
      <c r="J64" s="863">
        <v>0</v>
      </c>
      <c r="K64" s="863">
        <f>264+901</f>
        <v>1165</v>
      </c>
      <c r="L64" s="863">
        <v>0</v>
      </c>
      <c r="M64" s="863">
        <v>873</v>
      </c>
      <c r="N64" s="863">
        <v>0</v>
      </c>
      <c r="O64" s="863">
        <f>AC64-P64</f>
        <v>42685</v>
      </c>
      <c r="P64" s="863">
        <f>SUM(D64:N64)</f>
        <v>15628</v>
      </c>
      <c r="Q64" s="864">
        <f>O64+P64</f>
        <v>58313</v>
      </c>
      <c r="R64" s="1044"/>
      <c r="S64" s="861" t="s">
        <v>593</v>
      </c>
      <c r="T64" s="862" t="s">
        <v>827</v>
      </c>
      <c r="U64" s="866">
        <v>23250</v>
      </c>
      <c r="V64" s="866">
        <v>6223</v>
      </c>
      <c r="W64" s="863">
        <v>28190</v>
      </c>
      <c r="X64" s="863">
        <v>0</v>
      </c>
      <c r="Y64" s="863">
        <v>0</v>
      </c>
      <c r="Z64" s="863">
        <v>0</v>
      </c>
      <c r="AA64" s="863">
        <v>650</v>
      </c>
      <c r="AB64" s="863">
        <v>0</v>
      </c>
      <c r="AC64" s="864">
        <f>SUM(U64:AB64)-X64</f>
        <v>58313</v>
      </c>
      <c r="AE64" s="865"/>
    </row>
    <row r="65" spans="1:31" ht="12.75" customHeight="1">
      <c r="A65" s="1041" t="str">
        <f>'[10]Eredeti Ft'!A26</f>
        <v>Egészségügyi Alapellátó Intézmény</v>
      </c>
      <c r="B65" s="861" t="s">
        <v>593</v>
      </c>
      <c r="C65" s="862" t="str">
        <f>'[10]Eredeti Ft'!B26</f>
        <v>Eredeti</v>
      </c>
      <c r="D65" s="863">
        <f>'[10]Eredeti EzerFt'!D26-'[10]Eredeti EzerFt'!E26</f>
        <v>0</v>
      </c>
      <c r="E65" s="863">
        <f>ROUND('[10]Eredeti Ft'!D26,-3)/1000</f>
        <v>0</v>
      </c>
      <c r="F65" s="863">
        <f>ROUND('[10]Eredeti Ft'!E26,-3)/1000</f>
        <v>0</v>
      </c>
      <c r="G65" s="863">
        <f>ROUND('[10]Eredeti Ft'!F26,-3)/1000</f>
        <v>0</v>
      </c>
      <c r="H65" s="863">
        <f>'[10]Eredeti EzerFt'!I26</f>
        <v>99560</v>
      </c>
      <c r="I65" s="863">
        <f>'[10]Eredeti EzerFt'!H26</f>
        <v>0</v>
      </c>
      <c r="J65" s="863">
        <f>'[10]Eredeti EzerFt'!J26</f>
        <v>0</v>
      </c>
      <c r="K65" s="863"/>
      <c r="L65" s="863">
        <f>ROUND('[10]Eredeti Ft'!J26,-3)/1000</f>
        <v>0</v>
      </c>
      <c r="M65" s="863">
        <f>ROUND('[10]Eredeti Ft'!K26,-3)/1000</f>
        <v>0</v>
      </c>
      <c r="N65" s="863">
        <f>ROUND('[10]Eredeti Ft'!L26,-3)/1000</f>
        <v>0</v>
      </c>
      <c r="O65" s="863">
        <f t="shared" si="0"/>
        <v>10916</v>
      </c>
      <c r="P65" s="863">
        <f t="shared" si="1"/>
        <v>99560</v>
      </c>
      <c r="Q65" s="864">
        <f t="shared" si="2"/>
        <v>110476</v>
      </c>
      <c r="R65" s="1042" t="s">
        <v>832</v>
      </c>
      <c r="S65" s="861" t="s">
        <v>593</v>
      </c>
      <c r="T65" s="862" t="s">
        <v>163</v>
      </c>
      <c r="U65" s="866">
        <f>ROUND('[10]Eredeti Ft'!N26,-3)/1000</f>
        <v>58644</v>
      </c>
      <c r="V65" s="866">
        <f>ROUND('[10]Eredeti Ft'!O26,-3)/1000</f>
        <v>15805</v>
      </c>
      <c r="W65" s="863">
        <f>ROUND('[10]Eredeti Ft'!P26,-3)/1000</f>
        <v>36027</v>
      </c>
      <c r="X65" s="863">
        <f>ROUND('[10]Eredeti Ft'!Q26,-3)/1000</f>
        <v>0</v>
      </c>
      <c r="Y65" s="863">
        <f>ROUND('[10]Eredeti Ft'!R26,-3)/1000</f>
        <v>0</v>
      </c>
      <c r="Z65" s="863">
        <f>ROUND('[10]Eredeti Ft'!S26,-3)/1000</f>
        <v>0</v>
      </c>
      <c r="AA65" s="863">
        <f>ROUND('[10]Eredeti Ft'!T26,-3)/1000</f>
        <v>0</v>
      </c>
      <c r="AB65" s="863">
        <f>ROUND('[10]Eredeti Ft'!U26,-3)/1000</f>
        <v>0</v>
      </c>
      <c r="AC65" s="864">
        <f t="shared" si="3"/>
        <v>110476</v>
      </c>
      <c r="AE65" s="865">
        <f>SUM(U65:AB65)-X65</f>
        <v>110476</v>
      </c>
    </row>
    <row r="66" spans="1:31" ht="12.75" customHeight="1">
      <c r="A66" s="1041"/>
      <c r="B66" s="861" t="s">
        <v>593</v>
      </c>
      <c r="C66" s="862" t="s">
        <v>826</v>
      </c>
      <c r="D66" s="863">
        <v>0</v>
      </c>
      <c r="E66" s="863">
        <v>0</v>
      </c>
      <c r="F66" s="863">
        <v>0</v>
      </c>
      <c r="G66" s="863">
        <v>0</v>
      </c>
      <c r="H66" s="863">
        <v>99560</v>
      </c>
      <c r="I66" s="863">
        <v>0</v>
      </c>
      <c r="J66" s="863">
        <v>0</v>
      </c>
      <c r="K66" s="863"/>
      <c r="L66" s="863">
        <v>0</v>
      </c>
      <c r="M66" s="863">
        <v>9087</v>
      </c>
      <c r="N66" s="863">
        <v>0</v>
      </c>
      <c r="O66" s="863">
        <f t="shared" si="0"/>
        <v>11243</v>
      </c>
      <c r="P66" s="863">
        <f t="shared" si="1"/>
        <v>108647</v>
      </c>
      <c r="Q66" s="864">
        <f t="shared" si="2"/>
        <v>119890</v>
      </c>
      <c r="R66" s="1043"/>
      <c r="S66" s="861" t="s">
        <v>593</v>
      </c>
      <c r="T66" s="862" t="s">
        <v>826</v>
      </c>
      <c r="U66" s="866">
        <f>58644+257+2000</f>
        <v>60901</v>
      </c>
      <c r="V66" s="866">
        <f>15805+70+540</f>
        <v>16415</v>
      </c>
      <c r="W66" s="866">
        <f>36027+6547</f>
        <v>42574</v>
      </c>
      <c r="X66" s="863">
        <v>0</v>
      </c>
      <c r="Y66" s="863">
        <v>0</v>
      </c>
      <c r="Z66" s="863">
        <v>0</v>
      </c>
      <c r="AA66" s="863">
        <v>0</v>
      </c>
      <c r="AB66" s="863">
        <v>0</v>
      </c>
      <c r="AC66" s="864">
        <f t="shared" si="3"/>
        <v>119890</v>
      </c>
      <c r="AE66" s="865"/>
    </row>
    <row r="67" spans="1:31" ht="12.75" customHeight="1">
      <c r="A67" s="1041"/>
      <c r="B67" s="861" t="s">
        <v>593</v>
      </c>
      <c r="C67" s="862" t="s">
        <v>831</v>
      </c>
      <c r="D67" s="863">
        <v>0</v>
      </c>
      <c r="E67" s="863">
        <v>0</v>
      </c>
      <c r="F67" s="863">
        <v>0</v>
      </c>
      <c r="G67" s="863">
        <v>0</v>
      </c>
      <c r="H67" s="863">
        <v>103542</v>
      </c>
      <c r="I67" s="863">
        <v>0</v>
      </c>
      <c r="J67" s="863">
        <v>0</v>
      </c>
      <c r="K67" s="863"/>
      <c r="L67" s="863">
        <v>0</v>
      </c>
      <c r="M67" s="863">
        <v>9087</v>
      </c>
      <c r="N67" s="863">
        <v>0</v>
      </c>
      <c r="O67" s="863">
        <f>AC67-P67</f>
        <v>11586</v>
      </c>
      <c r="P67" s="863">
        <f>SUM(D67:N67)</f>
        <v>112629</v>
      </c>
      <c r="Q67" s="864">
        <f>O67+P67</f>
        <v>124215</v>
      </c>
      <c r="R67" s="1044"/>
      <c r="S67" s="861" t="s">
        <v>593</v>
      </c>
      <c r="T67" s="862" t="s">
        <v>827</v>
      </c>
      <c r="U67" s="866">
        <v>64306</v>
      </c>
      <c r="V67" s="866">
        <v>17335</v>
      </c>
      <c r="W67" s="866">
        <v>42366</v>
      </c>
      <c r="X67" s="863">
        <v>0</v>
      </c>
      <c r="Y67" s="863">
        <v>0</v>
      </c>
      <c r="Z67" s="863">
        <v>0</v>
      </c>
      <c r="AA67" s="863">
        <v>208</v>
      </c>
      <c r="AB67" s="863">
        <v>0</v>
      </c>
      <c r="AC67" s="864">
        <f>SUM(U67:AB67)-X67</f>
        <v>124215</v>
      </c>
      <c r="AE67" s="865"/>
    </row>
    <row r="68" spans="1:31" s="870" customFormat="1" ht="12.75" customHeight="1">
      <c r="A68" s="1033" t="str">
        <f>'[10]Eredeti Ft'!A27</f>
        <v>Kvi. alcímek és szakf. Összesen:</v>
      </c>
      <c r="B68" s="1034" t="s">
        <v>172</v>
      </c>
      <c r="C68" s="867" t="str">
        <f>'[10]Eredeti Ft'!B27</f>
        <v>Eredeti</v>
      </c>
      <c r="D68" s="868">
        <f aca="true" t="shared" si="7" ref="D68:J70">D5+D8+D11+D14+D17+D20+D23+D26+D59+D62+D65</f>
        <v>42953</v>
      </c>
      <c r="E68" s="868">
        <f t="shared" si="7"/>
        <v>82011</v>
      </c>
      <c r="F68" s="868">
        <f>F5+F8+F11+F14+F17+F20+F23+F26+F59+F62+F65</f>
        <v>39853</v>
      </c>
      <c r="G68" s="868">
        <f t="shared" si="7"/>
        <v>0</v>
      </c>
      <c r="H68" s="868">
        <f t="shared" si="7"/>
        <v>111933</v>
      </c>
      <c r="I68" s="868">
        <f t="shared" si="7"/>
        <v>0</v>
      </c>
      <c r="J68" s="868">
        <f t="shared" si="7"/>
        <v>900</v>
      </c>
      <c r="K68" s="868"/>
      <c r="L68" s="868">
        <f aca="true" t="shared" si="8" ref="L68:N70">L5+L8+L11+L14+L17+L20+L23+L26+L59+L62+L65</f>
        <v>0</v>
      </c>
      <c r="M68" s="868">
        <f t="shared" si="8"/>
        <v>0</v>
      </c>
      <c r="N68" s="868">
        <f t="shared" si="8"/>
        <v>0</v>
      </c>
      <c r="O68" s="868">
        <f t="shared" si="0"/>
        <v>789701</v>
      </c>
      <c r="P68" s="868">
        <f t="shared" si="1"/>
        <v>277650</v>
      </c>
      <c r="Q68" s="869">
        <f t="shared" si="2"/>
        <v>1067351</v>
      </c>
      <c r="R68" s="1037" t="s">
        <v>833</v>
      </c>
      <c r="S68" s="1034" t="s">
        <v>172</v>
      </c>
      <c r="T68" s="867" t="s">
        <v>163</v>
      </c>
      <c r="U68" s="868">
        <f aca="true" t="shared" si="9" ref="U68:AB70">U5+U8+U11+U14+U17+U20+U23+U26+U59+U62+U65</f>
        <v>413886</v>
      </c>
      <c r="V68" s="868">
        <f t="shared" si="9"/>
        <v>110056</v>
      </c>
      <c r="W68" s="868">
        <f t="shared" si="9"/>
        <v>505133</v>
      </c>
      <c r="X68" s="868">
        <f t="shared" si="9"/>
        <v>189996</v>
      </c>
      <c r="Y68" s="868">
        <f t="shared" si="9"/>
        <v>0</v>
      </c>
      <c r="Z68" s="868">
        <f t="shared" si="9"/>
        <v>0</v>
      </c>
      <c r="AA68" s="868">
        <f t="shared" si="9"/>
        <v>6795</v>
      </c>
      <c r="AB68" s="868">
        <f t="shared" si="9"/>
        <v>31481</v>
      </c>
      <c r="AC68" s="869">
        <f t="shared" si="3"/>
        <v>1067351</v>
      </c>
      <c r="AE68" s="871">
        <f>SUM(U68:AB68)-X68</f>
        <v>1067351</v>
      </c>
    </row>
    <row r="69" spans="1:29" s="870" customFormat="1" ht="12.75" customHeight="1">
      <c r="A69" s="1033"/>
      <c r="B69" s="1035"/>
      <c r="C69" s="867" t="s">
        <v>826</v>
      </c>
      <c r="D69" s="868">
        <f t="shared" si="7"/>
        <v>43553</v>
      </c>
      <c r="E69" s="868">
        <f t="shared" si="7"/>
        <v>82011</v>
      </c>
      <c r="F69" s="868">
        <f t="shared" si="7"/>
        <v>39853</v>
      </c>
      <c r="G69" s="868">
        <f t="shared" si="7"/>
        <v>0</v>
      </c>
      <c r="H69" s="868">
        <f t="shared" si="7"/>
        <v>111933</v>
      </c>
      <c r="I69" s="868">
        <f t="shared" si="7"/>
        <v>0</v>
      </c>
      <c r="J69" s="868">
        <f t="shared" si="7"/>
        <v>900</v>
      </c>
      <c r="K69" s="868">
        <f>K6+K9+K12+K15+K18+K21+K24+K27+K60+K63+K66</f>
        <v>4388</v>
      </c>
      <c r="L69" s="868">
        <f t="shared" si="8"/>
        <v>0</v>
      </c>
      <c r="M69" s="868">
        <f t="shared" si="8"/>
        <v>44513</v>
      </c>
      <c r="N69" s="868">
        <f t="shared" si="8"/>
        <v>0</v>
      </c>
      <c r="O69" s="868">
        <f>AC69-P69</f>
        <v>795509</v>
      </c>
      <c r="P69" s="868">
        <f>SUM(D69:N69)</f>
        <v>327151</v>
      </c>
      <c r="Q69" s="869">
        <f t="shared" si="2"/>
        <v>1122660</v>
      </c>
      <c r="R69" s="1046"/>
      <c r="S69" s="1035"/>
      <c r="T69" s="867" t="s">
        <v>826</v>
      </c>
      <c r="U69" s="868">
        <f t="shared" si="9"/>
        <v>429908</v>
      </c>
      <c r="V69" s="868">
        <f t="shared" si="9"/>
        <v>114677</v>
      </c>
      <c r="W69" s="868">
        <f t="shared" si="9"/>
        <v>535411</v>
      </c>
      <c r="X69" s="868">
        <f t="shared" si="9"/>
        <v>189996</v>
      </c>
      <c r="Y69" s="868">
        <f t="shared" si="9"/>
        <v>0</v>
      </c>
      <c r="Z69" s="868">
        <f t="shared" si="9"/>
        <v>4388</v>
      </c>
      <c r="AA69" s="868">
        <f t="shared" si="9"/>
        <v>6795</v>
      </c>
      <c r="AB69" s="868">
        <f t="shared" si="9"/>
        <v>31481</v>
      </c>
      <c r="AC69" s="869">
        <f t="shared" si="3"/>
        <v>1122660</v>
      </c>
    </row>
    <row r="70" spans="1:29" s="870" customFormat="1" ht="12.75" customHeight="1">
      <c r="A70" s="1033"/>
      <c r="B70" s="1045"/>
      <c r="C70" s="867" t="s">
        <v>831</v>
      </c>
      <c r="D70" s="868">
        <f t="shared" si="7"/>
        <v>55920</v>
      </c>
      <c r="E70" s="868">
        <f t="shared" si="7"/>
        <v>82011</v>
      </c>
      <c r="F70" s="868">
        <f t="shared" si="7"/>
        <v>72201</v>
      </c>
      <c r="G70" s="868">
        <f t="shared" si="7"/>
        <v>312</v>
      </c>
      <c r="H70" s="868">
        <f t="shared" si="7"/>
        <v>115915</v>
      </c>
      <c r="I70" s="868">
        <f t="shared" si="7"/>
        <v>0</v>
      </c>
      <c r="J70" s="868">
        <f t="shared" si="7"/>
        <v>900</v>
      </c>
      <c r="K70" s="868">
        <f>K7+K10+K13+K16+K19+K22+K25+K28+K61+K64+K67</f>
        <v>4388</v>
      </c>
      <c r="L70" s="868">
        <f t="shared" si="8"/>
        <v>0</v>
      </c>
      <c r="M70" s="868">
        <f t="shared" si="8"/>
        <v>44513</v>
      </c>
      <c r="N70" s="868">
        <f t="shared" si="8"/>
        <v>0</v>
      </c>
      <c r="O70" s="868">
        <f>AC70-P70</f>
        <v>800675</v>
      </c>
      <c r="P70" s="868">
        <f>SUM(D70:N70)</f>
        <v>376160</v>
      </c>
      <c r="Q70" s="869">
        <f>O70+P70</f>
        <v>1176835</v>
      </c>
      <c r="R70" s="1038"/>
      <c r="S70" s="1045"/>
      <c r="T70" s="867" t="s">
        <v>827</v>
      </c>
      <c r="U70" s="868">
        <f t="shared" si="9"/>
        <v>440891</v>
      </c>
      <c r="V70" s="868">
        <f t="shared" si="9"/>
        <v>117587</v>
      </c>
      <c r="W70" s="868">
        <f t="shared" si="9"/>
        <v>553931</v>
      </c>
      <c r="X70" s="868">
        <f t="shared" si="9"/>
        <v>189996</v>
      </c>
      <c r="Y70" s="868">
        <f t="shared" si="9"/>
        <v>67</v>
      </c>
      <c r="Z70" s="868">
        <f t="shared" si="9"/>
        <v>4388</v>
      </c>
      <c r="AA70" s="868">
        <f t="shared" si="9"/>
        <v>19990</v>
      </c>
      <c r="AB70" s="868">
        <f t="shared" si="9"/>
        <v>39981</v>
      </c>
      <c r="AC70" s="869">
        <f>SUM(U70:AB70)-X70</f>
        <v>1176835</v>
      </c>
    </row>
    <row r="71" spans="1:29" ht="12.75" customHeight="1">
      <c r="A71" s="1033" t="s">
        <v>735</v>
      </c>
      <c r="B71" s="1034" t="s">
        <v>736</v>
      </c>
      <c r="C71" s="867" t="s">
        <v>163</v>
      </c>
      <c r="D71" s="868">
        <f>D68-D56</f>
        <v>42287</v>
      </c>
      <c r="E71" s="868">
        <f aca="true" t="shared" si="10" ref="E71:AB73">E68-E56</f>
        <v>82011</v>
      </c>
      <c r="F71" s="868">
        <f t="shared" si="10"/>
        <v>31672</v>
      </c>
      <c r="G71" s="868">
        <f t="shared" si="10"/>
        <v>0</v>
      </c>
      <c r="H71" s="868">
        <f t="shared" si="10"/>
        <v>111933</v>
      </c>
      <c r="I71" s="868">
        <f t="shared" si="10"/>
        <v>0</v>
      </c>
      <c r="J71" s="868">
        <f t="shared" si="10"/>
        <v>900</v>
      </c>
      <c r="K71" s="868">
        <f t="shared" si="10"/>
        <v>0</v>
      </c>
      <c r="L71" s="868">
        <f t="shared" si="10"/>
        <v>0</v>
      </c>
      <c r="M71" s="868">
        <f t="shared" si="10"/>
        <v>0</v>
      </c>
      <c r="N71" s="868">
        <f t="shared" si="10"/>
        <v>0</v>
      </c>
      <c r="O71" s="868">
        <f t="shared" si="0"/>
        <v>758249</v>
      </c>
      <c r="P71" s="868">
        <f t="shared" si="1"/>
        <v>268803</v>
      </c>
      <c r="Q71" s="869">
        <f t="shared" si="2"/>
        <v>1027052</v>
      </c>
      <c r="R71" s="1037" t="s">
        <v>735</v>
      </c>
      <c r="S71" s="1034" t="s">
        <v>736</v>
      </c>
      <c r="T71" s="867" t="s">
        <v>163</v>
      </c>
      <c r="U71" s="868">
        <f t="shared" si="10"/>
        <v>395591</v>
      </c>
      <c r="V71" s="868">
        <f t="shared" si="10"/>
        <v>105150</v>
      </c>
      <c r="W71" s="868">
        <f t="shared" si="10"/>
        <v>491210</v>
      </c>
      <c r="X71" s="868">
        <f t="shared" si="10"/>
        <v>189996</v>
      </c>
      <c r="Y71" s="868">
        <f t="shared" si="10"/>
        <v>0</v>
      </c>
      <c r="Z71" s="868">
        <f t="shared" si="10"/>
        <v>0</v>
      </c>
      <c r="AA71" s="868">
        <f t="shared" si="10"/>
        <v>3620</v>
      </c>
      <c r="AB71" s="868">
        <f t="shared" si="10"/>
        <v>31481</v>
      </c>
      <c r="AC71" s="869">
        <f t="shared" si="3"/>
        <v>1027052</v>
      </c>
    </row>
    <row r="72" spans="1:29" ht="12.75">
      <c r="A72" s="1033"/>
      <c r="B72" s="1035"/>
      <c r="C72" s="867" t="s">
        <v>826</v>
      </c>
      <c r="D72" s="868">
        <f>D69-D57</f>
        <v>42887</v>
      </c>
      <c r="E72" s="868">
        <f t="shared" si="10"/>
        <v>82011</v>
      </c>
      <c r="F72" s="868">
        <f t="shared" si="10"/>
        <v>31672</v>
      </c>
      <c r="G72" s="868">
        <f t="shared" si="10"/>
        <v>0</v>
      </c>
      <c r="H72" s="868">
        <f t="shared" si="10"/>
        <v>111933</v>
      </c>
      <c r="I72" s="868">
        <f t="shared" si="10"/>
        <v>0</v>
      </c>
      <c r="J72" s="868">
        <f t="shared" si="10"/>
        <v>900</v>
      </c>
      <c r="K72" s="872">
        <f t="shared" si="10"/>
        <v>4388</v>
      </c>
      <c r="L72" s="868">
        <f t="shared" si="10"/>
        <v>0</v>
      </c>
      <c r="M72" s="868">
        <f t="shared" si="10"/>
        <v>13524</v>
      </c>
      <c r="N72" s="868">
        <f t="shared" si="10"/>
        <v>0</v>
      </c>
      <c r="O72" s="868">
        <f t="shared" si="0"/>
        <v>763451</v>
      </c>
      <c r="P72" s="868">
        <f t="shared" si="1"/>
        <v>287315</v>
      </c>
      <c r="Q72" s="869">
        <f t="shared" si="2"/>
        <v>1050766</v>
      </c>
      <c r="R72" s="1046"/>
      <c r="S72" s="1035"/>
      <c r="T72" s="867" t="s">
        <v>826</v>
      </c>
      <c r="U72" s="868">
        <f t="shared" si="10"/>
        <v>404070</v>
      </c>
      <c r="V72" s="868">
        <f t="shared" si="10"/>
        <v>107513</v>
      </c>
      <c r="W72" s="868">
        <f t="shared" si="10"/>
        <v>503066</v>
      </c>
      <c r="X72" s="868">
        <f t="shared" si="10"/>
        <v>189996</v>
      </c>
      <c r="Y72" s="868">
        <f t="shared" si="10"/>
        <v>0</v>
      </c>
      <c r="Z72" s="868">
        <f t="shared" si="10"/>
        <v>1016</v>
      </c>
      <c r="AA72" s="868">
        <f t="shared" si="10"/>
        <v>3620</v>
      </c>
      <c r="AB72" s="868">
        <f t="shared" si="10"/>
        <v>31481</v>
      </c>
      <c r="AC72" s="869">
        <f t="shared" si="3"/>
        <v>1050766</v>
      </c>
    </row>
    <row r="73" spans="1:29" ht="12.75" customHeight="1">
      <c r="A73" s="1033"/>
      <c r="B73" s="1045"/>
      <c r="C73" s="867" t="s">
        <v>831</v>
      </c>
      <c r="D73" s="868">
        <f>D70-D58</f>
        <v>55254</v>
      </c>
      <c r="E73" s="868">
        <f t="shared" si="10"/>
        <v>82011</v>
      </c>
      <c r="F73" s="868">
        <f t="shared" si="10"/>
        <v>45707</v>
      </c>
      <c r="G73" s="868">
        <f t="shared" si="10"/>
        <v>312</v>
      </c>
      <c r="H73" s="868">
        <f t="shared" si="10"/>
        <v>115915</v>
      </c>
      <c r="I73" s="868">
        <f t="shared" si="10"/>
        <v>0</v>
      </c>
      <c r="J73" s="868">
        <f t="shared" si="10"/>
        <v>900</v>
      </c>
      <c r="K73" s="872">
        <f t="shared" si="10"/>
        <v>4388</v>
      </c>
      <c r="L73" s="868">
        <f t="shared" si="10"/>
        <v>0</v>
      </c>
      <c r="M73" s="868">
        <f t="shared" si="10"/>
        <v>13524</v>
      </c>
      <c r="N73" s="868">
        <f t="shared" si="10"/>
        <v>0</v>
      </c>
      <c r="O73" s="868">
        <f>AC73-P73</f>
        <v>791769</v>
      </c>
      <c r="P73" s="868">
        <f>SUM(D73:N73)</f>
        <v>318011</v>
      </c>
      <c r="Q73" s="869">
        <f>O73+P73</f>
        <v>1109780</v>
      </c>
      <c r="R73" s="1038"/>
      <c r="S73" s="1045"/>
      <c r="T73" s="867" t="s">
        <v>827</v>
      </c>
      <c r="U73" s="868">
        <f t="shared" si="10"/>
        <v>416861</v>
      </c>
      <c r="V73" s="868">
        <f t="shared" si="10"/>
        <v>110913</v>
      </c>
      <c r="W73" s="868">
        <f t="shared" si="10"/>
        <v>525708</v>
      </c>
      <c r="X73" s="868">
        <f t="shared" si="10"/>
        <v>189996</v>
      </c>
      <c r="Y73" s="868">
        <f t="shared" si="10"/>
        <v>0</v>
      </c>
      <c r="Z73" s="868">
        <f t="shared" si="10"/>
        <v>1016</v>
      </c>
      <c r="AA73" s="868">
        <f t="shared" si="10"/>
        <v>15301</v>
      </c>
      <c r="AB73" s="868">
        <f t="shared" si="10"/>
        <v>39981</v>
      </c>
      <c r="AC73" s="869">
        <f>SUM(U73:AB73)-X73</f>
        <v>1109780</v>
      </c>
    </row>
    <row r="74" spans="1:31" ht="12.75" customHeight="1">
      <c r="A74" s="1033" t="s">
        <v>737</v>
      </c>
      <c r="B74" s="1034" t="s">
        <v>781</v>
      </c>
      <c r="C74" s="867" t="s">
        <v>163</v>
      </c>
      <c r="D74" s="868">
        <f aca="true" t="shared" si="11" ref="D74:J74">D56</f>
        <v>666</v>
      </c>
      <c r="E74" s="868">
        <f t="shared" si="11"/>
        <v>0</v>
      </c>
      <c r="F74" s="868">
        <f t="shared" si="11"/>
        <v>8181</v>
      </c>
      <c r="G74" s="868">
        <f t="shared" si="11"/>
        <v>0</v>
      </c>
      <c r="H74" s="868">
        <f t="shared" si="11"/>
        <v>0</v>
      </c>
      <c r="I74" s="868">
        <f t="shared" si="11"/>
        <v>0</v>
      </c>
      <c r="J74" s="868">
        <f t="shared" si="11"/>
        <v>0</v>
      </c>
      <c r="K74" s="872"/>
      <c r="L74" s="868">
        <f>L56</f>
        <v>0</v>
      </c>
      <c r="M74" s="868">
        <f>M56</f>
        <v>0</v>
      </c>
      <c r="N74" s="868">
        <f>N56</f>
        <v>0</v>
      </c>
      <c r="O74" s="868">
        <f t="shared" si="0"/>
        <v>31452</v>
      </c>
      <c r="P74" s="868">
        <f>SUM(D74:N74)</f>
        <v>8847</v>
      </c>
      <c r="Q74" s="869">
        <f t="shared" si="2"/>
        <v>40299</v>
      </c>
      <c r="R74" s="1037" t="s">
        <v>737</v>
      </c>
      <c r="S74" s="1034" t="s">
        <v>781</v>
      </c>
      <c r="T74" s="867" t="s">
        <v>163</v>
      </c>
      <c r="U74" s="868">
        <f aca="true" t="shared" si="12" ref="U74:AB74">U56</f>
        <v>18295</v>
      </c>
      <c r="V74" s="868">
        <f t="shared" si="12"/>
        <v>4906</v>
      </c>
      <c r="W74" s="868">
        <f t="shared" si="12"/>
        <v>13923</v>
      </c>
      <c r="X74" s="868">
        <f t="shared" si="12"/>
        <v>0</v>
      </c>
      <c r="Y74" s="868">
        <f t="shared" si="12"/>
        <v>0</v>
      </c>
      <c r="Z74" s="868">
        <f t="shared" si="12"/>
        <v>0</v>
      </c>
      <c r="AA74" s="868">
        <f t="shared" si="12"/>
        <v>3175</v>
      </c>
      <c r="AB74" s="868">
        <f t="shared" si="12"/>
        <v>0</v>
      </c>
      <c r="AC74" s="869">
        <f t="shared" si="3"/>
        <v>40299</v>
      </c>
      <c r="AD74" s="873">
        <f>AD56</f>
        <v>0</v>
      </c>
      <c r="AE74" s="863">
        <f>AE56</f>
        <v>0</v>
      </c>
    </row>
    <row r="75" spans="1:31" ht="12.75" customHeight="1">
      <c r="A75" s="1033"/>
      <c r="B75" s="1035"/>
      <c r="C75" s="867" t="s">
        <v>831</v>
      </c>
      <c r="D75" s="868">
        <v>666</v>
      </c>
      <c r="E75" s="868">
        <v>0</v>
      </c>
      <c r="F75" s="868">
        <v>8181</v>
      </c>
      <c r="G75" s="868">
        <v>0</v>
      </c>
      <c r="H75" s="868">
        <v>0</v>
      </c>
      <c r="I75" s="868">
        <v>0</v>
      </c>
      <c r="J75" s="868">
        <v>0</v>
      </c>
      <c r="K75" s="868"/>
      <c r="L75" s="868">
        <v>0</v>
      </c>
      <c r="M75" s="868">
        <v>0</v>
      </c>
      <c r="N75" s="868">
        <v>0</v>
      </c>
      <c r="O75" s="868">
        <v>31452</v>
      </c>
      <c r="P75" s="868">
        <v>8847</v>
      </c>
      <c r="Q75" s="869">
        <v>40299</v>
      </c>
      <c r="R75" s="1038"/>
      <c r="S75" s="1035"/>
      <c r="T75" s="867" t="s">
        <v>827</v>
      </c>
      <c r="U75" s="868">
        <v>18295</v>
      </c>
      <c r="V75" s="868">
        <v>4906</v>
      </c>
      <c r="W75" s="868">
        <v>13923</v>
      </c>
      <c r="X75" s="868">
        <v>0</v>
      </c>
      <c r="Y75" s="868">
        <v>0</v>
      </c>
      <c r="Z75" s="868">
        <v>0</v>
      </c>
      <c r="AA75" s="868">
        <v>3175</v>
      </c>
      <c r="AB75" s="868">
        <v>0</v>
      </c>
      <c r="AC75" s="869">
        <v>40299</v>
      </c>
      <c r="AD75" s="873"/>
      <c r="AE75" s="863"/>
    </row>
    <row r="76" spans="1:31" ht="12.75" customHeight="1">
      <c r="A76" s="1033" t="s">
        <v>737</v>
      </c>
      <c r="B76" s="1035"/>
      <c r="C76" s="867" t="s">
        <v>826</v>
      </c>
      <c r="D76" s="868">
        <f>D57</f>
        <v>666</v>
      </c>
      <c r="E76" s="868">
        <f aca="true" t="shared" si="13" ref="E76:AE77">E57</f>
        <v>0</v>
      </c>
      <c r="F76" s="868">
        <f t="shared" si="13"/>
        <v>8181</v>
      </c>
      <c r="G76" s="868">
        <f t="shared" si="13"/>
        <v>0</v>
      </c>
      <c r="H76" s="868">
        <f t="shared" si="13"/>
        <v>0</v>
      </c>
      <c r="I76" s="868">
        <f t="shared" si="13"/>
        <v>0</v>
      </c>
      <c r="J76" s="868">
        <f t="shared" si="13"/>
        <v>0</v>
      </c>
      <c r="K76" s="868"/>
      <c r="L76" s="868">
        <f t="shared" si="13"/>
        <v>0</v>
      </c>
      <c r="M76" s="868">
        <f t="shared" si="13"/>
        <v>30989</v>
      </c>
      <c r="N76" s="868">
        <f t="shared" si="13"/>
        <v>0</v>
      </c>
      <c r="O76" s="868">
        <f>AC76-P76</f>
        <v>32058</v>
      </c>
      <c r="P76" s="868">
        <f>SUM(D76:N76)</f>
        <v>39836</v>
      </c>
      <c r="Q76" s="869">
        <f t="shared" si="2"/>
        <v>71894</v>
      </c>
      <c r="R76" s="1037" t="s">
        <v>737</v>
      </c>
      <c r="S76" s="1035"/>
      <c r="T76" s="867" t="s">
        <v>826</v>
      </c>
      <c r="U76" s="868">
        <f t="shared" si="13"/>
        <v>25838</v>
      </c>
      <c r="V76" s="868">
        <f t="shared" si="13"/>
        <v>7164</v>
      </c>
      <c r="W76" s="868">
        <f t="shared" si="13"/>
        <v>32345</v>
      </c>
      <c r="X76" s="868">
        <f t="shared" si="13"/>
        <v>0</v>
      </c>
      <c r="Y76" s="868">
        <f t="shared" si="13"/>
        <v>0</v>
      </c>
      <c r="Z76" s="868">
        <f t="shared" si="13"/>
        <v>3372</v>
      </c>
      <c r="AA76" s="868">
        <f t="shared" si="13"/>
        <v>3175</v>
      </c>
      <c r="AB76" s="868">
        <f t="shared" si="13"/>
        <v>0</v>
      </c>
      <c r="AC76" s="869">
        <f t="shared" si="3"/>
        <v>71894</v>
      </c>
      <c r="AD76" s="873">
        <f t="shared" si="13"/>
        <v>0</v>
      </c>
      <c r="AE76" s="863">
        <f t="shared" si="13"/>
        <v>0</v>
      </c>
    </row>
    <row r="77" spans="1:31" ht="12.75" customHeight="1" thickBot="1">
      <c r="A77" s="1039"/>
      <c r="B77" s="1036"/>
      <c r="C77" s="874" t="s">
        <v>831</v>
      </c>
      <c r="D77" s="880">
        <f>D58</f>
        <v>666</v>
      </c>
      <c r="E77" s="880">
        <f t="shared" si="13"/>
        <v>0</v>
      </c>
      <c r="F77" s="880">
        <f t="shared" si="13"/>
        <v>26494</v>
      </c>
      <c r="G77" s="880">
        <f t="shared" si="13"/>
        <v>0</v>
      </c>
      <c r="H77" s="880">
        <f t="shared" si="13"/>
        <v>0</v>
      </c>
      <c r="I77" s="880">
        <f t="shared" si="13"/>
        <v>0</v>
      </c>
      <c r="J77" s="880">
        <f t="shared" si="13"/>
        <v>0</v>
      </c>
      <c r="K77" s="880"/>
      <c r="L77" s="880">
        <f t="shared" si="13"/>
        <v>0</v>
      </c>
      <c r="M77" s="880">
        <f t="shared" si="13"/>
        <v>30989</v>
      </c>
      <c r="N77" s="880">
        <f t="shared" si="13"/>
        <v>0</v>
      </c>
      <c r="O77" s="880">
        <f>AC77-P77</f>
        <v>8906</v>
      </c>
      <c r="P77" s="880">
        <f>SUM(D77:N77)</f>
        <v>58149</v>
      </c>
      <c r="Q77" s="881">
        <f>O77+P77</f>
        <v>67055</v>
      </c>
      <c r="R77" s="1040"/>
      <c r="S77" s="1036"/>
      <c r="T77" s="874" t="s">
        <v>827</v>
      </c>
      <c r="U77" s="880">
        <f t="shared" si="13"/>
        <v>24030</v>
      </c>
      <c r="V77" s="880">
        <f t="shared" si="13"/>
        <v>6674</v>
      </c>
      <c r="W77" s="880">
        <f t="shared" si="13"/>
        <v>28223</v>
      </c>
      <c r="X77" s="880">
        <f t="shared" si="13"/>
        <v>0</v>
      </c>
      <c r="Y77" s="880">
        <f t="shared" si="13"/>
        <v>67</v>
      </c>
      <c r="Z77" s="880">
        <f t="shared" si="13"/>
        <v>3372</v>
      </c>
      <c r="AA77" s="880">
        <f t="shared" si="13"/>
        <v>4689</v>
      </c>
      <c r="AB77" s="880">
        <f t="shared" si="13"/>
        <v>0</v>
      </c>
      <c r="AC77" s="881">
        <f>SUM(U77:AB77)-X77</f>
        <v>67055</v>
      </c>
      <c r="AD77" s="875"/>
      <c r="AE77" s="875"/>
    </row>
    <row r="78" spans="21:29" ht="12.75">
      <c r="U78" s="865"/>
      <c r="V78" s="865"/>
      <c r="W78" s="865"/>
      <c r="X78" s="865"/>
      <c r="Y78" s="865"/>
      <c r="Z78" s="865"/>
      <c r="AA78" s="865"/>
      <c r="AB78" s="865"/>
      <c r="AC78" s="865"/>
    </row>
    <row r="79" spans="4:31" ht="12.75">
      <c r="D79" s="865"/>
      <c r="E79" s="865"/>
      <c r="F79" s="865"/>
      <c r="G79" s="865"/>
      <c r="H79" s="865"/>
      <c r="I79" s="865"/>
      <c r="J79" s="865"/>
      <c r="K79" s="865"/>
      <c r="L79" s="865"/>
      <c r="M79" s="865"/>
      <c r="N79" s="865"/>
      <c r="O79" s="865"/>
      <c r="P79" s="865"/>
      <c r="Q79" s="865"/>
      <c r="R79" s="865"/>
      <c r="S79" s="865"/>
      <c r="T79" s="865"/>
      <c r="U79" s="865"/>
      <c r="V79" s="865"/>
      <c r="W79" s="865"/>
      <c r="X79" s="865"/>
      <c r="Y79" s="865"/>
      <c r="Z79" s="865"/>
      <c r="AA79" s="865"/>
      <c r="AB79" s="865"/>
      <c r="AC79" s="865"/>
      <c r="AD79" s="865"/>
      <c r="AE79" s="865"/>
    </row>
  </sheetData>
  <sheetProtection/>
  <mergeCells count="73">
    <mergeCell ref="A1:Q1"/>
    <mergeCell ref="R3:R4"/>
    <mergeCell ref="S3:S4"/>
    <mergeCell ref="A26:A28"/>
    <mergeCell ref="R26:R28"/>
    <mergeCell ref="A29:A31"/>
    <mergeCell ref="R29:R31"/>
    <mergeCell ref="A8:A10"/>
    <mergeCell ref="R8:R10"/>
    <mergeCell ref="A11:A13"/>
    <mergeCell ref="U1:AC1"/>
    <mergeCell ref="A3:A4"/>
    <mergeCell ref="B3:B4"/>
    <mergeCell ref="C3:C4"/>
    <mergeCell ref="D3:F3"/>
    <mergeCell ref="G3:K3"/>
    <mergeCell ref="L3:L4"/>
    <mergeCell ref="M3:N3"/>
    <mergeCell ref="P3:P4"/>
    <mergeCell ref="Q3:Q4"/>
    <mergeCell ref="T3:T4"/>
    <mergeCell ref="U3:Y3"/>
    <mergeCell ref="AA3:AB3"/>
    <mergeCell ref="AC3:AC4"/>
    <mergeCell ref="A5:A7"/>
    <mergeCell ref="R5:R7"/>
    <mergeCell ref="R11:R13"/>
    <mergeCell ref="A14:A16"/>
    <mergeCell ref="R14:R16"/>
    <mergeCell ref="A17:A19"/>
    <mergeCell ref="R17:R19"/>
    <mergeCell ref="A20:A22"/>
    <mergeCell ref="R20:R22"/>
    <mergeCell ref="A23:A25"/>
    <mergeCell ref="R23:R25"/>
    <mergeCell ref="R35:R37"/>
    <mergeCell ref="A38:A40"/>
    <mergeCell ref="R38:R40"/>
    <mergeCell ref="A32:A34"/>
    <mergeCell ref="R32:R34"/>
    <mergeCell ref="A35:A37"/>
    <mergeCell ref="A41:A43"/>
    <mergeCell ref="R41:R43"/>
    <mergeCell ref="A44:A46"/>
    <mergeCell ref="R44:R46"/>
    <mergeCell ref="A50:A52"/>
    <mergeCell ref="R50:R52"/>
    <mergeCell ref="A47:A49"/>
    <mergeCell ref="R47:R49"/>
    <mergeCell ref="A53:A55"/>
    <mergeCell ref="R53:R55"/>
    <mergeCell ref="A56:A58"/>
    <mergeCell ref="R56:R58"/>
    <mergeCell ref="A62:A64"/>
    <mergeCell ref="R62:R64"/>
    <mergeCell ref="R59:R61"/>
    <mergeCell ref="A59:A61"/>
    <mergeCell ref="A65:A67"/>
    <mergeCell ref="R65:R67"/>
    <mergeCell ref="A68:A70"/>
    <mergeCell ref="B68:B70"/>
    <mergeCell ref="R68:R70"/>
    <mergeCell ref="S71:S73"/>
    <mergeCell ref="S68:S70"/>
    <mergeCell ref="A71:A73"/>
    <mergeCell ref="B71:B73"/>
    <mergeCell ref="R71:R73"/>
    <mergeCell ref="A74:A75"/>
    <mergeCell ref="B74:B77"/>
    <mergeCell ref="R74:R75"/>
    <mergeCell ref="S74:S77"/>
    <mergeCell ref="A76:A77"/>
    <mergeCell ref="R76:R77"/>
  </mergeCells>
  <printOptions horizontalCentered="1"/>
  <pageMargins left="0.3937007874015748" right="0.3937007874015748" top="0.7086614173228347" bottom="0.5511811023622047" header="0.35433070866141736" footer="0.5118110236220472"/>
  <pageSetup horizontalDpi="600" verticalDpi="600" orientation="landscape" paperSize="9" scale="67" r:id="rId1"/>
  <headerFooter alignWithMargins="0">
    <oddHeader>&amp;L 6. melléklet a 18/2014.(IX.1.) önkormányzati rendelethez
"6. melléklet az 1/2014.(I.31.) önkormányzati rendelethez"</oddHeader>
  </headerFooter>
  <rowBreaks count="1" manualBreakCount="1">
    <brk id="49" max="255" man="1"/>
  </rowBreaks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view="pageLayout" workbookViewId="0" topLeftCell="A1">
      <selection activeCell="A1" sqref="A1:O1"/>
    </sheetView>
  </sheetViews>
  <sheetFormatPr defaultColWidth="9.00390625" defaultRowHeight="12.75"/>
  <cols>
    <col min="1" max="1" width="16.625" style="92" customWidth="1"/>
    <col min="2" max="2" width="12.25390625" style="92" customWidth="1"/>
    <col min="3" max="3" width="9.00390625" style="92" customWidth="1"/>
    <col min="4" max="4" width="10.25390625" style="92" customWidth="1"/>
    <col min="5" max="5" width="7.625" style="92" customWidth="1"/>
    <col min="6" max="6" width="11.25390625" style="92" customWidth="1"/>
    <col min="7" max="7" width="9.75390625" style="92" customWidth="1"/>
    <col min="8" max="8" width="14.625" style="92" customWidth="1"/>
    <col min="9" max="9" width="9.375" style="92" customWidth="1"/>
    <col min="10" max="10" width="10.625" style="92" customWidth="1"/>
    <col min="11" max="11" width="12.75390625" style="92" customWidth="1"/>
    <col min="12" max="12" width="11.00390625" style="92" customWidth="1"/>
    <col min="13" max="13" width="8.375" style="92" customWidth="1"/>
    <col min="14" max="14" width="13.75390625" style="92" customWidth="1"/>
    <col min="15" max="15" width="12.125" style="92" customWidth="1"/>
    <col min="16" max="17" width="9.125" style="92" hidden="1" customWidth="1"/>
    <col min="18" max="16384" width="9.125" style="92" customWidth="1"/>
  </cols>
  <sheetData>
    <row r="1" spans="1:15" ht="12.75">
      <c r="A1" s="1059" t="s">
        <v>738</v>
      </c>
      <c r="B1" s="1059"/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  <c r="N1" s="1059"/>
      <c r="O1" s="1059"/>
    </row>
    <row r="2" spans="1:15" ht="13.5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9.5" customHeight="1">
      <c r="A3" s="1060" t="s">
        <v>739</v>
      </c>
      <c r="B3" s="1061"/>
      <c r="C3" s="1064" t="s">
        <v>740</v>
      </c>
      <c r="D3" s="1066" t="s">
        <v>741</v>
      </c>
      <c r="E3" s="1067"/>
      <c r="F3" s="1064" t="s">
        <v>742</v>
      </c>
      <c r="G3" s="1066" t="s">
        <v>743</v>
      </c>
      <c r="H3" s="1067"/>
      <c r="I3" s="1066" t="s">
        <v>744</v>
      </c>
      <c r="J3" s="1067"/>
      <c r="K3" s="1064" t="s">
        <v>745</v>
      </c>
      <c r="L3" s="1066" t="s">
        <v>506</v>
      </c>
      <c r="M3" s="1067"/>
      <c r="N3" s="1064" t="s">
        <v>746</v>
      </c>
      <c r="O3" s="1068" t="s">
        <v>713</v>
      </c>
    </row>
    <row r="4" spans="1:15" ht="21">
      <c r="A4" s="1062"/>
      <c r="B4" s="1063"/>
      <c r="C4" s="1065"/>
      <c r="D4" s="106" t="s">
        <v>747</v>
      </c>
      <c r="E4" s="106" t="s">
        <v>716</v>
      </c>
      <c r="F4" s="1065"/>
      <c r="G4" s="106" t="s">
        <v>748</v>
      </c>
      <c r="H4" s="106" t="s">
        <v>749</v>
      </c>
      <c r="I4" s="106" t="s">
        <v>748</v>
      </c>
      <c r="J4" s="106" t="s">
        <v>749</v>
      </c>
      <c r="K4" s="1065"/>
      <c r="L4" s="106" t="s">
        <v>758</v>
      </c>
      <c r="M4" s="106" t="s">
        <v>717</v>
      </c>
      <c r="N4" s="1065"/>
      <c r="O4" s="1069"/>
    </row>
    <row r="5" spans="1:15" ht="12.75">
      <c r="A5" s="93" t="s">
        <v>750</v>
      </c>
      <c r="B5" s="94" t="s">
        <v>163</v>
      </c>
      <c r="C5" s="95">
        <v>33197</v>
      </c>
      <c r="D5" s="95"/>
      <c r="E5" s="95">
        <v>8584</v>
      </c>
      <c r="F5" s="95"/>
      <c r="G5" s="95"/>
      <c r="H5" s="95"/>
      <c r="I5" s="95"/>
      <c r="J5" s="95"/>
      <c r="K5" s="95"/>
      <c r="L5" s="95"/>
      <c r="M5" s="95"/>
      <c r="N5" s="95">
        <v>144887</v>
      </c>
      <c r="O5" s="96">
        <f>SUM(C5+F5+G5+H5+I5+J5+K5+L5+M5+N5)</f>
        <v>178084</v>
      </c>
    </row>
    <row r="6" spans="1:15" ht="12.75" customHeight="1">
      <c r="A6" s="93"/>
      <c r="B6" s="94" t="s">
        <v>765</v>
      </c>
      <c r="C6" s="95">
        <v>33197</v>
      </c>
      <c r="D6" s="95"/>
      <c r="E6" s="95">
        <v>8584</v>
      </c>
      <c r="F6" s="95"/>
      <c r="G6" s="95"/>
      <c r="H6" s="95"/>
      <c r="I6" s="95">
        <v>3008</v>
      </c>
      <c r="J6" s="95"/>
      <c r="K6" s="95"/>
      <c r="L6" s="95">
        <v>50174</v>
      </c>
      <c r="M6" s="95"/>
      <c r="N6" s="95">
        <v>145484</v>
      </c>
      <c r="O6" s="96">
        <f aca="true" t="shared" si="0" ref="O6:O22">SUM(C6+F6+G6+H6+I6+J6+K6+L6+M6+N6)</f>
        <v>231863</v>
      </c>
    </row>
    <row r="7" spans="1:15" ht="12.75" customHeight="1">
      <c r="A7" s="93"/>
      <c r="B7" s="94" t="s">
        <v>946</v>
      </c>
      <c r="C7" s="95">
        <v>33197</v>
      </c>
      <c r="D7" s="95">
        <v>48</v>
      </c>
      <c r="E7" s="95">
        <v>8584</v>
      </c>
      <c r="F7" s="95"/>
      <c r="G7" s="95"/>
      <c r="H7" s="95"/>
      <c r="I7" s="95">
        <v>3122</v>
      </c>
      <c r="J7" s="95"/>
      <c r="K7" s="95"/>
      <c r="L7" s="95">
        <v>50174</v>
      </c>
      <c r="M7" s="95"/>
      <c r="N7" s="95">
        <v>148793</v>
      </c>
      <c r="O7" s="96">
        <f>SUM(C7+F7+G7+H7+I7+J7+K7+L7+M7+N7)</f>
        <v>235286</v>
      </c>
    </row>
    <row r="8" spans="1:15" ht="12.75">
      <c r="A8" s="93" t="s">
        <v>751</v>
      </c>
      <c r="B8" s="94" t="s">
        <v>163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6">
        <f t="shared" si="0"/>
        <v>0</v>
      </c>
    </row>
    <row r="9" spans="1:15" ht="12.75">
      <c r="A9" s="93"/>
      <c r="B9" s="94" t="s">
        <v>765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6">
        <f t="shared" si="0"/>
        <v>0</v>
      </c>
    </row>
    <row r="10" spans="1:15" ht="12.75">
      <c r="A10" s="93"/>
      <c r="B10" s="94" t="s">
        <v>946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6"/>
    </row>
    <row r="11" spans="1:15" ht="12.75">
      <c r="A11" s="93" t="s">
        <v>752</v>
      </c>
      <c r="B11" s="94" t="s">
        <v>163</v>
      </c>
      <c r="C11" s="95">
        <v>200</v>
      </c>
      <c r="D11" s="95"/>
      <c r="E11" s="95">
        <v>54</v>
      </c>
      <c r="F11" s="95"/>
      <c r="G11" s="95"/>
      <c r="H11" s="95"/>
      <c r="I11" s="95"/>
      <c r="J11" s="95"/>
      <c r="K11" s="95"/>
      <c r="L11" s="95"/>
      <c r="M11" s="95"/>
      <c r="N11" s="95"/>
      <c r="O11" s="96">
        <f t="shared" si="0"/>
        <v>200</v>
      </c>
    </row>
    <row r="12" spans="1:15" ht="12.75">
      <c r="A12" s="93"/>
      <c r="B12" s="94" t="s">
        <v>765</v>
      </c>
      <c r="C12" s="95">
        <v>200</v>
      </c>
      <c r="D12" s="95"/>
      <c r="E12" s="95">
        <v>54</v>
      </c>
      <c r="F12" s="95"/>
      <c r="G12" s="95"/>
      <c r="H12" s="95"/>
      <c r="I12" s="95"/>
      <c r="J12" s="95"/>
      <c r="K12" s="95"/>
      <c r="L12" s="95"/>
      <c r="M12" s="95"/>
      <c r="N12" s="95"/>
      <c r="O12" s="96">
        <f t="shared" si="0"/>
        <v>200</v>
      </c>
    </row>
    <row r="13" spans="1:15" ht="12.75">
      <c r="A13" s="93"/>
      <c r="B13" s="94" t="s">
        <v>946</v>
      </c>
      <c r="C13" s="95">
        <v>200</v>
      </c>
      <c r="D13" s="95"/>
      <c r="E13" s="95">
        <v>54</v>
      </c>
      <c r="F13" s="95"/>
      <c r="G13" s="95"/>
      <c r="H13" s="95"/>
      <c r="I13" s="95"/>
      <c r="J13" s="95"/>
      <c r="K13" s="95"/>
      <c r="L13" s="95"/>
      <c r="M13" s="95"/>
      <c r="N13" s="95"/>
      <c r="O13" s="96">
        <f>SUM(C13+F13+G13+H13+I13+J13+K13+L13+M13+N13)</f>
        <v>200</v>
      </c>
    </row>
    <row r="14" spans="1:15" ht="12.75">
      <c r="A14" s="93" t="s">
        <v>753</v>
      </c>
      <c r="B14" s="94" t="s">
        <v>163</v>
      </c>
      <c r="C14" s="95">
        <v>9460</v>
      </c>
      <c r="D14" s="95"/>
      <c r="E14" s="95">
        <v>473</v>
      </c>
      <c r="F14" s="95"/>
      <c r="G14" s="95"/>
      <c r="H14" s="95"/>
      <c r="I14" s="95"/>
      <c r="J14" s="95"/>
      <c r="K14" s="95"/>
      <c r="L14" s="95"/>
      <c r="M14" s="95"/>
      <c r="N14" s="95"/>
      <c r="O14" s="96">
        <f t="shared" si="0"/>
        <v>9460</v>
      </c>
    </row>
    <row r="15" spans="1:15" ht="12.75">
      <c r="A15" s="93"/>
      <c r="B15" s="94" t="s">
        <v>765</v>
      </c>
      <c r="C15" s="95">
        <v>9460</v>
      </c>
      <c r="D15" s="95"/>
      <c r="E15" s="95">
        <v>473</v>
      </c>
      <c r="F15" s="95"/>
      <c r="G15" s="95"/>
      <c r="H15" s="95"/>
      <c r="I15" s="95"/>
      <c r="J15" s="95"/>
      <c r="K15" s="95"/>
      <c r="L15" s="95"/>
      <c r="M15" s="95"/>
      <c r="N15" s="95"/>
      <c r="O15" s="96">
        <f t="shared" si="0"/>
        <v>9460</v>
      </c>
    </row>
    <row r="16" spans="1:15" ht="12.75">
      <c r="A16" s="93"/>
      <c r="B16" s="94" t="s">
        <v>946</v>
      </c>
      <c r="C16" s="95">
        <v>9460</v>
      </c>
      <c r="D16" s="95"/>
      <c r="E16" s="95">
        <v>473</v>
      </c>
      <c r="F16" s="95"/>
      <c r="G16" s="95"/>
      <c r="H16" s="95"/>
      <c r="I16" s="95"/>
      <c r="J16" s="95"/>
      <c r="K16" s="95"/>
      <c r="L16" s="95"/>
      <c r="M16" s="95"/>
      <c r="N16" s="95"/>
      <c r="O16" s="96">
        <f>SUM(C16+F16+G16+H16+I16+J16+K16+L16+M16+N16)</f>
        <v>9460</v>
      </c>
    </row>
    <row r="17" spans="1:15" ht="12.75">
      <c r="A17" s="97" t="s">
        <v>501</v>
      </c>
      <c r="B17" s="98" t="s">
        <v>163</v>
      </c>
      <c r="C17" s="99">
        <f>SUM(C5+C8+C11+C14)</f>
        <v>42857</v>
      </c>
      <c r="D17" s="99">
        <f aca="true" t="shared" si="1" ref="D17:N17">SUM(D5+D8+D11+D14)</f>
        <v>0</v>
      </c>
      <c r="E17" s="99">
        <f t="shared" si="1"/>
        <v>9111</v>
      </c>
      <c r="F17" s="99">
        <f t="shared" si="1"/>
        <v>0</v>
      </c>
      <c r="G17" s="99">
        <f t="shared" si="1"/>
        <v>0</v>
      </c>
      <c r="H17" s="99">
        <f t="shared" si="1"/>
        <v>0</v>
      </c>
      <c r="I17" s="99">
        <f t="shared" si="1"/>
        <v>0</v>
      </c>
      <c r="J17" s="99">
        <f t="shared" si="1"/>
        <v>0</v>
      </c>
      <c r="K17" s="99">
        <f t="shared" si="1"/>
        <v>0</v>
      </c>
      <c r="L17" s="99">
        <f t="shared" si="1"/>
        <v>0</v>
      </c>
      <c r="M17" s="99">
        <f t="shared" si="1"/>
        <v>0</v>
      </c>
      <c r="N17" s="99">
        <f t="shared" si="1"/>
        <v>144887</v>
      </c>
      <c r="O17" s="447">
        <f t="shared" si="0"/>
        <v>187744</v>
      </c>
    </row>
    <row r="18" spans="1:15" ht="12.75">
      <c r="A18" s="97"/>
      <c r="B18" s="281" t="s">
        <v>765</v>
      </c>
      <c r="C18" s="99">
        <f>SUM(C6+C9+C12+C15)</f>
        <v>42857</v>
      </c>
      <c r="D18" s="99">
        <f aca="true" t="shared" si="2" ref="D18:N19">SUM(D6+D9+D12+D15)</f>
        <v>0</v>
      </c>
      <c r="E18" s="99">
        <f t="shared" si="2"/>
        <v>9111</v>
      </c>
      <c r="F18" s="99">
        <f t="shared" si="2"/>
        <v>0</v>
      </c>
      <c r="G18" s="99">
        <f t="shared" si="2"/>
        <v>0</v>
      </c>
      <c r="H18" s="99">
        <f t="shared" si="2"/>
        <v>0</v>
      </c>
      <c r="I18" s="99">
        <f t="shared" si="2"/>
        <v>3008</v>
      </c>
      <c r="J18" s="99">
        <f t="shared" si="2"/>
        <v>0</v>
      </c>
      <c r="K18" s="99">
        <f t="shared" si="2"/>
        <v>0</v>
      </c>
      <c r="L18" s="99">
        <f t="shared" si="2"/>
        <v>50174</v>
      </c>
      <c r="M18" s="99">
        <f t="shared" si="2"/>
        <v>0</v>
      </c>
      <c r="N18" s="99">
        <f t="shared" si="2"/>
        <v>145484</v>
      </c>
      <c r="O18" s="447">
        <f t="shared" si="0"/>
        <v>241523</v>
      </c>
    </row>
    <row r="19" spans="1:15" ht="12.75">
      <c r="A19" s="97"/>
      <c r="B19" s="764" t="s">
        <v>945</v>
      </c>
      <c r="C19" s="99">
        <f>SUM(C7+C10+C13+C16)</f>
        <v>42857</v>
      </c>
      <c r="D19" s="99">
        <f t="shared" si="2"/>
        <v>48</v>
      </c>
      <c r="E19" s="99">
        <f t="shared" si="2"/>
        <v>9111</v>
      </c>
      <c r="F19" s="99">
        <f t="shared" si="2"/>
        <v>0</v>
      </c>
      <c r="G19" s="99">
        <f t="shared" si="2"/>
        <v>0</v>
      </c>
      <c r="H19" s="99">
        <f t="shared" si="2"/>
        <v>0</v>
      </c>
      <c r="I19" s="99">
        <f t="shared" si="2"/>
        <v>3122</v>
      </c>
      <c r="J19" s="99">
        <f t="shared" si="2"/>
        <v>0</v>
      </c>
      <c r="K19" s="99">
        <f t="shared" si="2"/>
        <v>0</v>
      </c>
      <c r="L19" s="99">
        <f t="shared" si="2"/>
        <v>50174</v>
      </c>
      <c r="M19" s="99">
        <f t="shared" si="2"/>
        <v>0</v>
      </c>
      <c r="N19" s="99">
        <f t="shared" si="2"/>
        <v>148793</v>
      </c>
      <c r="O19" s="447">
        <f t="shared" si="0"/>
        <v>244946</v>
      </c>
    </row>
    <row r="20" spans="1:15" ht="12.75">
      <c r="A20" s="97" t="s">
        <v>736</v>
      </c>
      <c r="B20" s="281" t="s">
        <v>163</v>
      </c>
      <c r="C20" s="282">
        <f>SUM(C17)</f>
        <v>42857</v>
      </c>
      <c r="D20" s="282">
        <f aca="true" t="shared" si="3" ref="D20:N20">SUM(D5+D8+D11+D14)</f>
        <v>0</v>
      </c>
      <c r="E20" s="282">
        <f t="shared" si="3"/>
        <v>9111</v>
      </c>
      <c r="F20" s="282">
        <f t="shared" si="3"/>
        <v>0</v>
      </c>
      <c r="G20" s="282">
        <f t="shared" si="3"/>
        <v>0</v>
      </c>
      <c r="H20" s="282">
        <f t="shared" si="3"/>
        <v>0</v>
      </c>
      <c r="I20" s="282">
        <f t="shared" si="3"/>
        <v>0</v>
      </c>
      <c r="J20" s="282">
        <f t="shared" si="3"/>
        <v>0</v>
      </c>
      <c r="K20" s="282">
        <f t="shared" si="3"/>
        <v>0</v>
      </c>
      <c r="L20" s="282">
        <f t="shared" si="3"/>
        <v>0</v>
      </c>
      <c r="M20" s="282">
        <f t="shared" si="3"/>
        <v>0</v>
      </c>
      <c r="N20" s="282">
        <f t="shared" si="3"/>
        <v>144887</v>
      </c>
      <c r="O20" s="447">
        <f t="shared" si="0"/>
        <v>187744</v>
      </c>
    </row>
    <row r="21" spans="1:15" ht="12.75">
      <c r="A21" s="635"/>
      <c r="B21" s="636" t="s">
        <v>765</v>
      </c>
      <c r="C21" s="282">
        <f>SUM(C18)</f>
        <v>42857</v>
      </c>
      <c r="D21" s="282">
        <f aca="true" t="shared" si="4" ref="D21:N22">SUM(D18)</f>
        <v>0</v>
      </c>
      <c r="E21" s="282">
        <f t="shared" si="4"/>
        <v>9111</v>
      </c>
      <c r="F21" s="282">
        <f t="shared" si="4"/>
        <v>0</v>
      </c>
      <c r="G21" s="282">
        <f t="shared" si="4"/>
        <v>0</v>
      </c>
      <c r="H21" s="282">
        <f t="shared" si="4"/>
        <v>0</v>
      </c>
      <c r="I21" s="282">
        <f t="shared" si="4"/>
        <v>3008</v>
      </c>
      <c r="J21" s="282">
        <f t="shared" si="4"/>
        <v>0</v>
      </c>
      <c r="K21" s="282">
        <f t="shared" si="4"/>
        <v>0</v>
      </c>
      <c r="L21" s="282">
        <f t="shared" si="4"/>
        <v>50174</v>
      </c>
      <c r="M21" s="282">
        <f t="shared" si="4"/>
        <v>0</v>
      </c>
      <c r="N21" s="282">
        <f t="shared" si="4"/>
        <v>145484</v>
      </c>
      <c r="O21" s="637">
        <f t="shared" si="0"/>
        <v>241523</v>
      </c>
    </row>
    <row r="22" spans="1:15" ht="15.75" customHeight="1" thickBot="1">
      <c r="A22" s="284"/>
      <c r="B22" s="765" t="s">
        <v>946</v>
      </c>
      <c r="C22" s="101">
        <f>SUM(C19)</f>
        <v>42857</v>
      </c>
      <c r="D22" s="101">
        <f t="shared" si="4"/>
        <v>48</v>
      </c>
      <c r="E22" s="101">
        <f t="shared" si="4"/>
        <v>9111</v>
      </c>
      <c r="F22" s="101">
        <f t="shared" si="4"/>
        <v>0</v>
      </c>
      <c r="G22" s="101">
        <f t="shared" si="4"/>
        <v>0</v>
      </c>
      <c r="H22" s="101">
        <f t="shared" si="4"/>
        <v>0</v>
      </c>
      <c r="I22" s="101">
        <f t="shared" si="4"/>
        <v>3122</v>
      </c>
      <c r="J22" s="101">
        <f t="shared" si="4"/>
        <v>0</v>
      </c>
      <c r="K22" s="101">
        <f t="shared" si="4"/>
        <v>0</v>
      </c>
      <c r="L22" s="101">
        <f t="shared" si="4"/>
        <v>50174</v>
      </c>
      <c r="M22" s="101">
        <f t="shared" si="4"/>
        <v>0</v>
      </c>
      <c r="N22" s="101">
        <f t="shared" si="4"/>
        <v>148793</v>
      </c>
      <c r="O22" s="448">
        <f t="shared" si="0"/>
        <v>244946</v>
      </c>
    </row>
    <row r="23" spans="1:15" ht="12.7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</row>
    <row r="24" spans="1:11" ht="18.75" customHeight="1">
      <c r="A24" s="1059" t="s">
        <v>754</v>
      </c>
      <c r="B24" s="1059"/>
      <c r="C24" s="1059"/>
      <c r="D24" s="1059"/>
      <c r="E24" s="1059"/>
      <c r="F24" s="1059"/>
      <c r="G24" s="1059"/>
      <c r="H24" s="1059"/>
      <c r="I24" s="1059"/>
      <c r="J24" s="1059"/>
      <c r="K24" s="1059"/>
    </row>
    <row r="25" spans="1:11" ht="18.75" customHeight="1" thickBot="1">
      <c r="A25" s="91"/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1:11" ht="18.75" customHeight="1">
      <c r="A26" s="1060" t="s">
        <v>739</v>
      </c>
      <c r="B26" s="1061"/>
      <c r="C26" s="1070" t="s">
        <v>582</v>
      </c>
      <c r="D26" s="1070"/>
      <c r="E26" s="1070"/>
      <c r="F26" s="1070"/>
      <c r="G26" s="1070"/>
      <c r="H26" s="107"/>
      <c r="I26" s="1070" t="s">
        <v>583</v>
      </c>
      <c r="J26" s="1070"/>
      <c r="K26" s="1071" t="s">
        <v>714</v>
      </c>
    </row>
    <row r="27" spans="1:11" ht="45.75" customHeight="1">
      <c r="A27" s="1062"/>
      <c r="B27" s="1063"/>
      <c r="C27" s="106" t="s">
        <v>512</v>
      </c>
      <c r="D27" s="106" t="s">
        <v>719</v>
      </c>
      <c r="E27" s="106" t="s">
        <v>755</v>
      </c>
      <c r="F27" s="106" t="s">
        <v>756</v>
      </c>
      <c r="G27" s="106" t="s">
        <v>757</v>
      </c>
      <c r="H27" s="106" t="s">
        <v>231</v>
      </c>
      <c r="I27" s="106" t="s">
        <v>526</v>
      </c>
      <c r="J27" s="106" t="s">
        <v>527</v>
      </c>
      <c r="K27" s="1072"/>
    </row>
    <row r="28" spans="1:12" ht="12.75" customHeight="1">
      <c r="A28" s="93" t="s">
        <v>750</v>
      </c>
      <c r="B28" s="94" t="s">
        <v>163</v>
      </c>
      <c r="C28" s="95">
        <v>54808</v>
      </c>
      <c r="D28" s="95">
        <v>16302</v>
      </c>
      <c r="E28" s="95">
        <v>78129</v>
      </c>
      <c r="F28" s="95"/>
      <c r="G28" s="95"/>
      <c r="H28" s="95"/>
      <c r="I28" s="95">
        <v>1800</v>
      </c>
      <c r="J28" s="95"/>
      <c r="K28" s="96">
        <f>SUM(C28:J28)</f>
        <v>151039</v>
      </c>
      <c r="L28" s="104"/>
    </row>
    <row r="29" spans="1:12" ht="12.75" customHeight="1">
      <c r="A29" s="93"/>
      <c r="B29" s="94" t="s">
        <v>765</v>
      </c>
      <c r="C29" s="95">
        <v>56904</v>
      </c>
      <c r="D29" s="95">
        <v>16751</v>
      </c>
      <c r="E29" s="95">
        <v>105558</v>
      </c>
      <c r="F29" s="95"/>
      <c r="G29" s="95"/>
      <c r="H29" s="95"/>
      <c r="I29" s="95">
        <v>12182</v>
      </c>
      <c r="J29" s="95">
        <v>13423</v>
      </c>
      <c r="K29" s="96">
        <f aca="true" t="shared" si="5" ref="K29:K38">SUM(C29:J29)</f>
        <v>204818</v>
      </c>
      <c r="L29" s="104"/>
    </row>
    <row r="30" spans="1:12" ht="12.75" customHeight="1">
      <c r="A30" s="93"/>
      <c r="B30" s="94" t="s">
        <v>946</v>
      </c>
      <c r="C30" s="95">
        <v>57261</v>
      </c>
      <c r="D30" s="95">
        <v>16817</v>
      </c>
      <c r="E30" s="95">
        <v>108558</v>
      </c>
      <c r="F30" s="95"/>
      <c r="G30" s="95"/>
      <c r="H30" s="95"/>
      <c r="I30" s="95">
        <v>12182</v>
      </c>
      <c r="J30" s="95">
        <v>13423</v>
      </c>
      <c r="K30" s="96">
        <f>SUM(C30:J30)</f>
        <v>208241</v>
      </c>
      <c r="L30" s="104"/>
    </row>
    <row r="31" spans="1:12" ht="12.75" customHeight="1">
      <c r="A31" s="93" t="s">
        <v>751</v>
      </c>
      <c r="B31" s="94" t="s">
        <v>163</v>
      </c>
      <c r="C31" s="95">
        <v>7627</v>
      </c>
      <c r="D31" s="95">
        <v>2059</v>
      </c>
      <c r="E31" s="95">
        <v>533</v>
      </c>
      <c r="F31" s="95"/>
      <c r="G31" s="95"/>
      <c r="H31" s="95"/>
      <c r="I31" s="95"/>
      <c r="J31" s="95"/>
      <c r="K31" s="96">
        <f t="shared" si="5"/>
        <v>10219</v>
      </c>
      <c r="L31" s="104"/>
    </row>
    <row r="32" spans="1:12" ht="12.75" customHeight="1">
      <c r="A32" s="93"/>
      <c r="B32" s="94" t="s">
        <v>765</v>
      </c>
      <c r="C32" s="95">
        <v>7627</v>
      </c>
      <c r="D32" s="95">
        <v>2059</v>
      </c>
      <c r="E32" s="95">
        <v>533</v>
      </c>
      <c r="F32" s="95"/>
      <c r="G32" s="95"/>
      <c r="H32" s="95"/>
      <c r="I32" s="95"/>
      <c r="J32" s="95"/>
      <c r="K32" s="96">
        <f t="shared" si="5"/>
        <v>10219</v>
      </c>
      <c r="L32" s="104"/>
    </row>
    <row r="33" spans="1:12" ht="12.75" customHeight="1">
      <c r="A33" s="93"/>
      <c r="B33" s="94" t="s">
        <v>946</v>
      </c>
      <c r="C33" s="95">
        <v>7627</v>
      </c>
      <c r="D33" s="95">
        <v>2059</v>
      </c>
      <c r="E33" s="95">
        <v>533</v>
      </c>
      <c r="F33" s="95"/>
      <c r="G33" s="95"/>
      <c r="H33" s="95"/>
      <c r="I33" s="95"/>
      <c r="J33" s="95"/>
      <c r="K33" s="96">
        <f>SUM(C33:J33)</f>
        <v>10219</v>
      </c>
      <c r="L33" s="104"/>
    </row>
    <row r="34" spans="1:12" ht="12.75" customHeight="1">
      <c r="A34" s="93" t="s">
        <v>752</v>
      </c>
      <c r="B34" s="94" t="s">
        <v>163</v>
      </c>
      <c r="C34" s="95">
        <v>80</v>
      </c>
      <c r="D34" s="95">
        <v>22</v>
      </c>
      <c r="E34" s="95">
        <v>200</v>
      </c>
      <c r="F34" s="95"/>
      <c r="G34" s="95"/>
      <c r="H34" s="95"/>
      <c r="I34" s="95"/>
      <c r="J34" s="95"/>
      <c r="K34" s="96">
        <f t="shared" si="5"/>
        <v>302</v>
      </c>
      <c r="L34" s="104"/>
    </row>
    <row r="35" spans="1:12" ht="12.75" customHeight="1">
      <c r="A35" s="93"/>
      <c r="B35" s="94" t="s">
        <v>765</v>
      </c>
      <c r="C35" s="95">
        <v>80</v>
      </c>
      <c r="D35" s="95">
        <v>22</v>
      </c>
      <c r="E35" s="95">
        <v>200</v>
      </c>
      <c r="F35" s="95"/>
      <c r="G35" s="95"/>
      <c r="H35" s="95"/>
      <c r="I35" s="95"/>
      <c r="J35" s="95"/>
      <c r="K35" s="96">
        <f t="shared" si="5"/>
        <v>302</v>
      </c>
      <c r="L35" s="104"/>
    </row>
    <row r="36" spans="1:12" ht="12.75" customHeight="1">
      <c r="A36" s="93"/>
      <c r="B36" s="94" t="s">
        <v>946</v>
      </c>
      <c r="C36" s="95">
        <v>80</v>
      </c>
      <c r="D36" s="95">
        <v>22</v>
      </c>
      <c r="E36" s="95">
        <v>200</v>
      </c>
      <c r="F36" s="95"/>
      <c r="G36" s="95"/>
      <c r="H36" s="95"/>
      <c r="I36" s="95"/>
      <c r="J36" s="95"/>
      <c r="K36" s="96">
        <f>SUM(C36:J36)</f>
        <v>302</v>
      </c>
      <c r="L36" s="104"/>
    </row>
    <row r="37" spans="1:12" ht="12.75" customHeight="1">
      <c r="A37" s="93" t="s">
        <v>753</v>
      </c>
      <c r="B37" s="94" t="s">
        <v>163</v>
      </c>
      <c r="C37" s="95">
        <v>20121</v>
      </c>
      <c r="D37" s="95">
        <v>5433</v>
      </c>
      <c r="E37" s="95">
        <v>630</v>
      </c>
      <c r="F37" s="95"/>
      <c r="G37" s="95"/>
      <c r="H37" s="95"/>
      <c r="I37" s="95"/>
      <c r="J37" s="95"/>
      <c r="K37" s="96">
        <f t="shared" si="5"/>
        <v>26184</v>
      </c>
      <c r="L37" s="104"/>
    </row>
    <row r="38" spans="1:12" ht="12.75" customHeight="1">
      <c r="A38" s="93"/>
      <c r="B38" s="94" t="s">
        <v>765</v>
      </c>
      <c r="C38" s="95">
        <v>20121</v>
      </c>
      <c r="D38" s="95">
        <v>5433</v>
      </c>
      <c r="E38" s="95">
        <v>630</v>
      </c>
      <c r="F38" s="95"/>
      <c r="G38" s="95"/>
      <c r="H38" s="95"/>
      <c r="I38" s="95"/>
      <c r="J38" s="95"/>
      <c r="K38" s="96">
        <f t="shared" si="5"/>
        <v>26184</v>
      </c>
      <c r="L38" s="104"/>
    </row>
    <row r="39" spans="1:12" ht="12.75" customHeight="1">
      <c r="A39" s="93"/>
      <c r="B39" s="94" t="s">
        <v>946</v>
      </c>
      <c r="C39" s="95">
        <v>20121</v>
      </c>
      <c r="D39" s="95">
        <v>5433</v>
      </c>
      <c r="E39" s="95">
        <v>630</v>
      </c>
      <c r="F39" s="95"/>
      <c r="G39" s="95"/>
      <c r="H39" s="95"/>
      <c r="I39" s="95"/>
      <c r="J39" s="95"/>
      <c r="K39" s="96">
        <f>SUM(C39:J39)</f>
        <v>26184</v>
      </c>
      <c r="L39" s="104"/>
    </row>
    <row r="40" spans="1:12" ht="12.75" customHeight="1">
      <c r="A40" s="105" t="s">
        <v>501</v>
      </c>
      <c r="B40" s="98" t="s">
        <v>163</v>
      </c>
      <c r="C40" s="99">
        <f>SUM(C28+C31+C34+C37)</f>
        <v>82636</v>
      </c>
      <c r="D40" s="99">
        <f aca="true" t="shared" si="6" ref="D40:K42">SUM(D28+D31+D34+D37)</f>
        <v>23816</v>
      </c>
      <c r="E40" s="99">
        <f t="shared" si="6"/>
        <v>79492</v>
      </c>
      <c r="F40" s="99">
        <f t="shared" si="6"/>
        <v>0</v>
      </c>
      <c r="G40" s="99">
        <f t="shared" si="6"/>
        <v>0</v>
      </c>
      <c r="H40" s="99">
        <f t="shared" si="6"/>
        <v>0</v>
      </c>
      <c r="I40" s="99">
        <f t="shared" si="6"/>
        <v>1800</v>
      </c>
      <c r="J40" s="99">
        <f t="shared" si="6"/>
        <v>0</v>
      </c>
      <c r="K40" s="100">
        <f t="shared" si="6"/>
        <v>187744</v>
      </c>
      <c r="L40" s="104"/>
    </row>
    <row r="41" spans="1:12" ht="12.75" customHeight="1">
      <c r="A41" s="285"/>
      <c r="B41" s="281" t="s">
        <v>765</v>
      </c>
      <c r="C41" s="99">
        <f>SUM(C29+C32+C35+C38)</f>
        <v>84732</v>
      </c>
      <c r="D41" s="99">
        <f t="shared" si="6"/>
        <v>24265</v>
      </c>
      <c r="E41" s="99">
        <f t="shared" si="6"/>
        <v>106921</v>
      </c>
      <c r="F41" s="99">
        <f t="shared" si="6"/>
        <v>0</v>
      </c>
      <c r="G41" s="99">
        <f t="shared" si="6"/>
        <v>0</v>
      </c>
      <c r="H41" s="99">
        <f t="shared" si="6"/>
        <v>0</v>
      </c>
      <c r="I41" s="99">
        <f t="shared" si="6"/>
        <v>12182</v>
      </c>
      <c r="J41" s="99">
        <f t="shared" si="6"/>
        <v>13423</v>
      </c>
      <c r="K41" s="100">
        <f t="shared" si="6"/>
        <v>241523</v>
      </c>
      <c r="L41" s="104"/>
    </row>
    <row r="42" spans="1:12" ht="12.75" customHeight="1">
      <c r="A42" s="285"/>
      <c r="B42" s="764" t="s">
        <v>946</v>
      </c>
      <c r="C42" s="99">
        <f>SUM(C30+C33+C36+C39)</f>
        <v>85089</v>
      </c>
      <c r="D42" s="99">
        <f t="shared" si="6"/>
        <v>24331</v>
      </c>
      <c r="E42" s="99">
        <f t="shared" si="6"/>
        <v>109921</v>
      </c>
      <c r="F42" s="99">
        <f t="shared" si="6"/>
        <v>0</v>
      </c>
      <c r="G42" s="99">
        <f t="shared" si="6"/>
        <v>0</v>
      </c>
      <c r="H42" s="99">
        <f t="shared" si="6"/>
        <v>0</v>
      </c>
      <c r="I42" s="99">
        <f t="shared" si="6"/>
        <v>12182</v>
      </c>
      <c r="J42" s="99">
        <f t="shared" si="6"/>
        <v>13423</v>
      </c>
      <c r="K42" s="100">
        <f t="shared" si="6"/>
        <v>244946</v>
      </c>
      <c r="L42" s="104"/>
    </row>
    <row r="43" spans="1:12" ht="12.75" customHeight="1">
      <c r="A43" s="285" t="s">
        <v>736</v>
      </c>
      <c r="B43" s="281" t="s">
        <v>163</v>
      </c>
      <c r="C43" s="282">
        <f>SUM(C40)</f>
        <v>82636</v>
      </c>
      <c r="D43" s="282">
        <f aca="true" t="shared" si="7" ref="D43:K45">SUM(D40)</f>
        <v>23816</v>
      </c>
      <c r="E43" s="282">
        <f t="shared" si="7"/>
        <v>79492</v>
      </c>
      <c r="F43" s="282">
        <f t="shared" si="7"/>
        <v>0</v>
      </c>
      <c r="G43" s="282">
        <f t="shared" si="7"/>
        <v>0</v>
      </c>
      <c r="H43" s="282">
        <f t="shared" si="7"/>
        <v>0</v>
      </c>
      <c r="I43" s="282">
        <f t="shared" si="7"/>
        <v>1800</v>
      </c>
      <c r="J43" s="282">
        <f t="shared" si="7"/>
        <v>0</v>
      </c>
      <c r="K43" s="283">
        <f t="shared" si="7"/>
        <v>187744</v>
      </c>
      <c r="L43" s="104"/>
    </row>
    <row r="44" spans="1:11" ht="12.75">
      <c r="A44" s="638"/>
      <c r="B44" s="639" t="s">
        <v>765</v>
      </c>
      <c r="C44" s="282">
        <f>SUM(C41)</f>
        <v>84732</v>
      </c>
      <c r="D44" s="282">
        <f t="shared" si="7"/>
        <v>24265</v>
      </c>
      <c r="E44" s="282">
        <f t="shared" si="7"/>
        <v>106921</v>
      </c>
      <c r="F44" s="282">
        <f t="shared" si="7"/>
        <v>0</v>
      </c>
      <c r="G44" s="282">
        <f t="shared" si="7"/>
        <v>0</v>
      </c>
      <c r="H44" s="282">
        <f t="shared" si="7"/>
        <v>0</v>
      </c>
      <c r="I44" s="282">
        <f t="shared" si="7"/>
        <v>12182</v>
      </c>
      <c r="J44" s="282">
        <f t="shared" si="7"/>
        <v>13423</v>
      </c>
      <c r="K44" s="283">
        <f t="shared" si="7"/>
        <v>241523</v>
      </c>
    </row>
    <row r="45" spans="1:11" ht="13.5" thickBot="1">
      <c r="A45" s="286"/>
      <c r="B45" s="765" t="s">
        <v>946</v>
      </c>
      <c r="C45" s="101">
        <f>SUM(C42)</f>
        <v>85089</v>
      </c>
      <c r="D45" s="101">
        <f t="shared" si="7"/>
        <v>24331</v>
      </c>
      <c r="E45" s="101">
        <f t="shared" si="7"/>
        <v>109921</v>
      </c>
      <c r="F45" s="101">
        <f t="shared" si="7"/>
        <v>0</v>
      </c>
      <c r="G45" s="101">
        <f t="shared" si="7"/>
        <v>0</v>
      </c>
      <c r="H45" s="101">
        <f t="shared" si="7"/>
        <v>0</v>
      </c>
      <c r="I45" s="101">
        <f t="shared" si="7"/>
        <v>12182</v>
      </c>
      <c r="J45" s="101">
        <f t="shared" si="7"/>
        <v>13423</v>
      </c>
      <c r="K45" s="766">
        <f t="shared" si="7"/>
        <v>244946</v>
      </c>
    </row>
  </sheetData>
  <sheetProtection/>
  <mergeCells count="16">
    <mergeCell ref="O3:O4"/>
    <mergeCell ref="A24:K24"/>
    <mergeCell ref="A26:B27"/>
    <mergeCell ref="C26:G26"/>
    <mergeCell ref="I26:J26"/>
    <mergeCell ref="K26:K27"/>
    <mergeCell ref="A1:O1"/>
    <mergeCell ref="A3:B4"/>
    <mergeCell ref="C3:C4"/>
    <mergeCell ref="D3:E3"/>
    <mergeCell ref="F3:F4"/>
    <mergeCell ref="G3:H3"/>
    <mergeCell ref="I3:J3"/>
    <mergeCell ref="K3:K4"/>
    <mergeCell ref="L3:M3"/>
    <mergeCell ref="N3:N4"/>
  </mergeCells>
  <printOptions horizontalCentered="1"/>
  <pageMargins left="0.1968503937007874" right="0.1968503937007874" top="0.984251968503937" bottom="0.8267716535433072" header="0.5118110236220472" footer="0.5118110236220472"/>
  <pageSetup horizontalDpi="600" verticalDpi="600" orientation="landscape" paperSize="9" scale="73" r:id="rId1"/>
  <headerFooter alignWithMargins="0">
    <oddHeader>&amp;L 7. melléklet a 18/2014.(IX.1.) önkormányzati rendelethez
"7. melléklet az 1/2014.(I.31.) önkormányzati rendelethez"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99"/>
  <sheetViews>
    <sheetView view="pageLayout" zoomScaleSheetLayoutView="100" workbookViewId="0" topLeftCell="A1">
      <selection activeCell="A3" sqref="A3:D3"/>
    </sheetView>
  </sheetViews>
  <sheetFormatPr defaultColWidth="9.00390625" defaultRowHeight="12.75"/>
  <cols>
    <col min="1" max="1" width="97.00390625" style="803" customWidth="1"/>
    <col min="2" max="2" width="10.25390625" style="805" customWidth="1"/>
    <col min="3" max="3" width="10.25390625" style="804" customWidth="1"/>
    <col min="4" max="4" width="11.875" style="805" customWidth="1"/>
    <col min="5" max="16384" width="9.125" style="804" customWidth="1"/>
  </cols>
  <sheetData>
    <row r="1" ht="12.75">
      <c r="B1" s="804"/>
    </row>
    <row r="2" spans="1:4" ht="15.75">
      <c r="A2" s="1073" t="s">
        <v>836</v>
      </c>
      <c r="B2" s="1073"/>
      <c r="C2" s="1073"/>
      <c r="D2" s="1073"/>
    </row>
    <row r="3" spans="1:4" ht="15.75">
      <c r="A3" s="1074" t="s">
        <v>837</v>
      </c>
      <c r="B3" s="1074"/>
      <c r="C3" s="1074"/>
      <c r="D3" s="1074"/>
    </row>
    <row r="4" ht="13.5" thickBot="1"/>
    <row r="5" spans="1:4" s="810" customFormat="1" ht="12.75">
      <c r="A5" s="806" t="s">
        <v>122</v>
      </c>
      <c r="B5" s="807" t="s">
        <v>163</v>
      </c>
      <c r="C5" s="808" t="s">
        <v>765</v>
      </c>
      <c r="D5" s="809" t="s">
        <v>944</v>
      </c>
    </row>
    <row r="6" spans="1:4" ht="12.75">
      <c r="A6" s="811"/>
      <c r="B6" s="812"/>
      <c r="C6" s="813"/>
      <c r="D6" s="814"/>
    </row>
    <row r="7" spans="1:4" ht="12.75">
      <c r="A7" s="815" t="s">
        <v>164</v>
      </c>
      <c r="B7" s="816">
        <f>SUM(B9,B28,B35)</f>
        <v>2418569</v>
      </c>
      <c r="C7" s="817">
        <f>SUM(C9,C28,C35)</f>
        <v>2495689</v>
      </c>
      <c r="D7" s="818">
        <f>SUM(D9,D28,D35)</f>
        <v>2527109</v>
      </c>
    </row>
    <row r="8" spans="1:4" ht="12.75">
      <c r="A8" s="811"/>
      <c r="B8" s="812"/>
      <c r="C8" s="819"/>
      <c r="D8" s="814"/>
    </row>
    <row r="9" spans="1:4" ht="12.75">
      <c r="A9" s="815" t="s">
        <v>838</v>
      </c>
      <c r="B9" s="816">
        <f>SUM(B10:B25)</f>
        <v>2027029</v>
      </c>
      <c r="C9" s="817">
        <f>SUM(C10:C26)</f>
        <v>2120841</v>
      </c>
      <c r="D9" s="818">
        <f>SUM(D10:D26)</f>
        <v>2151077</v>
      </c>
    </row>
    <row r="10" spans="1:4" ht="12.75">
      <c r="A10" s="811" t="s">
        <v>165</v>
      </c>
      <c r="B10" s="812">
        <v>590931</v>
      </c>
      <c r="C10" s="819">
        <f>590931+1495</f>
        <v>592426</v>
      </c>
      <c r="D10" s="814">
        <v>580072</v>
      </c>
    </row>
    <row r="11" spans="1:4" ht="12.75">
      <c r="A11" s="811" t="s">
        <v>839</v>
      </c>
      <c r="B11" s="812">
        <f>35000+4500</f>
        <v>39500</v>
      </c>
      <c r="C11" s="819">
        <v>39500</v>
      </c>
      <c r="D11" s="814">
        <v>39500</v>
      </c>
    </row>
    <row r="12" spans="1:4" ht="25.5">
      <c r="A12" s="811" t="s">
        <v>166</v>
      </c>
      <c r="B12" s="812">
        <v>320000</v>
      </c>
      <c r="C12" s="819">
        <f>320000+7794+9213</f>
        <v>337007</v>
      </c>
      <c r="D12" s="814">
        <v>337007</v>
      </c>
    </row>
    <row r="13" spans="1:4" ht="12.75">
      <c r="A13" s="811" t="s">
        <v>169</v>
      </c>
      <c r="B13" s="812">
        <v>185000</v>
      </c>
      <c r="C13" s="819">
        <v>185000</v>
      </c>
      <c r="D13" s="814">
        <v>185000</v>
      </c>
    </row>
    <row r="14" spans="1:4" ht="25.5">
      <c r="A14" s="811" t="s">
        <v>181</v>
      </c>
      <c r="B14" s="812">
        <v>28107</v>
      </c>
      <c r="C14" s="819">
        <f>28107-2083+81193</f>
        <v>107217</v>
      </c>
      <c r="D14" s="814">
        <v>107217</v>
      </c>
    </row>
    <row r="15" spans="1:4" ht="12.75">
      <c r="A15" s="811" t="s">
        <v>168</v>
      </c>
      <c r="B15" s="812">
        <v>90625</v>
      </c>
      <c r="C15" s="819">
        <v>90625</v>
      </c>
      <c r="D15" s="814">
        <v>90625</v>
      </c>
    </row>
    <row r="16" spans="1:4" ht="25.5">
      <c r="A16" s="811" t="s">
        <v>840</v>
      </c>
      <c r="B16" s="812">
        <v>48600</v>
      </c>
      <c r="C16" s="819">
        <v>48600</v>
      </c>
      <c r="D16" s="814">
        <v>48600</v>
      </c>
    </row>
    <row r="17" spans="1:4" ht="12.75">
      <c r="A17" s="811" t="s">
        <v>183</v>
      </c>
      <c r="B17" s="812">
        <v>44957</v>
      </c>
      <c r="C17" s="819">
        <v>44957</v>
      </c>
      <c r="D17" s="814">
        <v>44957</v>
      </c>
    </row>
    <row r="18" spans="1:4" ht="12.75">
      <c r="A18" s="811" t="s">
        <v>841</v>
      </c>
      <c r="B18" s="812">
        <v>15000</v>
      </c>
      <c r="C18" s="819">
        <f>15000+9221</f>
        <v>24221</v>
      </c>
      <c r="D18" s="814">
        <v>24221</v>
      </c>
    </row>
    <row r="19" spans="1:4" ht="12.75">
      <c r="A19" s="811" t="s">
        <v>167</v>
      </c>
      <c r="B19" s="812">
        <v>1174</v>
      </c>
      <c r="C19" s="819">
        <v>1174</v>
      </c>
      <c r="D19" s="814">
        <v>1174</v>
      </c>
    </row>
    <row r="20" spans="1:4" ht="12.75">
      <c r="A20" s="811" t="s">
        <v>173</v>
      </c>
      <c r="B20" s="812">
        <v>52290</v>
      </c>
      <c r="C20" s="819">
        <v>52290</v>
      </c>
      <c r="D20" s="814">
        <v>52290</v>
      </c>
    </row>
    <row r="21" spans="1:4" ht="12.75">
      <c r="A21" s="811" t="s">
        <v>185</v>
      </c>
      <c r="B21" s="812">
        <v>40000</v>
      </c>
      <c r="C21" s="819">
        <v>0</v>
      </c>
      <c r="D21" s="814">
        <v>0</v>
      </c>
    </row>
    <row r="22" spans="1:4" ht="12.75">
      <c r="A22" s="811" t="s">
        <v>186</v>
      </c>
      <c r="B22" s="812">
        <v>16000</v>
      </c>
      <c r="C22" s="819">
        <v>0</v>
      </c>
      <c r="D22" s="814">
        <v>0</v>
      </c>
    </row>
    <row r="23" spans="1:4" ht="12.75">
      <c r="A23" s="811" t="s">
        <v>200</v>
      </c>
      <c r="B23" s="812">
        <v>192845</v>
      </c>
      <c r="C23" s="819">
        <v>192845</v>
      </c>
      <c r="D23" s="814">
        <v>188615</v>
      </c>
    </row>
    <row r="24" spans="1:4" ht="12.75">
      <c r="A24" s="811" t="s">
        <v>201</v>
      </c>
      <c r="B24" s="812">
        <v>193000</v>
      </c>
      <c r="C24" s="819">
        <v>193000</v>
      </c>
      <c r="D24" s="814">
        <v>187394</v>
      </c>
    </row>
    <row r="25" spans="1:4" ht="12.75">
      <c r="A25" s="811" t="s">
        <v>217</v>
      </c>
      <c r="B25" s="812">
        <v>169000</v>
      </c>
      <c r="C25" s="819">
        <v>169000</v>
      </c>
      <c r="D25" s="814">
        <v>166426</v>
      </c>
    </row>
    <row r="26" spans="1:4" ht="25.5">
      <c r="A26" s="811" t="s">
        <v>842</v>
      </c>
      <c r="B26" s="812"/>
      <c r="C26" s="819">
        <v>42979</v>
      </c>
      <c r="D26" s="814">
        <v>97979</v>
      </c>
    </row>
    <row r="27" spans="1:4" ht="12.75">
      <c r="A27" s="811"/>
      <c r="B27" s="812"/>
      <c r="C27" s="819"/>
      <c r="D27" s="814"/>
    </row>
    <row r="28" spans="1:4" ht="12.75">
      <c r="A28" s="815" t="s">
        <v>843</v>
      </c>
      <c r="B28" s="816">
        <f>SUM(B29:B31)</f>
        <v>85242</v>
      </c>
      <c r="C28" s="817">
        <f>SUM(C29:C32)</f>
        <v>86871</v>
      </c>
      <c r="D28" s="818">
        <f>SUM(D29:D33)</f>
        <v>54490</v>
      </c>
    </row>
    <row r="29" spans="1:4" ht="12.75">
      <c r="A29" s="811" t="s">
        <v>844</v>
      </c>
      <c r="B29" s="812">
        <v>56670</v>
      </c>
      <c r="C29" s="819">
        <v>56670</v>
      </c>
      <c r="D29" s="814">
        <v>18912</v>
      </c>
    </row>
    <row r="30" spans="1:4" ht="12.75">
      <c r="A30" s="811" t="s">
        <v>845</v>
      </c>
      <c r="B30" s="812">
        <v>572</v>
      </c>
      <c r="C30" s="819">
        <v>572</v>
      </c>
      <c r="D30" s="814">
        <v>572</v>
      </c>
    </row>
    <row r="31" spans="1:4" ht="12.75">
      <c r="A31" s="811" t="s">
        <v>846</v>
      </c>
      <c r="B31" s="812">
        <v>28000</v>
      </c>
      <c r="C31" s="819">
        <v>28000</v>
      </c>
      <c r="D31" s="814">
        <v>28000</v>
      </c>
    </row>
    <row r="32" spans="1:4" ht="12.75">
      <c r="A32" s="811" t="s">
        <v>847</v>
      </c>
      <c r="B32" s="812"/>
      <c r="C32" s="819">
        <v>1629</v>
      </c>
      <c r="D32" s="814">
        <v>0</v>
      </c>
    </row>
    <row r="33" spans="1:4" ht="12.75">
      <c r="A33" s="811" t="s">
        <v>848</v>
      </c>
      <c r="B33" s="812"/>
      <c r="C33" s="819"/>
      <c r="D33" s="814">
        <v>7006</v>
      </c>
    </row>
    <row r="34" spans="1:4" ht="12.75">
      <c r="A34" s="811"/>
      <c r="B34" s="812"/>
      <c r="C34" s="819"/>
      <c r="D34" s="814"/>
    </row>
    <row r="35" spans="1:4" ht="12.75">
      <c r="A35" s="815" t="s">
        <v>849</v>
      </c>
      <c r="B35" s="816">
        <f>SUM(B36:B53)</f>
        <v>306298</v>
      </c>
      <c r="C35" s="817">
        <f>SUM(C36:C56)</f>
        <v>287977</v>
      </c>
      <c r="D35" s="818">
        <f>SUM(D36:D60)</f>
        <v>321542</v>
      </c>
    </row>
    <row r="36" spans="1:4" ht="12.75">
      <c r="A36" s="811" t="s">
        <v>850</v>
      </c>
      <c r="B36" s="812">
        <v>2500</v>
      </c>
      <c r="C36" s="819">
        <v>2500</v>
      </c>
      <c r="D36" s="814">
        <v>2052</v>
      </c>
    </row>
    <row r="37" spans="1:4" ht="12.75">
      <c r="A37" s="811" t="s">
        <v>851</v>
      </c>
      <c r="B37" s="812">
        <v>3867</v>
      </c>
      <c r="C37" s="819">
        <v>3867</v>
      </c>
      <c r="D37" s="814">
        <v>3867</v>
      </c>
    </row>
    <row r="38" spans="1:4" ht="12.75">
      <c r="A38" s="811" t="s">
        <v>852</v>
      </c>
      <c r="B38" s="812">
        <v>1651</v>
      </c>
      <c r="C38" s="819">
        <v>1651</v>
      </c>
      <c r="D38" s="814">
        <v>1651</v>
      </c>
    </row>
    <row r="39" spans="1:4" ht="12.75">
      <c r="A39" s="811" t="s">
        <v>853</v>
      </c>
      <c r="B39" s="812">
        <v>6350</v>
      </c>
      <c r="C39" s="819">
        <v>6350</v>
      </c>
      <c r="D39" s="814">
        <v>6350</v>
      </c>
    </row>
    <row r="40" spans="1:4" ht="12.75">
      <c r="A40" s="811" t="s">
        <v>854</v>
      </c>
      <c r="B40" s="812">
        <v>2540</v>
      </c>
      <c r="C40" s="819">
        <v>2540</v>
      </c>
      <c r="D40" s="814">
        <v>2540</v>
      </c>
    </row>
    <row r="41" spans="1:4" ht="12.75">
      <c r="A41" s="811" t="s">
        <v>178</v>
      </c>
      <c r="B41" s="812">
        <v>200000</v>
      </c>
      <c r="C41" s="819">
        <f>200000-24000</f>
        <v>176000</v>
      </c>
      <c r="D41" s="814">
        <v>176000</v>
      </c>
    </row>
    <row r="42" spans="1:4" ht="12.75">
      <c r="A42" s="811" t="s">
        <v>855</v>
      </c>
      <c r="B42" s="812">
        <f>5000-1500</f>
        <v>3500</v>
      </c>
      <c r="C42" s="819">
        <v>3500</v>
      </c>
      <c r="D42" s="814">
        <v>3500</v>
      </c>
    </row>
    <row r="43" spans="1:4" ht="12.75">
      <c r="A43" s="811" t="s">
        <v>856</v>
      </c>
      <c r="B43" s="812">
        <f>25000-2000</f>
        <v>23000</v>
      </c>
      <c r="C43" s="819">
        <v>23000</v>
      </c>
      <c r="D43" s="814">
        <v>23000</v>
      </c>
    </row>
    <row r="44" spans="1:4" ht="12.75">
      <c r="A44" s="811" t="s">
        <v>857</v>
      </c>
      <c r="B44" s="812">
        <v>2000</v>
      </c>
      <c r="C44" s="819">
        <v>2000</v>
      </c>
      <c r="D44" s="814">
        <v>2000</v>
      </c>
    </row>
    <row r="45" spans="1:4" ht="12.75">
      <c r="A45" s="811" t="s">
        <v>858</v>
      </c>
      <c r="B45" s="812">
        <v>1270</v>
      </c>
      <c r="C45" s="819">
        <v>1270</v>
      </c>
      <c r="D45" s="814">
        <v>1270</v>
      </c>
    </row>
    <row r="46" spans="1:4" ht="12.75">
      <c r="A46" s="811" t="s">
        <v>859</v>
      </c>
      <c r="B46" s="812">
        <v>500</v>
      </c>
      <c r="C46" s="819">
        <v>500</v>
      </c>
      <c r="D46" s="814">
        <v>500</v>
      </c>
    </row>
    <row r="47" spans="1:4" ht="12.75">
      <c r="A47" s="811" t="s">
        <v>860</v>
      </c>
      <c r="B47" s="812">
        <v>5080</v>
      </c>
      <c r="C47" s="819">
        <v>5080</v>
      </c>
      <c r="D47" s="814">
        <v>5080</v>
      </c>
    </row>
    <row r="48" spans="1:4" ht="12.75">
      <c r="A48" s="811" t="s">
        <v>861</v>
      </c>
      <c r="B48" s="812">
        <v>8500</v>
      </c>
      <c r="C48" s="819">
        <v>8500</v>
      </c>
      <c r="D48" s="814">
        <v>8500</v>
      </c>
    </row>
    <row r="49" spans="1:4" ht="12.75">
      <c r="A49" s="811" t="s">
        <v>862</v>
      </c>
      <c r="B49" s="812">
        <v>2540</v>
      </c>
      <c r="C49" s="819">
        <v>2540</v>
      </c>
      <c r="D49" s="814">
        <v>2540</v>
      </c>
    </row>
    <row r="50" spans="1:4" ht="12.75">
      <c r="A50" s="811" t="s">
        <v>863</v>
      </c>
      <c r="B50" s="812">
        <v>7000</v>
      </c>
      <c r="C50" s="819">
        <v>7000</v>
      </c>
      <c r="D50" s="814">
        <v>7000</v>
      </c>
    </row>
    <row r="51" spans="1:4" ht="12.75">
      <c r="A51" s="811" t="s">
        <v>864</v>
      </c>
      <c r="B51" s="812">
        <v>6000</v>
      </c>
      <c r="C51" s="819">
        <v>6000</v>
      </c>
      <c r="D51" s="814">
        <v>6000</v>
      </c>
    </row>
    <row r="52" spans="1:4" ht="12.75">
      <c r="A52" s="811" t="s">
        <v>865</v>
      </c>
      <c r="B52" s="812">
        <v>5000</v>
      </c>
      <c r="C52" s="819">
        <v>5000</v>
      </c>
      <c r="D52" s="814">
        <v>5000</v>
      </c>
    </row>
    <row r="53" spans="1:4" ht="12.75">
      <c r="A53" s="811" t="s">
        <v>202</v>
      </c>
      <c r="B53" s="812">
        <v>25000</v>
      </c>
      <c r="C53" s="819">
        <v>25000</v>
      </c>
      <c r="D53" s="814">
        <v>25000</v>
      </c>
    </row>
    <row r="54" spans="1:4" ht="12.75">
      <c r="A54" s="811" t="s">
        <v>866</v>
      </c>
      <c r="B54" s="812"/>
      <c r="C54" s="819">
        <v>5276</v>
      </c>
      <c r="D54" s="814">
        <v>5276</v>
      </c>
    </row>
    <row r="55" spans="1:4" ht="12.75">
      <c r="A55" s="811" t="s">
        <v>867</v>
      </c>
      <c r="B55" s="812"/>
      <c r="C55" s="819">
        <v>390</v>
      </c>
      <c r="D55" s="814">
        <v>3390</v>
      </c>
    </row>
    <row r="56" spans="1:4" ht="12.75">
      <c r="A56" s="811" t="s">
        <v>868</v>
      </c>
      <c r="B56" s="812"/>
      <c r="C56" s="819">
        <v>13</v>
      </c>
      <c r="D56" s="814">
        <v>13</v>
      </c>
    </row>
    <row r="57" spans="1:4" ht="12.75">
      <c r="A57" s="811" t="s">
        <v>869</v>
      </c>
      <c r="B57" s="812"/>
      <c r="C57" s="819"/>
      <c r="D57" s="814">
        <v>30350</v>
      </c>
    </row>
    <row r="58" spans="1:4" ht="12.75">
      <c r="A58" s="811" t="s">
        <v>870</v>
      </c>
      <c r="B58" s="812"/>
      <c r="C58" s="819"/>
      <c r="D58" s="814">
        <v>254</v>
      </c>
    </row>
    <row r="59" spans="1:4" ht="12.75">
      <c r="A59" s="811" t="s">
        <v>871</v>
      </c>
      <c r="B59" s="812"/>
      <c r="C59" s="819"/>
      <c r="D59" s="814">
        <v>280</v>
      </c>
    </row>
    <row r="60" spans="1:4" ht="12.75">
      <c r="A60" s="811" t="s">
        <v>872</v>
      </c>
      <c r="B60" s="812"/>
      <c r="C60" s="819"/>
      <c r="D60" s="814">
        <v>129</v>
      </c>
    </row>
    <row r="61" spans="1:4" ht="12.75">
      <c r="A61" s="811"/>
      <c r="B61" s="812"/>
      <c r="C61" s="819"/>
      <c r="D61" s="814"/>
    </row>
    <row r="62" spans="1:4" ht="12.75">
      <c r="A62" s="815" t="s">
        <v>170</v>
      </c>
      <c r="B62" s="816">
        <f>SUM(B74,B77,B64)</f>
        <v>20058</v>
      </c>
      <c r="C62" s="817">
        <f>SUM(C74,C77,C64)</f>
        <v>20058</v>
      </c>
      <c r="D62" s="818">
        <f>SUM(D74,D77,D64)</f>
        <v>20088</v>
      </c>
    </row>
    <row r="63" spans="1:4" ht="12.75">
      <c r="A63" s="815"/>
      <c r="B63" s="816"/>
      <c r="C63" s="819"/>
      <c r="D63" s="814"/>
    </row>
    <row r="64" spans="1:4" ht="13.5">
      <c r="A64" s="820" t="s">
        <v>873</v>
      </c>
      <c r="B64" s="821">
        <f>SUM(B65:B72)</f>
        <v>19321</v>
      </c>
      <c r="C64" s="822">
        <f>SUM(C65:C72)</f>
        <v>19321</v>
      </c>
      <c r="D64" s="823">
        <f>SUM(D65:D72)</f>
        <v>19321</v>
      </c>
    </row>
    <row r="65" spans="1:4" ht="12.75">
      <c r="A65" s="824" t="s">
        <v>850</v>
      </c>
      <c r="B65" s="812">
        <v>3000</v>
      </c>
      <c r="C65" s="819">
        <v>3000</v>
      </c>
      <c r="D65" s="814">
        <v>3000</v>
      </c>
    </row>
    <row r="66" spans="1:4" ht="12.75">
      <c r="A66" s="811" t="s">
        <v>874</v>
      </c>
      <c r="B66" s="812">
        <v>5715</v>
      </c>
      <c r="C66" s="819">
        <v>5715</v>
      </c>
      <c r="D66" s="814">
        <v>5715</v>
      </c>
    </row>
    <row r="67" spans="1:4" ht="12.75">
      <c r="A67" s="811" t="s">
        <v>875</v>
      </c>
      <c r="B67" s="812">
        <v>6985</v>
      </c>
      <c r="C67" s="819">
        <v>6985</v>
      </c>
      <c r="D67" s="814">
        <v>6985</v>
      </c>
    </row>
    <row r="68" spans="1:4" ht="12.75">
      <c r="A68" s="811" t="s">
        <v>876</v>
      </c>
      <c r="B68" s="812">
        <v>1905</v>
      </c>
      <c r="C68" s="819">
        <v>1905</v>
      </c>
      <c r="D68" s="814">
        <v>1905</v>
      </c>
    </row>
    <row r="69" spans="1:4" s="825" customFormat="1" ht="13.5">
      <c r="A69" s="811" t="s">
        <v>877</v>
      </c>
      <c r="B69" s="812">
        <v>90</v>
      </c>
      <c r="C69" s="819">
        <v>90</v>
      </c>
      <c r="D69" s="814">
        <v>90</v>
      </c>
    </row>
    <row r="70" spans="1:4" ht="12.75">
      <c r="A70" s="811" t="s">
        <v>878</v>
      </c>
      <c r="B70" s="812">
        <v>126</v>
      </c>
      <c r="C70" s="819">
        <v>126</v>
      </c>
      <c r="D70" s="814">
        <v>126</v>
      </c>
    </row>
    <row r="71" spans="1:4" ht="12.75">
      <c r="A71" s="811" t="s">
        <v>879</v>
      </c>
      <c r="B71" s="812">
        <v>500</v>
      </c>
      <c r="C71" s="819">
        <v>500</v>
      </c>
      <c r="D71" s="814">
        <v>500</v>
      </c>
    </row>
    <row r="72" spans="1:4" s="825" customFormat="1" ht="13.5">
      <c r="A72" s="811" t="s">
        <v>880</v>
      </c>
      <c r="B72" s="812">
        <v>1000</v>
      </c>
      <c r="C72" s="819">
        <v>1000</v>
      </c>
      <c r="D72" s="814">
        <v>1000</v>
      </c>
    </row>
    <row r="73" spans="1:4" ht="12.75">
      <c r="A73" s="811"/>
      <c r="B73" s="812"/>
      <c r="C73" s="819"/>
      <c r="D73" s="814"/>
    </row>
    <row r="74" spans="1:4" ht="13.5">
      <c r="A74" s="820" t="s">
        <v>26</v>
      </c>
      <c r="B74" s="821">
        <f>SUM(B75)</f>
        <v>546</v>
      </c>
      <c r="C74" s="822">
        <f>SUM(C75)</f>
        <v>546</v>
      </c>
      <c r="D74" s="823">
        <f>SUM(D75)</f>
        <v>546</v>
      </c>
    </row>
    <row r="75" spans="1:4" ht="12.75">
      <c r="A75" s="811" t="s">
        <v>881</v>
      </c>
      <c r="B75" s="812">
        <v>546</v>
      </c>
      <c r="C75" s="819">
        <v>546</v>
      </c>
      <c r="D75" s="814">
        <v>546</v>
      </c>
    </row>
    <row r="76" spans="1:4" s="810" customFormat="1" ht="12.75">
      <c r="A76" s="811"/>
      <c r="B76" s="812"/>
      <c r="C76" s="819"/>
      <c r="D76" s="818"/>
    </row>
    <row r="77" spans="1:4" ht="13.5">
      <c r="A77" s="820" t="s">
        <v>27</v>
      </c>
      <c r="B77" s="821">
        <f>SUM(B78)</f>
        <v>191</v>
      </c>
      <c r="C77" s="822">
        <f>SUM(C78)</f>
        <v>191</v>
      </c>
      <c r="D77" s="823">
        <f>SUM(D78)</f>
        <v>221</v>
      </c>
    </row>
    <row r="78" spans="1:4" ht="12.75">
      <c r="A78" s="811" t="s">
        <v>882</v>
      </c>
      <c r="B78" s="812">
        <v>191</v>
      </c>
      <c r="C78" s="819">
        <v>191</v>
      </c>
      <c r="D78" s="814">
        <v>221</v>
      </c>
    </row>
    <row r="79" spans="1:4" ht="12.75">
      <c r="A79" s="811"/>
      <c r="B79" s="812"/>
      <c r="C79" s="819"/>
      <c r="D79" s="814"/>
    </row>
    <row r="80" spans="1:4" ht="12.75">
      <c r="A80" s="815" t="s">
        <v>883</v>
      </c>
      <c r="B80" s="816">
        <f>SUM(B81:B85)</f>
        <v>6795</v>
      </c>
      <c r="C80" s="817">
        <f>SUM(C81:C85)</f>
        <v>6795</v>
      </c>
      <c r="D80" s="818">
        <f>SUM(D81:D93)</f>
        <v>19990</v>
      </c>
    </row>
    <row r="81" spans="1:4" ht="12.75">
      <c r="A81" s="811" t="s">
        <v>884</v>
      </c>
      <c r="B81" s="812">
        <f>970+550</f>
        <v>1520</v>
      </c>
      <c r="C81" s="819">
        <v>1520</v>
      </c>
      <c r="D81" s="814">
        <v>3190</v>
      </c>
    </row>
    <row r="82" spans="1:4" s="810" customFormat="1" ht="12.75">
      <c r="A82" s="811" t="s">
        <v>885</v>
      </c>
      <c r="B82" s="812">
        <v>500</v>
      </c>
      <c r="C82" s="819">
        <v>500</v>
      </c>
      <c r="D82" s="814">
        <v>2449</v>
      </c>
    </row>
    <row r="83" spans="1:4" s="810" customFormat="1" ht="12.75">
      <c r="A83" s="811" t="s">
        <v>886</v>
      </c>
      <c r="B83" s="812">
        <v>900</v>
      </c>
      <c r="C83" s="819">
        <v>900</v>
      </c>
      <c r="D83" s="814">
        <v>3094</v>
      </c>
    </row>
    <row r="84" spans="1:4" s="810" customFormat="1" ht="12.75">
      <c r="A84" s="811" t="s">
        <v>887</v>
      </c>
      <c r="B84" s="812">
        <v>700</v>
      </c>
      <c r="C84" s="819">
        <v>700</v>
      </c>
      <c r="D84" s="814">
        <v>1193</v>
      </c>
    </row>
    <row r="85" spans="1:4" s="810" customFormat="1" ht="12.75">
      <c r="A85" s="811" t="s">
        <v>888</v>
      </c>
      <c r="B85" s="812">
        <v>3175</v>
      </c>
      <c r="C85" s="819">
        <v>3175</v>
      </c>
      <c r="D85" s="814">
        <v>4689</v>
      </c>
    </row>
    <row r="86" spans="1:4" s="810" customFormat="1" ht="12.75">
      <c r="A86" s="811" t="s">
        <v>889</v>
      </c>
      <c r="B86" s="812"/>
      <c r="C86" s="819"/>
      <c r="D86" s="814">
        <v>414</v>
      </c>
    </row>
    <row r="87" spans="1:4" s="810" customFormat="1" ht="12.75">
      <c r="A87" s="811" t="s">
        <v>890</v>
      </c>
      <c r="B87" s="812"/>
      <c r="C87" s="819"/>
      <c r="D87" s="814">
        <v>932</v>
      </c>
    </row>
    <row r="88" spans="1:4" s="810" customFormat="1" ht="12.75">
      <c r="A88" s="811" t="s">
        <v>891</v>
      </c>
      <c r="B88" s="812"/>
      <c r="C88" s="819"/>
      <c r="D88" s="814">
        <v>1608</v>
      </c>
    </row>
    <row r="89" spans="1:4" s="810" customFormat="1" ht="12.75">
      <c r="A89" s="811" t="s">
        <v>892</v>
      </c>
      <c r="B89" s="812"/>
      <c r="C89" s="819"/>
      <c r="D89" s="814">
        <v>1488</v>
      </c>
    </row>
    <row r="90" spans="1:4" s="810" customFormat="1" ht="12.75">
      <c r="A90" s="811" t="s">
        <v>893</v>
      </c>
      <c r="B90" s="812"/>
      <c r="C90" s="819"/>
      <c r="D90" s="814">
        <v>55</v>
      </c>
    </row>
    <row r="91" spans="1:4" s="810" customFormat="1" ht="12.75">
      <c r="A91" s="811" t="s">
        <v>728</v>
      </c>
      <c r="B91" s="812"/>
      <c r="C91" s="819"/>
      <c r="D91" s="814">
        <v>20</v>
      </c>
    </row>
    <row r="92" spans="1:4" s="810" customFormat="1" ht="12.75">
      <c r="A92" s="811" t="s">
        <v>894</v>
      </c>
      <c r="B92" s="812"/>
      <c r="C92" s="819"/>
      <c r="D92" s="814">
        <v>208</v>
      </c>
    </row>
    <row r="93" spans="1:4" s="810" customFormat="1" ht="12.75">
      <c r="A93" s="811" t="s">
        <v>895</v>
      </c>
      <c r="B93" s="812"/>
      <c r="C93" s="819"/>
      <c r="D93" s="814">
        <v>650</v>
      </c>
    </row>
    <row r="94" spans="1:4" s="810" customFormat="1" ht="12.75">
      <c r="A94" s="815"/>
      <c r="B94" s="816"/>
      <c r="C94" s="819"/>
      <c r="D94" s="818"/>
    </row>
    <row r="95" spans="1:4" s="826" customFormat="1" ht="12.75">
      <c r="A95" s="815" t="s">
        <v>171</v>
      </c>
      <c r="B95" s="816">
        <f>SUM(B96)</f>
        <v>1800</v>
      </c>
      <c r="C95" s="817">
        <f>SUM(C96)</f>
        <v>12182</v>
      </c>
      <c r="D95" s="818">
        <f>SUM(D96)</f>
        <v>12182</v>
      </c>
    </row>
    <row r="96" spans="1:4" ht="12.75">
      <c r="A96" s="811" t="s">
        <v>896</v>
      </c>
      <c r="B96" s="812">
        <v>1800</v>
      </c>
      <c r="C96" s="819">
        <f>1800+10382</f>
        <v>12182</v>
      </c>
      <c r="D96" s="814">
        <v>12182</v>
      </c>
    </row>
    <row r="97" spans="1:4" ht="12.75">
      <c r="A97" s="811"/>
      <c r="B97" s="812"/>
      <c r="C97" s="819"/>
      <c r="D97" s="814"/>
    </row>
    <row r="98" spans="1:4" ht="12.75">
      <c r="A98" s="815"/>
      <c r="B98" s="816"/>
      <c r="C98" s="819"/>
      <c r="D98" s="814"/>
    </row>
    <row r="99" spans="1:4" ht="13.5" thickBot="1">
      <c r="A99" s="827" t="s">
        <v>172</v>
      </c>
      <c r="B99" s="828">
        <f>SUM(B7,B80,B95,B62)</f>
        <v>2447222</v>
      </c>
      <c r="C99" s="829">
        <f>SUM(C7,C62,C80,C95)</f>
        <v>2534724</v>
      </c>
      <c r="D99" s="830">
        <f>SUM(D7,D62,D80,D95)</f>
        <v>2579369</v>
      </c>
    </row>
  </sheetData>
  <sheetProtection/>
  <mergeCells count="2">
    <mergeCell ref="A2:D2"/>
    <mergeCell ref="A3:D3"/>
  </mergeCells>
  <printOptions horizontalCentered="1"/>
  <pageMargins left="0.5118110236220472" right="0.2755905511811024" top="1.0209375" bottom="0.5905511811023623" header="0.5511811023622047" footer="0"/>
  <pageSetup horizontalDpi="600" verticalDpi="600" orientation="portrait" paperSize="9" scale="74" r:id="rId1"/>
  <headerFooter alignWithMargins="0">
    <oddHeader>&amp;L 8. melléklet a 18/2014.(IX.1.) önkormányzati rendelethez
"8. melléklet az 1/2014.(I.31.) önkormányzati rendelethez"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zsombokiandrea</dc:creator>
  <cp:keywords/>
  <dc:description/>
  <cp:lastModifiedBy>zomborimonika</cp:lastModifiedBy>
  <cp:lastPrinted>2014-08-18T06:42:40Z</cp:lastPrinted>
  <dcterms:created xsi:type="dcterms:W3CDTF">2014-01-10T08:24:40Z</dcterms:created>
  <dcterms:modified xsi:type="dcterms:W3CDTF">2014-09-01T05:55:09Z</dcterms:modified>
  <cp:category/>
  <cp:version/>
  <cp:contentType/>
  <cp:contentStatus/>
</cp:coreProperties>
</file>